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5.xml" ContentType="application/vnd.openxmlformats-officedocument.drawing+xml"/>
  <Override PartName="/xl/comments1.xml" ContentType="application/vnd.openxmlformats-officedocument.spreadsheetml.comment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6.xml" ContentType="application/vnd.openxmlformats-officedocument.drawing+xml"/>
  <Override PartName="/xl/comments2.xml" ContentType="application/vnd.openxmlformats-officedocument.spreadsheetml.comment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7.xml" ContentType="application/vnd.openxmlformats-officedocument.drawing+xml"/>
  <Override PartName="/xl/comments3.xml" ContentType="application/vnd.openxmlformats-officedocument.spreadsheetml.comment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comments4.xml" ContentType="application/vnd.openxmlformats-officedocument.spreadsheetml.comment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9.xml" ContentType="application/vnd.openxmlformats-officedocument.drawing+xml"/>
  <Override PartName="/xl/comments5.xml" ContentType="application/vnd.openxmlformats-officedocument.spreadsheetml.comment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0.xml" ContentType="application/vnd.openxmlformats-officedocument.drawing+xml"/>
  <Override PartName="/xl/comments6.xml" ContentType="application/vnd.openxmlformats-officedocument.spreadsheetml.comment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1.xml" ContentType="application/vnd.openxmlformats-officedocument.drawing+xml"/>
  <Override PartName="/xl/comments7.xml" ContentType="application/vnd.openxmlformats-officedocument.spreadsheetml.comments+xml"/>
  <Override PartName="/xl/drawings/drawing12.xml" ContentType="application/vnd.openxmlformats-officedocument.drawing+xml"/>
  <Override PartName="/xl/drawings/drawing13.xml" ContentType="application/vnd.openxmlformats-officedocument.drawing+xml"/>
  <Override PartName="/xl/tables/table2.xml" ContentType="application/vnd.openxmlformats-officedocument.spreadsheetml.table+xml"/>
  <Override PartName="/xl/comments8.xml" ContentType="application/vnd.openxmlformats-officedocument.spreadsheetml.comments+xml"/>
  <Override PartName="/xl/charts/chartEx1.xml" ContentType="application/vnd.ms-office.chartex+xml"/>
  <Override PartName="/xl/charts/style14.xml" ContentType="application/vnd.ms-office.chartstyle+xml"/>
  <Override PartName="/xl/charts/colors14.xml" ContentType="application/vnd.ms-office.chartcolorstyle+xml"/>
  <Override PartName="/xl/drawings/drawing14.xml" ContentType="application/vnd.openxmlformats-officedocument.drawing+xml"/>
  <Override PartName="/xl/tables/table3.xml" ContentType="application/vnd.openxmlformats-officedocument.spreadsheetml.tab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tables/table4.xml" ContentType="application/vnd.openxmlformats-officedocument.spreadsheetml.table+xml"/>
  <Override PartName="/xl/tables/table5.xml" ContentType="application/vnd.openxmlformats-officedocument.spreadsheetml.table+xml"/>
  <Override PartName="/xl/drawings/drawing15.xml" ContentType="application/vnd.openxmlformats-officedocument.drawing+xml"/>
  <Override PartName="/xl/tables/table6.xml" ContentType="application/vnd.openxmlformats-officedocument.spreadsheetml.table+xml"/>
  <Override PartName="/xl/drawings/drawing16.xml" ContentType="application/vnd.openxmlformats-officedocument.drawing+xml"/>
  <Override PartName="/xl/tables/table7.xml" ContentType="application/vnd.openxmlformats-officedocument.spreadsheetml.table+xml"/>
  <Override PartName="/xl/comments9.xml" ContentType="application/vnd.openxmlformats-officedocument.spreadsheetml.comments+xml"/>
  <Override PartName="/xl/tables/table8.xml" ContentType="application/vnd.openxmlformats-officedocument.spreadsheetml.table+xml"/>
  <Override PartName="/xl/drawings/drawing17.xml" ContentType="application/vnd.openxmlformats-officedocument.drawing+xml"/>
  <Override PartName="/xl/ctrlProps/ctrlProp1.xml" ContentType="application/vnd.ms-excel.controlproperties+xml"/>
  <Override PartName="/xl/ctrlProps/ctrlProp2.xml" ContentType="application/vnd.ms-excel.controlproperties+xml"/>
  <Override PartName="/xl/charts/chartEx2.xml" ContentType="application/vnd.ms-office.chartex+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7"/>
  <workbookPr codeName="ThisWorkbook"/>
  <mc:AlternateContent xmlns:mc="http://schemas.openxmlformats.org/markup-compatibility/2006">
    <mc:Choice Requires="x15">
      <x15ac:absPath xmlns:x15ac="http://schemas.microsoft.com/office/spreadsheetml/2010/11/ac" url="/Users/ravitejvenkataswamy/Library/CloudStorage/GoogleDrive-vr@clarkson.edu/.shortcut-targets-by-id/16C9K8uzEq3--C1IN_GpWfxeCYlzdD-Bj/7. Micron Project/F2/Framework Github/CMP-Slurry-Sustainability-Framework/"/>
    </mc:Choice>
  </mc:AlternateContent>
  <xr:revisionPtr revIDLastSave="0" documentId="13_ncr:1_{BB62A5FA-1A57-0045-BC40-07222892D8FE}" xr6:coauthVersionLast="47" xr6:coauthVersionMax="47" xr10:uidLastSave="{00000000-0000-0000-0000-000000000000}"/>
  <bookViews>
    <workbookView xWindow="0" yWindow="780" windowWidth="30240" windowHeight="18880" activeTab="10" xr2:uid="{6AD10581-EE60-B247-A976-9BFF797AFE8D}"/>
  </bookViews>
  <sheets>
    <sheet name="Start" sheetId="13" r:id="rId1"/>
    <sheet name="Carbon Dioxide Framework" sheetId="15" r:id="rId2"/>
    <sheet name="Required Information" sheetId="54" r:id="rId3"/>
    <sheet name="Process Overview" sheetId="16" state="hidden" r:id="rId4"/>
    <sheet name="Input(Please create a copy)" sheetId="59" r:id="rId5"/>
    <sheet name="Process 1" sheetId="60" r:id="rId6"/>
    <sheet name="Process 2" sheetId="61" r:id="rId7"/>
    <sheet name="Process 3" sheetId="62" r:id="rId8"/>
    <sheet name="Process 4" sheetId="63" r:id="rId9"/>
    <sheet name="Process 5" sheetId="64" r:id="rId10"/>
    <sheet name="Result Sheet" sheetId="32" r:id="rId11"/>
    <sheet name="HELP" sheetId="44" r:id="rId12"/>
    <sheet name="Appendix" sheetId="36" r:id="rId13"/>
    <sheet name="State Output emission" sheetId="28" r:id="rId14"/>
    <sheet name="Global Temperatures" sheetId="53" r:id="rId15"/>
    <sheet name="All_Equipment" sheetId="18" r:id="rId16"/>
    <sheet name="All_Process_time" sheetId="34" r:id="rId17"/>
    <sheet name="Solvents" sheetId="26" r:id="rId18"/>
    <sheet name="Precursors Chemicals" sheetId="31" r:id="rId19"/>
    <sheet name="GHGs" sheetId="27" r:id="rId20"/>
    <sheet name="Power consumption energy form" sheetId="17" state="hidden" r:id="rId21"/>
    <sheet name="Power consumption data1" sheetId="19" state="hidden" r:id="rId22"/>
    <sheet name="Chemical Balancing(not ready)" sheetId="33" state="hidden" r:id="rId23"/>
    <sheet name="Power consumption raw" sheetId="20" state="hidden" r:id="rId24"/>
    <sheet name="CB_DATA_" sheetId="10" state="veryHidden" r:id="rId25"/>
  </sheets>
  <externalReferences>
    <externalReference r:id="rId26"/>
    <externalReference r:id="rId27"/>
    <externalReference r:id="rId28"/>
  </externalReferences>
  <definedNames>
    <definedName name="_2014_BA_File">#REF!</definedName>
    <definedName name="_2014_eGRID_Subregion_File">#REF!</definedName>
    <definedName name="_2014_gen_file">#REF!</definedName>
    <definedName name="_2014_NERC_File">#REF!</definedName>
    <definedName name="_2014_Plant_FINAL">#REF!</definedName>
    <definedName name="_2014_State_File">#REF!</definedName>
    <definedName name="_2014_Unit_File">#REF!</definedName>
    <definedName name="_2014_US_File">#REF!</definedName>
    <definedName name="_xlnm._FilterDatabase" localSheetId="19" hidden="1">GHGs!$B$4:$D$1214</definedName>
    <definedName name="_xlchart.v1.4" hidden="1">'Power consumption energy form'!$D$37:$D$38</definedName>
    <definedName name="_xlchart.v1.5" hidden="1">'Power consumption energy form'!$D$39:$D$64</definedName>
    <definedName name="_xlchart.v6.0" hidden="1">'State Output emission'!$C$4</definedName>
    <definedName name="_xlchart.v6.1" hidden="1">'State Output emission'!$C$5:$C$54</definedName>
    <definedName name="_xlchart.v6.2" hidden="1">'State Output emission'!$H$4</definedName>
    <definedName name="_xlchart.v6.3" hidden="1">'State Output emission'!$H$5:$H$54</definedName>
    <definedName name="Appliances">'[1]Appliances Data'!$C$5:$C$104</definedName>
    <definedName name="BinNumber">[2]!BinLookup[BIN '#]</definedName>
    <definedName name="CB_03a44c0810de4aec8653d98fa447d8fb" localSheetId="24" hidden="1">#N/A</definedName>
    <definedName name="CB_36095ab9cf0c4646acaed0e0f94d0065" localSheetId="24" hidden="1">#N/A</definedName>
    <definedName name="CB_72f060da175142c39f969d2c52b41749" localSheetId="24" hidden="1">#N/A</definedName>
    <definedName name="CB_Block_00000000000000000000000000000000" localSheetId="24" hidden="1">"'7.0.0.0"</definedName>
    <definedName name="CB_Block_00000000000000000000000000000001" localSheetId="24" hidden="1">"'638440512016769206"</definedName>
    <definedName name="CB_Block_00000000000000000000000000000003" localSheetId="24" hidden="1">"'11.1.5072.0"</definedName>
    <definedName name="CB_BlockExt_00000000000000000000000000000003" localSheetId="24" hidden="1">"'11.1.3.0.000"</definedName>
    <definedName name="CB_cb65a6e404fa461f999d457a02ff5bee" localSheetId="24" hidden="1">#N/A</definedName>
    <definedName name="CB_f4b271a396714e84be7eec7d5a9b24c3" localSheetId="24" hidden="1">#N/A</definedName>
    <definedName name="CBWorkbookPriority" localSheetId="24" hidden="1">-2944195317294340</definedName>
    <definedName name="CBx_3e1268aa069a4752a9b96f6ffa4cb17e" localSheetId="24" hidden="1">"'Colloidal'!$A$1"</definedName>
    <definedName name="CBx_5f5021015c7a4266962620e672ee3475" localSheetId="24" hidden="1">"'Comparing both'!$A$1"</definedName>
    <definedName name="CBx_8dc28415bafe413d83c6825e4054a70b" localSheetId="24" hidden="1">"'Calcined'!$A$1"</definedName>
    <definedName name="CBx_f1a8bc736b744e0eb7c946985600e328" localSheetId="24" hidden="1">"'CB_DATA_'!$A$1"</definedName>
    <definedName name="CBx_Sheet_Guid" localSheetId="24" hidden="1">"'f1a8bc73-6b74-4e0e-b7c9-46985600e328"</definedName>
    <definedName name="CBx_SheetRef" localSheetId="24" hidden="1">CB_DATA_!$A$14</definedName>
    <definedName name="CBx_StorageType" localSheetId="24" hidden="1">2</definedName>
    <definedName name="GHG_chemical_gas" localSheetId="16">GHG_Table[GHG]</definedName>
    <definedName name="GHG_chemical_gas" localSheetId="4">GHG_Table[GHG]</definedName>
    <definedName name="GHG_chemical_gas" localSheetId="5">[3]!GHG_Table[GHG]</definedName>
    <definedName name="GHG_chemical_gas" localSheetId="6">[3]!GHG_Table[GHG]</definedName>
    <definedName name="GHG_chemical_gas" localSheetId="7">[3]!GHG_Table[GHG]</definedName>
    <definedName name="GHG_chemical_gas" localSheetId="8">[3]!GHG_Table[GHG]</definedName>
    <definedName name="GHG_chemical_gas" localSheetId="9">[3]!GHG_Table[GHG]</definedName>
    <definedName name="GHG_chemical_gas">GHG_Table[GHG]</definedName>
    <definedName name="_xlnm.Print_Area" localSheetId="4">'Input(Please create a copy)'!$A$1:$N$50</definedName>
    <definedName name="_xlnm.Print_Area" localSheetId="5">'Process 1'!$A$1:$N$50</definedName>
    <definedName name="_xlnm.Print_Area" localSheetId="6">'Process 2'!$A$1:$N$50</definedName>
    <definedName name="_xlnm.Print_Area" localSheetId="7">'Process 3'!$A$1:$N$50</definedName>
    <definedName name="_xlnm.Print_Area" localSheetId="8">'Process 4'!$A$1:$N$50</definedName>
    <definedName name="_xlnm.Print_Area" localSheetId="9">'Process 5'!$A$1:$N$50</definedName>
    <definedName name="Rating">'[1]Appliances Data'!$G$5:$G$104</definedName>
    <definedName name="SKULookup">[2]!InventoryList[SKU]</definedName>
    <definedName name="Summary_Table_3">'State Output emission'!$B$4:$L$55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09" i="64" l="1"/>
  <c r="B184" i="64"/>
  <c r="B183" i="64"/>
  <c r="F171" i="64"/>
  <c r="D171" i="64"/>
  <c r="C171" i="64"/>
  <c r="F170" i="64"/>
  <c r="B189" i="64" s="1"/>
  <c r="D170" i="64"/>
  <c r="C170" i="64"/>
  <c r="B158" i="64"/>
  <c r="B162" i="64" s="1"/>
  <c r="C125" i="64"/>
  <c r="B108" i="64"/>
  <c r="B92" i="64"/>
  <c r="E96" i="64" s="1"/>
  <c r="B96" i="64" s="1"/>
  <c r="B99" i="64" s="1"/>
  <c r="R45" i="64" a="1"/>
  <c r="R45" i="64" s="1"/>
  <c r="Z32" i="64"/>
  <c r="F30" i="64"/>
  <c r="G30" i="64" s="1"/>
  <c r="E30" i="64"/>
  <c r="C30" i="64"/>
  <c r="F29" i="64"/>
  <c r="G29" i="64" s="1"/>
  <c r="E29" i="64"/>
  <c r="C29" i="64"/>
  <c r="AG20" i="64" a="1"/>
  <c r="AG20" i="64" s="1"/>
  <c r="R20" i="64" a="1"/>
  <c r="R20" i="64" s="1"/>
  <c r="Z19" i="64"/>
  <c r="AM45" i="64" s="1" a="1"/>
  <c r="AM45" i="64" s="1"/>
  <c r="B209" i="63"/>
  <c r="B184" i="63"/>
  <c r="B183" i="63"/>
  <c r="D171" i="63"/>
  <c r="F171" i="63" s="1"/>
  <c r="C171" i="63"/>
  <c r="D170" i="63"/>
  <c r="F170" i="63" s="1"/>
  <c r="B189" i="63" s="1"/>
  <c r="C170" i="63"/>
  <c r="B162" i="63"/>
  <c r="B158" i="63"/>
  <c r="C125" i="63"/>
  <c r="B108" i="63"/>
  <c r="B92" i="63"/>
  <c r="B60" i="63"/>
  <c r="AM45" i="63" a="1"/>
  <c r="AM45" i="63" s="1"/>
  <c r="R45" i="63" a="1"/>
  <c r="R45" i="63" s="1"/>
  <c r="Z32" i="63"/>
  <c r="G30" i="63"/>
  <c r="F30" i="63"/>
  <c r="E30" i="63"/>
  <c r="C30" i="63"/>
  <c r="F29" i="63"/>
  <c r="G29" i="63" s="1"/>
  <c r="B141" i="63" s="1"/>
  <c r="E29" i="63"/>
  <c r="C29" i="63"/>
  <c r="AG20" i="63" a="1"/>
  <c r="AG20" i="63" s="1"/>
  <c r="R20" i="63" a="1"/>
  <c r="R20" i="63" s="1"/>
  <c r="Z19" i="63"/>
  <c r="B209" i="62"/>
  <c r="B184" i="62"/>
  <c r="B183" i="62"/>
  <c r="D171" i="62"/>
  <c r="F171" i="62" s="1"/>
  <c r="C171" i="62"/>
  <c r="D170" i="62"/>
  <c r="F170" i="62" s="1"/>
  <c r="B189" i="62" s="1"/>
  <c r="C170" i="62"/>
  <c r="B163" i="62"/>
  <c r="B162" i="62"/>
  <c r="B158" i="62"/>
  <c r="C125" i="62"/>
  <c r="B108" i="62"/>
  <c r="B92" i="62"/>
  <c r="B60" i="62"/>
  <c r="AM45" i="62" a="1"/>
  <c r="AM45" i="62" s="1"/>
  <c r="R45" i="62" a="1"/>
  <c r="R45" i="62" s="1"/>
  <c r="Z32" i="62"/>
  <c r="F30" i="62"/>
  <c r="G30" i="62" s="1"/>
  <c r="E30" i="62"/>
  <c r="C30" i="62"/>
  <c r="F29" i="62"/>
  <c r="G29" i="62" s="1"/>
  <c r="B141" i="62" s="1"/>
  <c r="E29" i="62"/>
  <c r="C29" i="62"/>
  <c r="AG20" i="62" a="1"/>
  <c r="AG20" i="62" s="1"/>
  <c r="R20" i="62" a="1"/>
  <c r="R20" i="62" s="1"/>
  <c r="Z19" i="62"/>
  <c r="B209" i="61"/>
  <c r="B184" i="61"/>
  <c r="B183" i="61"/>
  <c r="F171" i="61"/>
  <c r="D171" i="61"/>
  <c r="C171" i="61"/>
  <c r="D170" i="61"/>
  <c r="F170" i="61" s="1"/>
  <c r="B189" i="61" s="1"/>
  <c r="C170" i="61"/>
  <c r="B163" i="61"/>
  <c r="B162" i="61"/>
  <c r="B158" i="61"/>
  <c r="C125" i="61"/>
  <c r="B108" i="61"/>
  <c r="B92" i="61"/>
  <c r="E96" i="61" s="1"/>
  <c r="B96" i="61" s="1"/>
  <c r="B99" i="61" s="1"/>
  <c r="AM45" i="61" a="1"/>
  <c r="AM45" i="61" s="1"/>
  <c r="Z32" i="61"/>
  <c r="F30" i="61"/>
  <c r="G30" i="61" s="1"/>
  <c r="E30" i="61"/>
  <c r="C30" i="61"/>
  <c r="F29" i="61"/>
  <c r="G29" i="61" s="1"/>
  <c r="B141" i="61" s="1"/>
  <c r="E29" i="61"/>
  <c r="C29" i="61"/>
  <c r="AG20" i="61" a="1"/>
  <c r="AG20" i="61" s="1"/>
  <c r="R20" i="61" a="1"/>
  <c r="R20" i="61" s="1"/>
  <c r="Z19" i="61"/>
  <c r="R45" i="61" s="1" a="1"/>
  <c r="R45" i="61" s="1"/>
  <c r="B209" i="60"/>
  <c r="B184" i="60"/>
  <c r="B183" i="60"/>
  <c r="D171" i="60"/>
  <c r="F171" i="60" s="1"/>
  <c r="C171" i="60"/>
  <c r="D170" i="60"/>
  <c r="F170" i="60" s="1"/>
  <c r="B189" i="60" s="1"/>
  <c r="C170" i="60"/>
  <c r="B162" i="60"/>
  <c r="B158" i="60"/>
  <c r="C125" i="60"/>
  <c r="B108" i="60"/>
  <c r="B92" i="60"/>
  <c r="E96" i="60" s="1"/>
  <c r="B96" i="60" s="1"/>
  <c r="B60" i="60"/>
  <c r="R45" i="60" a="1"/>
  <c r="R45" i="60" s="1"/>
  <c r="Z32" i="60"/>
  <c r="F30" i="60"/>
  <c r="G30" i="60" s="1"/>
  <c r="E30" i="60"/>
  <c r="C30" i="60"/>
  <c r="F29" i="60"/>
  <c r="G29" i="60" s="1"/>
  <c r="E29" i="60"/>
  <c r="C29" i="60"/>
  <c r="AG20" i="60" a="1"/>
  <c r="AG20" i="60" s="1"/>
  <c r="R20" i="60" a="1"/>
  <c r="R20" i="60" s="1"/>
  <c r="Z19" i="60"/>
  <c r="AM45" i="60" s="1" a="1"/>
  <c r="AM45" i="60" s="1"/>
  <c r="C80" i="32"/>
  <c r="C74" i="32"/>
  <c r="C70" i="32"/>
  <c r="C66" i="32"/>
  <c r="C72" i="32" s="1"/>
  <c r="C55" i="32"/>
  <c r="C37" i="32"/>
  <c r="C38" i="32" s="1"/>
  <c r="C51" i="32"/>
  <c r="AB21" i="64" l="1"/>
  <c r="AV22" i="64"/>
  <c r="AU17" i="64"/>
  <c r="AV24" i="64"/>
  <c r="AV21" i="64"/>
  <c r="AA21" i="64"/>
  <c r="AV20" i="64"/>
  <c r="AV17" i="64" s="1"/>
  <c r="AT19" i="64" s="1"/>
  <c r="Z21" i="64"/>
  <c r="AB22" i="64"/>
  <c r="Z22" i="64"/>
  <c r="AV23" i="64"/>
  <c r="AA22" i="64"/>
  <c r="AB23" i="64"/>
  <c r="AA23" i="64"/>
  <c r="Z23" i="64"/>
  <c r="C60" i="64" s="1"/>
  <c r="B141" i="64"/>
  <c r="B163" i="64"/>
  <c r="AV23" i="63"/>
  <c r="AV21" i="63"/>
  <c r="AB21" i="63"/>
  <c r="AA21" i="63"/>
  <c r="Z21" i="63"/>
  <c r="AV22" i="63"/>
  <c r="AV20" i="63"/>
  <c r="AV17" i="63" s="1"/>
  <c r="AT19" i="63" s="1"/>
  <c r="AU17" i="63"/>
  <c r="AB22" i="63"/>
  <c r="AA22" i="63"/>
  <c r="AV24" i="63"/>
  <c r="Z22" i="63"/>
  <c r="AB23" i="63"/>
  <c r="AA23" i="63"/>
  <c r="Z23" i="63"/>
  <c r="C60" i="63" s="1"/>
  <c r="B148" i="63"/>
  <c r="B146" i="63"/>
  <c r="B163" i="63"/>
  <c r="E96" i="63"/>
  <c r="B96" i="63" s="1"/>
  <c r="B99" i="63" s="1"/>
  <c r="AB23" i="62"/>
  <c r="AA23" i="62"/>
  <c r="Z23" i="62"/>
  <c r="C60" i="62" s="1"/>
  <c r="AV22" i="62"/>
  <c r="AB22" i="62"/>
  <c r="AA22" i="62"/>
  <c r="AB21" i="62"/>
  <c r="AA21" i="62"/>
  <c r="AU17" i="62"/>
  <c r="Z21" i="62"/>
  <c r="AV20" i="62"/>
  <c r="AV24" i="62"/>
  <c r="Z22" i="62"/>
  <c r="AV23" i="62"/>
  <c r="AV21" i="62"/>
  <c r="B99" i="62"/>
  <c r="B148" i="62"/>
  <c r="B146" i="62"/>
  <c r="E96" i="62"/>
  <c r="B96" i="62" s="1"/>
  <c r="B148" i="61"/>
  <c r="B146" i="61"/>
  <c r="AB23" i="61"/>
  <c r="AA23" i="61"/>
  <c r="Z23" i="61"/>
  <c r="C60" i="61" s="1"/>
  <c r="AB21" i="61"/>
  <c r="AA21" i="61"/>
  <c r="Z21" i="61"/>
  <c r="AV22" i="61"/>
  <c r="AV20" i="61"/>
  <c r="AU17" i="61"/>
  <c r="AB22" i="61"/>
  <c r="AA22" i="61"/>
  <c r="AV24" i="61"/>
  <c r="Z22" i="61"/>
  <c r="AV23" i="61"/>
  <c r="AV21" i="61"/>
  <c r="AB23" i="60"/>
  <c r="AA23" i="60"/>
  <c r="Z23" i="60"/>
  <c r="C60" i="60" s="1"/>
  <c r="AV21" i="60"/>
  <c r="AB21" i="60"/>
  <c r="AV22" i="60"/>
  <c r="AV20" i="60"/>
  <c r="AV17" i="60" s="1"/>
  <c r="AT19" i="60" s="1"/>
  <c r="AU17" i="60"/>
  <c r="AB22" i="60"/>
  <c r="AA21" i="60"/>
  <c r="Z21" i="60"/>
  <c r="AA22" i="60"/>
  <c r="AV24" i="60"/>
  <c r="Z22" i="60"/>
  <c r="AV23" i="60"/>
  <c r="B141" i="60"/>
  <c r="B99" i="60"/>
  <c r="B163" i="60"/>
  <c r="D74" i="64" l="1"/>
  <c r="E71" i="64"/>
  <c r="D71" i="64" s="1"/>
  <c r="B109" i="64" s="1"/>
  <c r="B111" i="64" s="1"/>
  <c r="Z31" i="64"/>
  <c r="B148" i="64"/>
  <c r="B146" i="64"/>
  <c r="D74" i="63"/>
  <c r="E71" i="63"/>
  <c r="D71" i="63" s="1"/>
  <c r="B109" i="63" s="1"/>
  <c r="B111" i="63" s="1"/>
  <c r="Z31" i="63"/>
  <c r="AV17" i="62"/>
  <c r="AT19" i="62" s="1"/>
  <c r="E71" i="62"/>
  <c r="D71" i="62" s="1"/>
  <c r="B109" i="62" s="1"/>
  <c r="B111" i="62" s="1"/>
  <c r="D74" i="62"/>
  <c r="Z31" i="62"/>
  <c r="AV17" i="61"/>
  <c r="AT19" i="61" s="1"/>
  <c r="D74" i="61"/>
  <c r="E71" i="61"/>
  <c r="D71" i="61" s="1"/>
  <c r="B109" i="61" s="1"/>
  <c r="B111" i="61" s="1"/>
  <c r="Z31" i="61"/>
  <c r="B146" i="60"/>
  <c r="B148" i="60"/>
  <c r="D74" i="60"/>
  <c r="E71" i="60"/>
  <c r="D71" i="60" s="1"/>
  <c r="B109" i="60" s="1"/>
  <c r="B111" i="60" s="1"/>
  <c r="Z31" i="60"/>
  <c r="B208" i="64" l="1"/>
  <c r="B196" i="64"/>
  <c r="D125" i="64"/>
  <c r="B204" i="64" s="1"/>
  <c r="B208" i="63"/>
  <c r="B196" i="63"/>
  <c r="D125" i="63"/>
  <c r="B204" i="63" s="1"/>
  <c r="B208" i="62"/>
  <c r="B196" i="62"/>
  <c r="D125" i="62"/>
  <c r="B204" i="62" s="1"/>
  <c r="B208" i="61"/>
  <c r="B196" i="61"/>
  <c r="D125" i="61"/>
  <c r="B204" i="61" s="1"/>
  <c r="B208" i="60"/>
  <c r="D125" i="60"/>
  <c r="B204" i="60" s="1"/>
  <c r="B196" i="60"/>
  <c r="B209" i="59" l="1"/>
  <c r="B184" i="59"/>
  <c r="B183" i="59"/>
  <c r="D171" i="59"/>
  <c r="F171" i="59" s="1"/>
  <c r="C171" i="59"/>
  <c r="D170" i="59"/>
  <c r="F170" i="59" s="1"/>
  <c r="C170" i="59"/>
  <c r="B158" i="59"/>
  <c r="B162" i="59" s="1"/>
  <c r="B108" i="59"/>
  <c r="B92" i="59"/>
  <c r="B163" i="59" s="1"/>
  <c r="Z32" i="59"/>
  <c r="F30" i="59"/>
  <c r="G30" i="59" s="1"/>
  <c r="E30" i="59"/>
  <c r="C30" i="59"/>
  <c r="F29" i="59"/>
  <c r="G29" i="59" s="1"/>
  <c r="E29" i="59"/>
  <c r="C29" i="59"/>
  <c r="AG20" i="59" a="1"/>
  <c r="AG20" i="59" s="1"/>
  <c r="R20" i="59" a="1"/>
  <c r="R20" i="59" s="1"/>
  <c r="Z19" i="59"/>
  <c r="AM45" i="59" s="1" a="1"/>
  <c r="AM45" i="59" s="1"/>
  <c r="M27" i="31"/>
  <c r="F10" i="32" a="1"/>
  <c r="E13" i="32" a="1"/>
  <c r="F12" i="32" a="1"/>
  <c r="F9" i="32" a="1"/>
  <c r="D13" i="32" a="1"/>
  <c r="E14" i="32" a="1"/>
  <c r="F11" i="32" a="1"/>
  <c r="F8" i="32" a="1"/>
  <c r="D14" i="32" a="1"/>
  <c r="B189" i="59" l="1"/>
  <c r="E14" i="32"/>
  <c r="E13" i="32"/>
  <c r="D14" i="32"/>
  <c r="D13" i="32"/>
  <c r="F11" i="32"/>
  <c r="F10" i="32"/>
  <c r="F12" i="32"/>
  <c r="F9" i="32"/>
  <c r="F8" i="32"/>
  <c r="B141" i="59"/>
  <c r="B146" i="59" s="1"/>
  <c r="AB23" i="59"/>
  <c r="AA23" i="59"/>
  <c r="Z23" i="59"/>
  <c r="C60" i="59" s="1"/>
  <c r="E96" i="59"/>
  <c r="B96" i="59" s="1"/>
  <c r="B99" i="59" s="1"/>
  <c r="B148" i="59" l="1"/>
  <c r="M26" i="31" l="1"/>
  <c r="L141" i="18"/>
  <c r="O141" i="18" s="1"/>
  <c r="L142" i="18"/>
  <c r="O142" i="18" s="1"/>
  <c r="L143" i="18"/>
  <c r="O143" i="18" s="1"/>
  <c r="L144" i="18"/>
  <c r="O144" i="18" s="1"/>
  <c r="L145" i="18"/>
  <c r="O145" i="18" s="1"/>
  <c r="L146" i="18"/>
  <c r="O146" i="18" s="1"/>
  <c r="L147" i="18"/>
  <c r="O147" i="18" s="1"/>
  <c r="L148" i="18"/>
  <c r="O148" i="18" s="1"/>
  <c r="L149" i="18"/>
  <c r="O149" i="18" s="1"/>
  <c r="L150" i="18"/>
  <c r="O150" i="18" s="1"/>
  <c r="L151" i="18"/>
  <c r="O151" i="18" s="1"/>
  <c r="L152" i="18"/>
  <c r="O152" i="18" s="1"/>
  <c r="L135" i="18"/>
  <c r="O135" i="18" s="1"/>
  <c r="L136" i="18"/>
  <c r="O136" i="18" s="1"/>
  <c r="L137" i="18"/>
  <c r="O137" i="18" s="1"/>
  <c r="L138" i="18"/>
  <c r="O138" i="18" s="1"/>
  <c r="L139" i="18"/>
  <c r="O139" i="18" s="1"/>
  <c r="L77" i="18"/>
  <c r="O77" i="18" s="1"/>
  <c r="L78" i="18"/>
  <c r="O78" i="18" s="1"/>
  <c r="L79" i="18"/>
  <c r="O79" i="18" s="1"/>
  <c r="L80" i="18"/>
  <c r="O80" i="18" s="1"/>
  <c r="L81" i="18"/>
  <c r="O81" i="18" s="1"/>
  <c r="L82" i="18"/>
  <c r="O82" i="18" s="1"/>
  <c r="L83" i="18"/>
  <c r="O83" i="18" s="1"/>
  <c r="L84" i="18"/>
  <c r="O84" i="18" s="1"/>
  <c r="L85" i="18"/>
  <c r="O85" i="18" s="1"/>
  <c r="L86" i="18"/>
  <c r="O86" i="18" s="1"/>
  <c r="L87" i="18"/>
  <c r="O87" i="18" s="1"/>
  <c r="L88" i="18"/>
  <c r="O88" i="18" s="1"/>
  <c r="L89" i="18"/>
  <c r="O89" i="18" s="1"/>
  <c r="L90" i="18"/>
  <c r="O90" i="18" s="1"/>
  <c r="L91" i="18"/>
  <c r="O91" i="18" s="1"/>
  <c r="L92" i="18"/>
  <c r="O92" i="18" s="1"/>
  <c r="L93" i="18"/>
  <c r="O93" i="18" s="1"/>
  <c r="L94" i="18"/>
  <c r="O94" i="18" s="1"/>
  <c r="L95" i="18"/>
  <c r="O95" i="18" s="1"/>
  <c r="L96" i="18"/>
  <c r="O96" i="18" s="1"/>
  <c r="L97" i="18"/>
  <c r="O97" i="18" s="1"/>
  <c r="L98" i="18"/>
  <c r="O98" i="18" s="1"/>
  <c r="L99" i="18"/>
  <c r="O99" i="18" s="1"/>
  <c r="L100" i="18"/>
  <c r="O100" i="18" s="1"/>
  <c r="L31" i="18"/>
  <c r="L32" i="18"/>
  <c r="O32" i="18" s="1"/>
  <c r="L33" i="18"/>
  <c r="O33" i="18" s="1"/>
  <c r="L34" i="18"/>
  <c r="O34" i="18" s="1"/>
  <c r="L35" i="18"/>
  <c r="O35" i="18" s="1"/>
  <c r="L36" i="18"/>
  <c r="O36" i="18" s="1"/>
  <c r="L37" i="18"/>
  <c r="O37" i="18" s="1"/>
  <c r="L38" i="18"/>
  <c r="O38" i="18" s="1"/>
  <c r="L39" i="18"/>
  <c r="O39" i="18" s="1"/>
  <c r="L40" i="18"/>
  <c r="O40" i="18" s="1"/>
  <c r="L41" i="18"/>
  <c r="O41" i="18" s="1"/>
  <c r="L42" i="18"/>
  <c r="O42" i="18" s="1"/>
  <c r="L43" i="18"/>
  <c r="O43" i="18" s="1"/>
  <c r="O76" i="18"/>
  <c r="L45" i="18"/>
  <c r="O45" i="18" s="1"/>
  <c r="L46" i="18"/>
  <c r="O46" i="18" s="1"/>
  <c r="L47" i="18"/>
  <c r="O47" i="18" s="1"/>
  <c r="L48" i="18"/>
  <c r="O48" i="18" s="1"/>
  <c r="L49" i="18"/>
  <c r="O49" i="18" s="1"/>
  <c r="L50" i="18"/>
  <c r="O50" i="18" s="1"/>
  <c r="L51" i="18"/>
  <c r="O51" i="18" s="1"/>
  <c r="L52" i="18"/>
  <c r="O52" i="18" s="1"/>
  <c r="L53" i="18"/>
  <c r="O53" i="18" s="1"/>
  <c r="L54" i="18"/>
  <c r="O54" i="18" s="1"/>
  <c r="L55" i="18"/>
  <c r="O55" i="18" s="1"/>
  <c r="L56" i="18"/>
  <c r="O56" i="18" s="1"/>
  <c r="L57" i="18"/>
  <c r="O57" i="18" s="1"/>
  <c r="L58" i="18"/>
  <c r="O58" i="18" s="1"/>
  <c r="L59" i="18"/>
  <c r="O59" i="18" s="1"/>
  <c r="L60" i="18"/>
  <c r="O60" i="18" s="1"/>
  <c r="L61" i="18"/>
  <c r="O61" i="18" s="1"/>
  <c r="L62" i="18"/>
  <c r="O62" i="18" s="1"/>
  <c r="L63" i="18"/>
  <c r="O63" i="18" s="1"/>
  <c r="L64" i="18"/>
  <c r="O64" i="18" s="1"/>
  <c r="L65" i="18"/>
  <c r="O65" i="18" s="1"/>
  <c r="L66" i="18"/>
  <c r="O66" i="18" s="1"/>
  <c r="L67" i="18"/>
  <c r="O67" i="18" s="1"/>
  <c r="L68" i="18"/>
  <c r="O68" i="18" s="1"/>
  <c r="L69" i="18"/>
  <c r="O69" i="18" s="1"/>
  <c r="L70" i="18"/>
  <c r="O70" i="18" s="1"/>
  <c r="L71" i="18"/>
  <c r="O71" i="18" s="1"/>
  <c r="L72" i="18"/>
  <c r="O72" i="18" s="1"/>
  <c r="L73" i="18"/>
  <c r="O73" i="18" s="1"/>
  <c r="L74" i="18"/>
  <c r="O74" i="18" s="1"/>
  <c r="L75" i="18"/>
  <c r="O75" i="18" s="1"/>
  <c r="L44" i="18"/>
  <c r="O44" i="18" s="1"/>
  <c r="C11" i="32" a="1"/>
  <c r="O31" i="18" l="1"/>
  <c r="C11" i="32"/>
  <c r="M25" i="31"/>
  <c r="M24" i="31"/>
  <c r="H125" i="44" l="1"/>
  <c r="D127" i="44" s="1"/>
  <c r="J107" i="44"/>
  <c r="H106" i="44"/>
  <c r="K107" i="44" s="1"/>
  <c r="D87" i="44"/>
  <c r="F71" i="44"/>
  <c r="M23" i="31" l="1"/>
  <c r="M22" i="31"/>
  <c r="E32" i="16"/>
  <c r="C8" i="32" a="1"/>
  <c r="F13" i="32" a="1"/>
  <c r="C12" i="32" a="1"/>
  <c r="F14" i="32" a="1"/>
  <c r="C10" i="32" a="1"/>
  <c r="C13" i="32" a="1"/>
  <c r="G14" i="32" a="1"/>
  <c r="C9" i="32" a="1"/>
  <c r="G13" i="32" a="1"/>
  <c r="C14" i="32" a="1"/>
  <c r="C12" i="32" l="1"/>
  <c r="G14" i="32"/>
  <c r="C14" i="32"/>
  <c r="F14" i="32"/>
  <c r="G13" i="32"/>
  <c r="C13" i="32"/>
  <c r="F13" i="32"/>
  <c r="D25" i="32" s="1"/>
  <c r="C77" i="32" s="1"/>
  <c r="C78" i="32" s="1"/>
  <c r="C83" i="32" s="1"/>
  <c r="C10" i="32"/>
  <c r="C9" i="32"/>
  <c r="C8" i="32"/>
  <c r="E11" i="32" a="1"/>
  <c r="E8" i="32" a="1"/>
  <c r="E10" i="32" a="1"/>
  <c r="E12" i="32" a="1"/>
  <c r="G12" i="32" a="1"/>
  <c r="G11" i="32" a="1"/>
  <c r="E10" i="32" l="1"/>
  <c r="E11" i="32"/>
  <c r="E8" i="32"/>
  <c r="E12" i="32"/>
  <c r="G11" i="32"/>
  <c r="G12" i="32"/>
  <c r="M10" i="31"/>
  <c r="G8" i="32" a="1"/>
  <c r="G10" i="32" a="1"/>
  <c r="G9" i="32" a="1"/>
  <c r="G10" i="32" l="1"/>
  <c r="G8" i="32"/>
  <c r="G9" i="32"/>
  <c r="X10" i="26" l="1" a="1"/>
  <c r="X10" i="26" s="1"/>
  <c r="L12" i="18" l="1"/>
  <c r="O12" i="18" s="1"/>
  <c r="L13" i="18"/>
  <c r="O13" i="18" s="1"/>
  <c r="L14" i="18"/>
  <c r="O14" i="18" s="1"/>
  <c r="L15" i="18"/>
  <c r="O15" i="18" s="1"/>
  <c r="L16" i="18"/>
  <c r="O16" i="18" s="1"/>
  <c r="L17" i="18"/>
  <c r="O17" i="18" s="1"/>
  <c r="L18" i="18"/>
  <c r="O18" i="18" s="1"/>
  <c r="L19" i="18"/>
  <c r="O19" i="18" s="1"/>
  <c r="L20" i="18"/>
  <c r="O20" i="18" s="1"/>
  <c r="L21" i="18"/>
  <c r="O21" i="18" s="1"/>
  <c r="L22" i="18"/>
  <c r="O22" i="18" s="1"/>
  <c r="L23" i="18"/>
  <c r="O23" i="18" s="1"/>
  <c r="L24" i="18"/>
  <c r="O24" i="18" s="1"/>
  <c r="L25" i="18"/>
  <c r="O25" i="18" s="1"/>
  <c r="L26" i="18"/>
  <c r="O26" i="18" s="1"/>
  <c r="L101" i="18"/>
  <c r="O101" i="18" s="1"/>
  <c r="L102" i="18"/>
  <c r="O102" i="18" s="1"/>
  <c r="L103" i="18"/>
  <c r="O103" i="18" s="1"/>
  <c r="L104" i="18"/>
  <c r="O104" i="18" s="1"/>
  <c r="L105" i="18"/>
  <c r="O105" i="18" s="1"/>
  <c r="L106" i="18"/>
  <c r="O106" i="18" s="1"/>
  <c r="L107" i="18"/>
  <c r="O107" i="18" s="1"/>
  <c r="L108" i="18"/>
  <c r="O108" i="18" s="1"/>
  <c r="L109" i="18"/>
  <c r="O109" i="18" s="1"/>
  <c r="L110" i="18"/>
  <c r="O110" i="18" s="1"/>
  <c r="L111" i="18"/>
  <c r="O111" i="18" s="1"/>
  <c r="L112" i="18"/>
  <c r="O112" i="18" s="1"/>
  <c r="L113" i="18"/>
  <c r="O113" i="18" s="1"/>
  <c r="L114" i="18"/>
  <c r="O114" i="18" s="1"/>
  <c r="L115" i="18"/>
  <c r="O115" i="18" s="1"/>
  <c r="L116" i="18"/>
  <c r="O116" i="18" s="1"/>
  <c r="L117" i="18"/>
  <c r="O117" i="18" s="1"/>
  <c r="L118" i="18"/>
  <c r="O118" i="18" s="1"/>
  <c r="L119" i="18"/>
  <c r="O119" i="18" s="1"/>
  <c r="L120" i="18"/>
  <c r="O120" i="18" s="1"/>
  <c r="L121" i="18"/>
  <c r="O121" i="18" s="1"/>
  <c r="L122" i="18"/>
  <c r="O122" i="18" s="1"/>
  <c r="L123" i="18"/>
  <c r="O123" i="18" s="1"/>
  <c r="L124" i="18"/>
  <c r="O124" i="18" s="1"/>
  <c r="L125" i="18"/>
  <c r="O125" i="18" s="1"/>
  <c r="L126" i="18"/>
  <c r="O126" i="18" s="1"/>
  <c r="L127" i="18"/>
  <c r="O127" i="18" s="1"/>
  <c r="L128" i="18"/>
  <c r="O128" i="18" s="1"/>
  <c r="L129" i="18"/>
  <c r="O129" i="18" s="1"/>
  <c r="L130" i="18"/>
  <c r="O130" i="18" s="1"/>
  <c r="L131" i="18"/>
  <c r="O131" i="18" s="1"/>
  <c r="L132" i="18"/>
  <c r="O132" i="18" s="1"/>
  <c r="L133" i="18"/>
  <c r="O133" i="18" s="1"/>
  <c r="L134" i="18"/>
  <c r="O134" i="18" s="1"/>
  <c r="L140" i="18"/>
  <c r="O140" i="18" s="1"/>
  <c r="L27" i="18"/>
  <c r="O27" i="18" s="1"/>
  <c r="L28" i="18"/>
  <c r="O28" i="18" s="1"/>
  <c r="L29" i="18"/>
  <c r="O29" i="18" s="1"/>
  <c r="L30" i="18"/>
  <c r="O30" i="18" s="1"/>
  <c r="B20" i="16" a="1"/>
  <c r="B20" i="16" s="1"/>
  <c r="E25" i="33"/>
  <c r="F26" i="33" s="1"/>
  <c r="M21" i="31"/>
  <c r="Y9" i="31" a="1"/>
  <c r="Y9" i="31" s="1"/>
  <c r="M20" i="31"/>
  <c r="M19" i="31"/>
  <c r="M18" i="31"/>
  <c r="F25" i="33" l="1"/>
  <c r="C3" i="33" s="1"/>
  <c r="F30" i="33"/>
  <c r="C13" i="33" s="1"/>
  <c r="F29" i="33"/>
  <c r="C12" i="33" s="1"/>
  <c r="F28" i="33"/>
  <c r="C11" i="33" s="1"/>
  <c r="F27" i="33"/>
  <c r="C5" i="33" s="1"/>
  <c r="R48" i="16" a="1"/>
  <c r="R48" i="16" s="1"/>
  <c r="C4" i="33"/>
  <c r="M11" i="31"/>
  <c r="M12" i="31"/>
  <c r="M13" i="31"/>
  <c r="M14" i="31"/>
  <c r="M15" i="31"/>
  <c r="M16" i="31"/>
  <c r="M17" i="31"/>
  <c r="B39" i="17"/>
  <c r="E23" i="16" l="1"/>
  <c r="F23" i="16"/>
  <c r="G23" i="16"/>
  <c r="I55" i="28"/>
  <c r="H55" i="28"/>
  <c r="I54" i="28"/>
  <c r="H54" i="28"/>
  <c r="I53" i="28"/>
  <c r="H53" i="28"/>
  <c r="I52" i="28"/>
  <c r="H52" i="28"/>
  <c r="I51" i="28"/>
  <c r="H51" i="28"/>
  <c r="I50" i="28"/>
  <c r="H50" i="28"/>
  <c r="I49" i="28"/>
  <c r="H49" i="28"/>
  <c r="I48" i="28"/>
  <c r="H48" i="28"/>
  <c r="I47" i="28"/>
  <c r="H47" i="28"/>
  <c r="I46" i="28"/>
  <c r="H46" i="28"/>
  <c r="I45" i="28"/>
  <c r="H45" i="28"/>
  <c r="I44" i="28"/>
  <c r="H44" i="28"/>
  <c r="I43" i="28"/>
  <c r="H43" i="28"/>
  <c r="I42" i="28"/>
  <c r="H42" i="28"/>
  <c r="I41" i="28"/>
  <c r="H41" i="28"/>
  <c r="I40" i="28"/>
  <c r="H40" i="28"/>
  <c r="I39" i="28"/>
  <c r="H39" i="28"/>
  <c r="I38" i="28"/>
  <c r="H38" i="28"/>
  <c r="I37" i="28"/>
  <c r="H37" i="28"/>
  <c r="I36" i="28"/>
  <c r="H36" i="28"/>
  <c r="I35" i="28"/>
  <c r="H35" i="28"/>
  <c r="I34" i="28"/>
  <c r="H34" i="28"/>
  <c r="I33" i="28"/>
  <c r="H33" i="28"/>
  <c r="I32" i="28"/>
  <c r="H32" i="28"/>
  <c r="I31" i="28"/>
  <c r="H31" i="28"/>
  <c r="I30" i="28"/>
  <c r="H30" i="28"/>
  <c r="I29" i="28"/>
  <c r="H29" i="28"/>
  <c r="I28" i="28"/>
  <c r="H28" i="28"/>
  <c r="I27" i="28"/>
  <c r="H27" i="28"/>
  <c r="I26" i="28"/>
  <c r="H26" i="28"/>
  <c r="I25" i="28"/>
  <c r="H25" i="28"/>
  <c r="I24" i="28"/>
  <c r="H24" i="28"/>
  <c r="I23" i="28"/>
  <c r="H23" i="28"/>
  <c r="I22" i="28"/>
  <c r="H22" i="28"/>
  <c r="I21" i="28"/>
  <c r="H21" i="28"/>
  <c r="I20" i="28"/>
  <c r="H20" i="28"/>
  <c r="I19" i="28"/>
  <c r="H19" i="28"/>
  <c r="I18" i="28"/>
  <c r="H18" i="28"/>
  <c r="I17" i="28"/>
  <c r="H17" i="28"/>
  <c r="I16" i="28"/>
  <c r="H16" i="28"/>
  <c r="I15" i="28"/>
  <c r="H15" i="28"/>
  <c r="I14" i="28"/>
  <c r="H14" i="28"/>
  <c r="I13" i="28"/>
  <c r="H13" i="28"/>
  <c r="I12" i="28"/>
  <c r="H12" i="28"/>
  <c r="I11" i="28"/>
  <c r="H11" i="28"/>
  <c r="I10" i="28"/>
  <c r="H10" i="28"/>
  <c r="I9" i="28"/>
  <c r="H9" i="28"/>
  <c r="I8" i="28"/>
  <c r="H8" i="28"/>
  <c r="I7" i="28"/>
  <c r="H7" i="28"/>
  <c r="I6" i="28"/>
  <c r="H6" i="28"/>
  <c r="I5" i="28"/>
  <c r="H5" i="28"/>
  <c r="D8" i="32" a="1"/>
  <c r="D8" i="32" l="1"/>
  <c r="C125" i="59"/>
  <c r="N11" i="18"/>
  <c r="N10" i="18"/>
  <c r="N9" i="18"/>
  <c r="N8" i="18"/>
  <c r="N7" i="18"/>
  <c r="N6" i="18"/>
  <c r="N5" i="18"/>
  <c r="N4" i="18"/>
  <c r="N3" i="18"/>
  <c r="M3" i="19"/>
  <c r="J18" i="17"/>
  <c r="E10" i="17"/>
  <c r="E90" i="17"/>
  <c r="E95" i="17"/>
  <c r="E91" i="17"/>
  <c r="E89" i="17"/>
  <c r="E88" i="17"/>
  <c r="F11" i="18"/>
  <c r="F10" i="18"/>
  <c r="F9" i="18"/>
  <c r="F8" i="18"/>
  <c r="F7" i="18"/>
  <c r="F6" i="18"/>
  <c r="F5" i="18"/>
  <c r="F4" i="18"/>
  <c r="L4" i="18" s="1"/>
  <c r="O4" i="18" s="1"/>
  <c r="F3" i="18"/>
  <c r="D11" i="10"/>
  <c r="C11" i="10"/>
  <c r="B11" i="10"/>
  <c r="A11" i="10"/>
  <c r="D10" i="32" a="1"/>
  <c r="D11" i="32" a="1"/>
  <c r="D12" i="32" a="1"/>
  <c r="D10" i="32" l="1"/>
  <c r="D12" i="32"/>
  <c r="D11" i="32"/>
  <c r="L3" i="18"/>
  <c r="O3" i="18" s="1"/>
  <c r="L10" i="18"/>
  <c r="O10" i="18" s="1"/>
  <c r="L6" i="18"/>
  <c r="O6" i="18" s="1"/>
  <c r="L11" i="18"/>
  <c r="O11" i="18" s="1"/>
  <c r="L5" i="18"/>
  <c r="O5" i="18" s="1"/>
  <c r="L7" i="18"/>
  <c r="O7" i="18" s="1"/>
  <c r="L8" i="18"/>
  <c r="O8" i="18" s="1"/>
  <c r="L9" i="18"/>
  <c r="O9" i="18" s="1"/>
  <c r="F22" i="17" a="1"/>
  <c r="F22" i="17" s="1"/>
  <c r="E92" i="17" s="1"/>
  <c r="E93" i="17"/>
  <c r="E94" i="17"/>
  <c r="J22" i="17"/>
  <c r="E96" i="17" s="1"/>
  <c r="R45" i="59" l="1" a="1"/>
  <c r="R45" i="59" s="1"/>
  <c r="B48" i="16" a="1"/>
  <c r="B48" i="16" s="1"/>
  <c r="AA21" i="16" s="1"/>
  <c r="AA21" i="59" l="1"/>
  <c r="AV24" i="59"/>
  <c r="Z21" i="59"/>
  <c r="D74" i="59" s="1"/>
  <c r="AV23" i="59"/>
  <c r="AB21" i="59"/>
  <c r="Z22" i="59"/>
  <c r="AV22" i="59"/>
  <c r="AU17" i="59"/>
  <c r="AV20" i="59"/>
  <c r="AA22" i="59"/>
  <c r="AV21" i="59"/>
  <c r="AB22" i="59"/>
  <c r="AB24" i="16"/>
  <c r="AB28" i="16"/>
  <c r="AB27" i="16"/>
  <c r="E21" i="16"/>
  <c r="E31" i="16" s="1"/>
  <c r="AB26" i="16"/>
  <c r="AB25" i="16"/>
  <c r="E22" i="16"/>
  <c r="G22" i="16"/>
  <c r="F22" i="16"/>
  <c r="G21" i="16"/>
  <c r="F21" i="16"/>
  <c r="E71" i="59" l="1"/>
  <c r="D71" i="59" s="1"/>
  <c r="B109" i="59" s="1"/>
  <c r="B111" i="59" s="1"/>
  <c r="Z31" i="59"/>
  <c r="AV17" i="59"/>
  <c r="AT19" i="59" s="1"/>
  <c r="B196" i="59"/>
  <c r="B208" i="59"/>
  <c r="D125" i="59"/>
  <c r="B204" i="59" s="1"/>
  <c r="AB21" i="16"/>
  <c r="Z23" i="16" s="1"/>
  <c r="E9" i="32" a="1"/>
  <c r="D9" i="32" a="1"/>
  <c r="E9" i="32" l="1"/>
  <c r="D24" i="32" s="1"/>
  <c r="D9" i="32"/>
  <c r="D23" i="32" s="1"/>
  <c r="C56" i="3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Clarkson</author>
    <author>School</author>
  </authors>
  <commentList>
    <comment ref="D47" authorId="0" shapeId="0" xr:uid="{2941A2B3-A912-6C4E-9D0F-A575CC9F75F0}">
      <text>
        <r>
          <rPr>
            <b/>
            <sz val="10"/>
            <color rgb="FF000000"/>
            <rFont val="Tahoma"/>
            <family val="2"/>
          </rPr>
          <t>Clarkson:</t>
        </r>
        <r>
          <rPr>
            <sz val="10"/>
            <color rgb="FF000000"/>
            <rFont val="Tahoma"/>
            <family val="2"/>
          </rPr>
          <t xml:space="preserve">
</t>
        </r>
        <r>
          <rPr>
            <sz val="10"/>
            <color rgb="FF000000"/>
            <rFont val="Tahoma"/>
            <family val="2"/>
          </rPr>
          <t>Currenlty validating the data, we will add it to the database in the future</t>
        </r>
      </text>
    </comment>
    <comment ref="D73" authorId="0" shapeId="0" xr:uid="{9171F1D3-2D47-014D-86D1-49EBC0E8279C}">
      <text>
        <r>
          <rPr>
            <b/>
            <sz val="12"/>
            <color rgb="FF000000"/>
            <rFont val="Aptos Narrow"/>
            <family val="2"/>
          </rPr>
          <t>Clarkson</t>
        </r>
        <r>
          <rPr>
            <sz val="7"/>
            <color rgb="FF000000"/>
            <rFont val="Aptos Narrow"/>
            <family val="2"/>
          </rPr>
          <t xml:space="preserve">
</t>
        </r>
        <r>
          <rPr>
            <sz val="12"/>
            <color rgb="FF000000"/>
            <rFont val="Aptos Narrow"/>
            <family val="2"/>
          </rPr>
          <t>Enter efficiency will used when the power consumption is unknown, but Power rating is known</t>
        </r>
      </text>
    </comment>
    <comment ref="A176" authorId="1" shapeId="0" xr:uid="{E9A5213A-4B03-0D4B-A1CC-35C9B776F660}">
      <text>
        <r>
          <rPr>
            <b/>
            <sz val="10"/>
            <color rgb="FF000000"/>
            <rFont val="Tahoma"/>
            <family val="2"/>
          </rPr>
          <t>School:</t>
        </r>
        <r>
          <rPr>
            <sz val="10"/>
            <color rgb="FF000000"/>
            <rFont val="Tahoma"/>
            <family val="2"/>
          </rPr>
          <t xml:space="preserve">
</t>
        </r>
        <r>
          <rPr>
            <sz val="10"/>
            <color rgb="FF000000"/>
            <rFont val="Tahoma"/>
            <family val="2"/>
          </rPr>
          <t xml:space="preserve">To be considered in the future work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Clarkson</author>
    <author>School</author>
  </authors>
  <commentList>
    <comment ref="D47" authorId="0" shapeId="0" xr:uid="{7560CA75-CDA6-C54F-AEAF-775375B65B4C}">
      <text>
        <r>
          <rPr>
            <b/>
            <sz val="10"/>
            <color rgb="FF000000"/>
            <rFont val="Tahoma"/>
            <family val="2"/>
          </rPr>
          <t>Clarkson:</t>
        </r>
        <r>
          <rPr>
            <sz val="10"/>
            <color rgb="FF000000"/>
            <rFont val="Tahoma"/>
            <family val="2"/>
          </rPr>
          <t xml:space="preserve">
</t>
        </r>
        <r>
          <rPr>
            <sz val="10"/>
            <color rgb="FF000000"/>
            <rFont val="Tahoma"/>
            <family val="2"/>
          </rPr>
          <t>Currenlty validating the data, we will add it to the database in the future</t>
        </r>
      </text>
    </comment>
    <comment ref="D73" authorId="0" shapeId="0" xr:uid="{E2ED936D-2C08-314B-B331-4FA28430F13A}">
      <text>
        <r>
          <rPr>
            <b/>
            <sz val="12"/>
            <color rgb="FF000000"/>
            <rFont val="Aptos Narrow"/>
            <family val="2"/>
          </rPr>
          <t>Clarkson</t>
        </r>
        <r>
          <rPr>
            <sz val="7"/>
            <color rgb="FF000000"/>
            <rFont val="Aptos Narrow"/>
            <family val="2"/>
          </rPr>
          <t xml:space="preserve">
</t>
        </r>
        <r>
          <rPr>
            <sz val="12"/>
            <color rgb="FF000000"/>
            <rFont val="Aptos Narrow"/>
            <family val="2"/>
          </rPr>
          <t>Enter efficiency will used when the power consumption is unknown, but Power rating is known</t>
        </r>
      </text>
    </comment>
    <comment ref="A176" authorId="1" shapeId="0" xr:uid="{A3B57EBD-9018-7C4F-85E4-3E620E213FD7}">
      <text>
        <r>
          <rPr>
            <b/>
            <sz val="10"/>
            <color rgb="FF000000"/>
            <rFont val="Tahoma"/>
            <family val="2"/>
          </rPr>
          <t>School:</t>
        </r>
        <r>
          <rPr>
            <sz val="10"/>
            <color rgb="FF000000"/>
            <rFont val="Tahoma"/>
            <family val="2"/>
          </rPr>
          <t xml:space="preserve">
</t>
        </r>
        <r>
          <rPr>
            <sz val="10"/>
            <color rgb="FF000000"/>
            <rFont val="Tahoma"/>
            <family val="2"/>
          </rPr>
          <t xml:space="preserve">To be considered in the future work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Clarkson</author>
    <author>School</author>
  </authors>
  <commentList>
    <comment ref="D47" authorId="0" shapeId="0" xr:uid="{723C187A-308B-4B4A-8E4D-7677A3150853}">
      <text>
        <r>
          <rPr>
            <b/>
            <sz val="10"/>
            <color rgb="FF000000"/>
            <rFont val="Tahoma"/>
            <family val="2"/>
          </rPr>
          <t>Clarkson:</t>
        </r>
        <r>
          <rPr>
            <sz val="10"/>
            <color rgb="FF000000"/>
            <rFont val="Tahoma"/>
            <family val="2"/>
          </rPr>
          <t xml:space="preserve">
</t>
        </r>
        <r>
          <rPr>
            <sz val="10"/>
            <color rgb="FF000000"/>
            <rFont val="Tahoma"/>
            <family val="2"/>
          </rPr>
          <t>Currenlty validating the data, we will add it to the database in the future</t>
        </r>
      </text>
    </comment>
    <comment ref="D73" authorId="0" shapeId="0" xr:uid="{9AB21B6D-14E7-FD4A-957D-DB78D0316135}">
      <text>
        <r>
          <rPr>
            <b/>
            <sz val="12"/>
            <color rgb="FF000000"/>
            <rFont val="Aptos Narrow"/>
            <family val="2"/>
          </rPr>
          <t>Clarkson</t>
        </r>
        <r>
          <rPr>
            <sz val="7"/>
            <color rgb="FF000000"/>
            <rFont val="Aptos Narrow"/>
            <family val="2"/>
          </rPr>
          <t xml:space="preserve">
</t>
        </r>
        <r>
          <rPr>
            <sz val="12"/>
            <color rgb="FF000000"/>
            <rFont val="Aptos Narrow"/>
            <family val="2"/>
          </rPr>
          <t>Enter efficiency will used when the power consumption is unknown, but Power rating is known</t>
        </r>
      </text>
    </comment>
    <comment ref="A176" authorId="1" shapeId="0" xr:uid="{87A1FE6F-4DC4-F74F-9AC5-DBE299AC09AF}">
      <text>
        <r>
          <rPr>
            <b/>
            <sz val="10"/>
            <color rgb="FF000000"/>
            <rFont val="Tahoma"/>
            <family val="2"/>
          </rPr>
          <t>School:</t>
        </r>
        <r>
          <rPr>
            <sz val="10"/>
            <color rgb="FF000000"/>
            <rFont val="Tahoma"/>
            <family val="2"/>
          </rPr>
          <t xml:space="preserve">
</t>
        </r>
        <r>
          <rPr>
            <sz val="10"/>
            <color rgb="FF000000"/>
            <rFont val="Tahoma"/>
            <family val="2"/>
          </rPr>
          <t xml:space="preserve">To be considered in the future work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Clarkson</author>
    <author>School</author>
  </authors>
  <commentList>
    <comment ref="D47" authorId="0" shapeId="0" xr:uid="{75C4581A-3452-C747-BA12-41A40A572D13}">
      <text>
        <r>
          <rPr>
            <b/>
            <sz val="10"/>
            <color rgb="FF000000"/>
            <rFont val="Tahoma"/>
            <family val="2"/>
          </rPr>
          <t>Clarkson:</t>
        </r>
        <r>
          <rPr>
            <sz val="10"/>
            <color rgb="FF000000"/>
            <rFont val="Tahoma"/>
            <family val="2"/>
          </rPr>
          <t xml:space="preserve">
</t>
        </r>
        <r>
          <rPr>
            <sz val="10"/>
            <color rgb="FF000000"/>
            <rFont val="Tahoma"/>
            <family val="2"/>
          </rPr>
          <t>Currenlty validating the data, we will add it to the database in the future</t>
        </r>
      </text>
    </comment>
    <comment ref="D73" authorId="0" shapeId="0" xr:uid="{2400BAE0-C4BA-C34C-B846-8C3BC7CAA2B0}">
      <text>
        <r>
          <rPr>
            <b/>
            <sz val="12"/>
            <color rgb="FF000000"/>
            <rFont val="Aptos Narrow"/>
            <family val="2"/>
          </rPr>
          <t>Clarkson</t>
        </r>
        <r>
          <rPr>
            <sz val="7"/>
            <color rgb="FF000000"/>
            <rFont val="Aptos Narrow"/>
            <family val="2"/>
          </rPr>
          <t xml:space="preserve">
</t>
        </r>
        <r>
          <rPr>
            <sz val="12"/>
            <color rgb="FF000000"/>
            <rFont val="Aptos Narrow"/>
            <family val="2"/>
          </rPr>
          <t>Enter efficiency will used when the power consumption is unknown, but Power rating is known</t>
        </r>
      </text>
    </comment>
    <comment ref="A176" authorId="1" shapeId="0" xr:uid="{70633567-737B-0D42-B29B-730CA90267B5}">
      <text>
        <r>
          <rPr>
            <b/>
            <sz val="10"/>
            <color rgb="FF000000"/>
            <rFont val="Tahoma"/>
            <family val="2"/>
          </rPr>
          <t>School:</t>
        </r>
        <r>
          <rPr>
            <sz val="10"/>
            <color rgb="FF000000"/>
            <rFont val="Tahoma"/>
            <family val="2"/>
          </rPr>
          <t xml:space="preserve">
</t>
        </r>
        <r>
          <rPr>
            <sz val="10"/>
            <color rgb="FF000000"/>
            <rFont val="Tahoma"/>
            <family val="2"/>
          </rPr>
          <t xml:space="preserve">To be considered in the future work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Clarkson</author>
    <author>School</author>
  </authors>
  <commentList>
    <comment ref="D47" authorId="0" shapeId="0" xr:uid="{E6A8DF0F-5EFC-354D-8F56-481FA6BEF400}">
      <text>
        <r>
          <rPr>
            <b/>
            <sz val="10"/>
            <color rgb="FF000000"/>
            <rFont val="Tahoma"/>
            <family val="2"/>
          </rPr>
          <t>Clarkson:</t>
        </r>
        <r>
          <rPr>
            <sz val="10"/>
            <color rgb="FF000000"/>
            <rFont val="Tahoma"/>
            <family val="2"/>
          </rPr>
          <t xml:space="preserve">
</t>
        </r>
        <r>
          <rPr>
            <sz val="10"/>
            <color rgb="FF000000"/>
            <rFont val="Tahoma"/>
            <family val="2"/>
          </rPr>
          <t>Currenlty validating the data, we will add it to the database in the future</t>
        </r>
      </text>
    </comment>
    <comment ref="D73" authorId="0" shapeId="0" xr:uid="{7FB2D5B9-EC5D-504F-A768-ACEDC88464B2}">
      <text>
        <r>
          <rPr>
            <b/>
            <sz val="12"/>
            <color rgb="FF000000"/>
            <rFont val="Aptos Narrow"/>
            <family val="2"/>
          </rPr>
          <t>Clarkson</t>
        </r>
        <r>
          <rPr>
            <sz val="7"/>
            <color rgb="FF000000"/>
            <rFont val="Aptos Narrow"/>
            <family val="2"/>
          </rPr>
          <t xml:space="preserve">
</t>
        </r>
        <r>
          <rPr>
            <sz val="12"/>
            <color rgb="FF000000"/>
            <rFont val="Aptos Narrow"/>
            <family val="2"/>
          </rPr>
          <t>Enter efficiency will used when the power consumption is unknown, but Power rating is known</t>
        </r>
      </text>
    </comment>
    <comment ref="A176" authorId="1" shapeId="0" xr:uid="{F4D67575-0EE6-2F4A-BBFA-5CC239342021}">
      <text>
        <r>
          <rPr>
            <b/>
            <sz val="10"/>
            <color rgb="FF000000"/>
            <rFont val="Tahoma"/>
            <family val="2"/>
          </rPr>
          <t>School:</t>
        </r>
        <r>
          <rPr>
            <sz val="10"/>
            <color rgb="FF000000"/>
            <rFont val="Tahoma"/>
            <family val="2"/>
          </rPr>
          <t xml:space="preserve">
</t>
        </r>
        <r>
          <rPr>
            <sz val="10"/>
            <color rgb="FF000000"/>
            <rFont val="Tahoma"/>
            <family val="2"/>
          </rPr>
          <t xml:space="preserve">To be considered in the future work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Clarkson</author>
    <author>School</author>
  </authors>
  <commentList>
    <comment ref="D47" authorId="0" shapeId="0" xr:uid="{82DC1825-2E46-D54E-989D-F439B2DCBF5F}">
      <text>
        <r>
          <rPr>
            <b/>
            <sz val="10"/>
            <color rgb="FF000000"/>
            <rFont val="Tahoma"/>
            <family val="2"/>
          </rPr>
          <t>Clarkson:</t>
        </r>
        <r>
          <rPr>
            <sz val="10"/>
            <color rgb="FF000000"/>
            <rFont val="Tahoma"/>
            <family val="2"/>
          </rPr>
          <t xml:space="preserve">
</t>
        </r>
        <r>
          <rPr>
            <sz val="10"/>
            <color rgb="FF000000"/>
            <rFont val="Tahoma"/>
            <family val="2"/>
          </rPr>
          <t>Currenlty validating the data, we will add it to the database in the future</t>
        </r>
      </text>
    </comment>
    <comment ref="D73" authorId="0" shapeId="0" xr:uid="{DC4BC5D7-872D-F248-A5A4-676EC4965BAD}">
      <text>
        <r>
          <rPr>
            <b/>
            <sz val="12"/>
            <color rgb="FF000000"/>
            <rFont val="Aptos Narrow"/>
            <family val="2"/>
          </rPr>
          <t>Clarkson</t>
        </r>
        <r>
          <rPr>
            <sz val="7"/>
            <color rgb="FF000000"/>
            <rFont val="Aptos Narrow"/>
            <family val="2"/>
          </rPr>
          <t xml:space="preserve">
</t>
        </r>
        <r>
          <rPr>
            <sz val="12"/>
            <color rgb="FF000000"/>
            <rFont val="Aptos Narrow"/>
            <family val="2"/>
          </rPr>
          <t>Enter efficiency will used when the power consumption is unknown, but Power rating is known</t>
        </r>
      </text>
    </comment>
    <comment ref="A176" authorId="1" shapeId="0" xr:uid="{600386EE-D679-4240-A51C-E2A97C5B6C13}">
      <text>
        <r>
          <rPr>
            <b/>
            <sz val="10"/>
            <color rgb="FF000000"/>
            <rFont val="Tahoma"/>
            <family val="2"/>
          </rPr>
          <t>School:</t>
        </r>
        <r>
          <rPr>
            <sz val="10"/>
            <color rgb="FF000000"/>
            <rFont val="Tahoma"/>
            <family val="2"/>
          </rPr>
          <t xml:space="preserve">
</t>
        </r>
        <r>
          <rPr>
            <sz val="10"/>
            <color rgb="FF000000"/>
            <rFont val="Tahoma"/>
            <family val="2"/>
          </rPr>
          <t xml:space="preserve">To be considered in the future work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Ravitej Venkataswamy</author>
  </authors>
  <commentList>
    <comment ref="C56" authorId="0" shapeId="0" xr:uid="{D3F907B0-841F-5C4E-B46D-615F78AC0D2E}">
      <text>
        <r>
          <rPr>
            <b/>
            <sz val="18"/>
            <color rgb="FF000000"/>
            <rFont val="Aptos Narrow"/>
            <scheme val="minor"/>
          </rPr>
          <t>Once the vendors enter process names the values will appear here</t>
        </r>
      </text>
    </comment>
    <comment ref="C77" authorId="0" shapeId="0" xr:uid="{A221FEA2-E9C2-2F4C-8481-6F7AF0E454EE}">
      <text>
        <r>
          <rPr>
            <b/>
            <sz val="20"/>
            <color rgb="FF000000"/>
            <rFont val="Tahoma"/>
            <family val="2"/>
          </rPr>
          <t xml:space="preserve">Once the vendors enter process names the values will appear here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School</author>
  </authors>
  <commentList>
    <comment ref="J4" authorId="0" shapeId="0" xr:uid="{760ACA8F-2972-A44C-9B23-18A58EDBE93E}">
      <text>
        <r>
          <rPr>
            <b/>
            <sz val="10"/>
            <color rgb="FF000000"/>
            <rFont val="Tahoma"/>
            <family val="2"/>
          </rPr>
          <t>Clarkson Team:</t>
        </r>
        <r>
          <rPr>
            <sz val="10"/>
            <color rgb="FF000000"/>
            <rFont val="Tahoma"/>
            <family val="2"/>
          </rPr>
          <t xml:space="preserve">
</t>
        </r>
        <r>
          <rPr>
            <sz val="10"/>
            <color rgb="FF000000"/>
            <rFont val="Tahoma"/>
            <family val="2"/>
          </rPr>
          <t xml:space="preserve">This will be included in the Future work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School</author>
  </authors>
  <commentList>
    <comment ref="H10" authorId="0" shapeId="0" xr:uid="{03E832F1-88F9-C34D-AF27-4584F6B9C506}">
      <text>
        <r>
          <rPr>
            <b/>
            <sz val="10"/>
            <color rgb="FF000000"/>
            <rFont val="Tahoma"/>
            <family val="2"/>
          </rPr>
          <t>School:</t>
        </r>
        <r>
          <rPr>
            <sz val="10"/>
            <color rgb="FF000000"/>
            <rFont val="Tahoma"/>
            <family val="2"/>
          </rPr>
          <t xml:space="preserve">
</t>
        </r>
        <r>
          <rPr>
            <sz val="10"/>
            <color rgb="FF000000"/>
            <rFont val="Tahoma"/>
            <family val="2"/>
          </rPr>
          <t>https://ereztech.com/product/cerium-iii-nitrate-hydrate-10294-41-4/</t>
        </r>
      </text>
    </comment>
    <comment ref="H11" authorId="0" shapeId="0" xr:uid="{6CD81F9F-9876-5B49-BE1A-AA851AD05123}">
      <text>
        <r>
          <rPr>
            <b/>
            <sz val="10"/>
            <color rgb="FF000000"/>
            <rFont val="Tahoma"/>
            <family val="2"/>
          </rPr>
          <t>School:</t>
        </r>
        <r>
          <rPr>
            <sz val="10"/>
            <color rgb="FF000000"/>
            <rFont val="Tahoma"/>
            <family val="2"/>
          </rPr>
          <t xml:space="preserve">
</t>
        </r>
        <r>
          <rPr>
            <sz val="10"/>
            <color rgb="FF000000"/>
            <rFont val="Tahoma"/>
            <family val="2"/>
          </rPr>
          <t>https://ereztech.com/product/ceriumiii-chloride-heptahydrate-18618-55-8/</t>
        </r>
      </text>
    </comment>
    <comment ref="H12" authorId="0" shapeId="0" xr:uid="{99E1BB75-7EF0-FC4B-907F-F47DAC318E82}">
      <text>
        <r>
          <rPr>
            <b/>
            <sz val="10"/>
            <color rgb="FF000000"/>
            <rFont val="Tahoma"/>
            <family val="2"/>
          </rPr>
          <t>School:</t>
        </r>
        <r>
          <rPr>
            <sz val="10"/>
            <color rgb="FF000000"/>
            <rFont val="Tahoma"/>
            <family val="2"/>
          </rPr>
          <t xml:space="preserve">
</t>
        </r>
        <r>
          <rPr>
            <sz val="10"/>
            <color rgb="FF000000"/>
            <rFont val="Tahoma"/>
            <family val="2"/>
          </rPr>
          <t>https://ereztech.com/product/cerium-acetate-hydrate-206996-60-3/</t>
        </r>
      </text>
    </comment>
    <comment ref="H13" authorId="0" shapeId="0" xr:uid="{9F9E4801-6F5A-C144-8DFA-20F278BB3F1E}">
      <text>
        <r>
          <rPr>
            <b/>
            <sz val="10"/>
            <color rgb="FF000000"/>
            <rFont val="Tahoma"/>
            <family val="2"/>
          </rPr>
          <t>School:</t>
        </r>
        <r>
          <rPr>
            <sz val="10"/>
            <color rgb="FF000000"/>
            <rFont val="Tahoma"/>
            <family val="2"/>
          </rPr>
          <t xml:space="preserve">
</t>
        </r>
        <r>
          <rPr>
            <sz val="10"/>
            <color rgb="FF000000"/>
            <rFont val="Tahoma"/>
            <family val="2"/>
          </rPr>
          <t>https://www.webqc.org/molecular-weight-of-CeF3.html</t>
        </r>
      </text>
    </comment>
    <comment ref="H14" authorId="0" shapeId="0" xr:uid="{36E2B21F-1CEC-E946-B93F-924CD769B75A}">
      <text>
        <r>
          <rPr>
            <b/>
            <sz val="10"/>
            <color rgb="FF000000"/>
            <rFont val="Tahoma"/>
            <family val="2"/>
          </rPr>
          <t>School:</t>
        </r>
        <r>
          <rPr>
            <sz val="10"/>
            <color rgb="FF000000"/>
            <rFont val="Tahoma"/>
            <family val="2"/>
          </rPr>
          <t xml:space="preserve">
</t>
        </r>
        <r>
          <rPr>
            <sz val="10"/>
            <color rgb="FF000000"/>
            <rFont val="Tahoma"/>
            <family val="2"/>
          </rPr>
          <t>https://pubchem.ncbi.nlm.nih.gov/compound/Cerium-_II_-chloride-heptahydrate</t>
        </r>
      </text>
    </comment>
    <comment ref="H15" authorId="0" shapeId="0" xr:uid="{D00E8681-9764-0047-9241-CEA37B1259C7}">
      <text>
        <r>
          <rPr>
            <b/>
            <sz val="10"/>
            <color rgb="FF000000"/>
            <rFont val="Tahoma"/>
            <family val="2"/>
          </rPr>
          <t>School:</t>
        </r>
        <r>
          <rPr>
            <sz val="10"/>
            <color rgb="FF000000"/>
            <rFont val="Tahoma"/>
            <family val="2"/>
          </rPr>
          <t xml:space="preserve">
</t>
        </r>
        <r>
          <rPr>
            <sz val="10"/>
            <color rgb="FF000000"/>
            <rFont val="Tahoma"/>
            <family val="2"/>
          </rPr>
          <t>https://www.americanelements.com/cerium-iii-sulfate-13454-94-9</t>
        </r>
      </text>
    </comment>
    <comment ref="H16" authorId="0" shapeId="0" xr:uid="{C797AB7D-2A12-AA40-AD28-553AFC9550AD}">
      <text>
        <r>
          <rPr>
            <b/>
            <sz val="10"/>
            <color rgb="FF000000"/>
            <rFont val="Tahoma"/>
            <family val="2"/>
          </rPr>
          <t>School:</t>
        </r>
        <r>
          <rPr>
            <sz val="10"/>
            <color rgb="FF000000"/>
            <rFont val="Tahoma"/>
            <family val="2"/>
          </rPr>
          <t xml:space="preserve">
</t>
        </r>
        <r>
          <rPr>
            <sz val="10"/>
            <color rgb="FF000000"/>
            <rFont val="Tahoma"/>
            <family val="2"/>
          </rPr>
          <t>https://www.webqc.org/molecular-weight-of-Ce(OH)3.html</t>
        </r>
      </text>
    </comment>
    <comment ref="H17" authorId="0" shapeId="0" xr:uid="{A0880848-BE75-7148-93EE-55FFEB71B8E4}">
      <text>
        <r>
          <rPr>
            <b/>
            <sz val="10"/>
            <color rgb="FF000000"/>
            <rFont val="Tahoma"/>
            <family val="2"/>
          </rPr>
          <t>School:</t>
        </r>
        <r>
          <rPr>
            <sz val="10"/>
            <color rgb="FF000000"/>
            <rFont val="Tahoma"/>
            <family val="2"/>
          </rPr>
          <t xml:space="preserve">
</t>
        </r>
        <r>
          <rPr>
            <sz val="10"/>
            <color rgb="FF000000"/>
            <rFont val="Tahoma"/>
            <family val="2"/>
          </rPr>
          <t>https://ereztech.com/product/cerium-iii-carbonate-hydrate-54451-25-1/</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50">
    <bk>
      <extLst>
        <ext uri="{3e2802c4-a4d2-4d8b-9148-e3be6c30e623}">
          <xlrd:rvb i="0"/>
        </ext>
      </extLst>
    </bk>
    <bk>
      <extLst>
        <ext uri="{3e2802c4-a4d2-4d8b-9148-e3be6c30e623}">
          <xlrd:rvb i="37"/>
        </ext>
      </extLst>
    </bk>
    <bk>
      <extLst>
        <ext uri="{3e2802c4-a4d2-4d8b-9148-e3be6c30e623}">
          <xlrd:rvb i="73"/>
        </ext>
      </extLst>
    </bk>
    <bk>
      <extLst>
        <ext uri="{3e2802c4-a4d2-4d8b-9148-e3be6c30e623}">
          <xlrd:rvb i="103"/>
        </ext>
      </extLst>
    </bk>
    <bk>
      <extLst>
        <ext uri="{3e2802c4-a4d2-4d8b-9148-e3be6c30e623}">
          <xlrd:rvb i="136"/>
        </ext>
      </extLst>
    </bk>
    <bk>
      <extLst>
        <ext uri="{3e2802c4-a4d2-4d8b-9148-e3be6c30e623}">
          <xlrd:rvb i="170"/>
        </ext>
      </extLst>
    </bk>
    <bk>
      <extLst>
        <ext uri="{3e2802c4-a4d2-4d8b-9148-e3be6c30e623}">
          <xlrd:rvb i="200"/>
        </ext>
      </extLst>
    </bk>
    <bk>
      <extLst>
        <ext uri="{3e2802c4-a4d2-4d8b-9148-e3be6c30e623}">
          <xlrd:rvb i="232"/>
        </ext>
      </extLst>
    </bk>
    <bk>
      <extLst>
        <ext uri="{3e2802c4-a4d2-4d8b-9148-e3be6c30e623}">
          <xlrd:rvb i="260"/>
        </ext>
      </extLst>
    </bk>
    <bk>
      <extLst>
        <ext uri="{3e2802c4-a4d2-4d8b-9148-e3be6c30e623}">
          <xlrd:rvb i="288"/>
        </ext>
      </extLst>
    </bk>
    <bk>
      <extLst>
        <ext uri="{3e2802c4-a4d2-4d8b-9148-e3be6c30e623}">
          <xlrd:rvb i="314"/>
        </ext>
      </extLst>
    </bk>
    <bk>
      <extLst>
        <ext uri="{3e2802c4-a4d2-4d8b-9148-e3be6c30e623}">
          <xlrd:rvb i="344"/>
        </ext>
      </extLst>
    </bk>
    <bk>
      <extLst>
        <ext uri="{3e2802c4-a4d2-4d8b-9148-e3be6c30e623}">
          <xlrd:rvb i="368"/>
        </ext>
      </extLst>
    </bk>
    <bk>
      <extLst>
        <ext uri="{3e2802c4-a4d2-4d8b-9148-e3be6c30e623}">
          <xlrd:rvb i="394"/>
        </ext>
      </extLst>
    </bk>
    <bk>
      <extLst>
        <ext uri="{3e2802c4-a4d2-4d8b-9148-e3be6c30e623}">
          <xlrd:rvb i="422"/>
        </ext>
      </extLst>
    </bk>
    <bk>
      <extLst>
        <ext uri="{3e2802c4-a4d2-4d8b-9148-e3be6c30e623}">
          <xlrd:rvb i="448"/>
        </ext>
      </extLst>
    </bk>
    <bk>
      <extLst>
        <ext uri="{3e2802c4-a4d2-4d8b-9148-e3be6c30e623}">
          <xlrd:rvb i="473"/>
        </ext>
      </extLst>
    </bk>
    <bk>
      <extLst>
        <ext uri="{3e2802c4-a4d2-4d8b-9148-e3be6c30e623}">
          <xlrd:rvb i="500"/>
        </ext>
      </extLst>
    </bk>
    <bk>
      <extLst>
        <ext uri="{3e2802c4-a4d2-4d8b-9148-e3be6c30e623}">
          <xlrd:rvb i="526"/>
        </ext>
      </extLst>
    </bk>
    <bk>
      <extLst>
        <ext uri="{3e2802c4-a4d2-4d8b-9148-e3be6c30e623}">
          <xlrd:rvb i="550"/>
        </ext>
      </extLst>
    </bk>
    <bk>
      <extLst>
        <ext uri="{3e2802c4-a4d2-4d8b-9148-e3be6c30e623}">
          <xlrd:rvb i="576"/>
        </ext>
      </extLst>
    </bk>
    <bk>
      <extLst>
        <ext uri="{3e2802c4-a4d2-4d8b-9148-e3be6c30e623}">
          <xlrd:rvb i="601"/>
        </ext>
      </extLst>
    </bk>
    <bk>
      <extLst>
        <ext uri="{3e2802c4-a4d2-4d8b-9148-e3be6c30e623}">
          <xlrd:rvb i="628"/>
        </ext>
      </extLst>
    </bk>
    <bk>
      <extLst>
        <ext uri="{3e2802c4-a4d2-4d8b-9148-e3be6c30e623}">
          <xlrd:rvb i="653"/>
        </ext>
      </extLst>
    </bk>
    <bk>
      <extLst>
        <ext uri="{3e2802c4-a4d2-4d8b-9148-e3be6c30e623}">
          <xlrd:rvb i="673"/>
        </ext>
      </extLst>
    </bk>
    <bk>
      <extLst>
        <ext uri="{3e2802c4-a4d2-4d8b-9148-e3be6c30e623}">
          <xlrd:rvb i="697"/>
        </ext>
      </extLst>
    </bk>
    <bk>
      <extLst>
        <ext uri="{3e2802c4-a4d2-4d8b-9148-e3be6c30e623}">
          <xlrd:rvb i="725"/>
        </ext>
      </extLst>
    </bk>
    <bk>
      <extLst>
        <ext uri="{3e2802c4-a4d2-4d8b-9148-e3be6c30e623}">
          <xlrd:rvb i="749"/>
        </ext>
      </extLst>
    </bk>
    <bk>
      <extLst>
        <ext uri="{3e2802c4-a4d2-4d8b-9148-e3be6c30e623}">
          <xlrd:rvb i="773"/>
        </ext>
      </extLst>
    </bk>
    <bk>
      <extLst>
        <ext uri="{3e2802c4-a4d2-4d8b-9148-e3be6c30e623}">
          <xlrd:rvb i="798"/>
        </ext>
      </extLst>
    </bk>
    <bk>
      <extLst>
        <ext uri="{3e2802c4-a4d2-4d8b-9148-e3be6c30e623}">
          <xlrd:rvb i="819"/>
        </ext>
      </extLst>
    </bk>
    <bk>
      <extLst>
        <ext uri="{3e2802c4-a4d2-4d8b-9148-e3be6c30e623}">
          <xlrd:rvb i="843"/>
        </ext>
      </extLst>
    </bk>
    <bk>
      <extLst>
        <ext uri="{3e2802c4-a4d2-4d8b-9148-e3be6c30e623}">
          <xlrd:rvb i="864"/>
        </ext>
      </extLst>
    </bk>
    <bk>
      <extLst>
        <ext uri="{3e2802c4-a4d2-4d8b-9148-e3be6c30e623}">
          <xlrd:rvb i="891"/>
        </ext>
      </extLst>
    </bk>
    <bk>
      <extLst>
        <ext uri="{3e2802c4-a4d2-4d8b-9148-e3be6c30e623}">
          <xlrd:rvb i="915"/>
        </ext>
      </extLst>
    </bk>
    <bk>
      <extLst>
        <ext uri="{3e2802c4-a4d2-4d8b-9148-e3be6c30e623}">
          <xlrd:rvb i="936"/>
        </ext>
      </extLst>
    </bk>
    <bk>
      <extLst>
        <ext uri="{3e2802c4-a4d2-4d8b-9148-e3be6c30e623}">
          <xlrd:rvb i="960"/>
        </ext>
      </extLst>
    </bk>
    <bk>
      <extLst>
        <ext uri="{3e2802c4-a4d2-4d8b-9148-e3be6c30e623}">
          <xlrd:rvb i="981"/>
        </ext>
      </extLst>
    </bk>
    <bk>
      <extLst>
        <ext uri="{3e2802c4-a4d2-4d8b-9148-e3be6c30e623}">
          <xlrd:rvb i="1004"/>
        </ext>
      </extLst>
    </bk>
    <bk>
      <extLst>
        <ext uri="{3e2802c4-a4d2-4d8b-9148-e3be6c30e623}">
          <xlrd:rvb i="1025"/>
        </ext>
      </extLst>
    </bk>
    <bk>
      <extLst>
        <ext uri="{3e2802c4-a4d2-4d8b-9148-e3be6c30e623}">
          <xlrd:rvb i="1048"/>
        </ext>
      </extLst>
    </bk>
    <bk>
      <extLst>
        <ext uri="{3e2802c4-a4d2-4d8b-9148-e3be6c30e623}">
          <xlrd:rvb i="1070"/>
        </ext>
      </extLst>
    </bk>
    <bk>
      <extLst>
        <ext uri="{3e2802c4-a4d2-4d8b-9148-e3be6c30e623}">
          <xlrd:rvb i="1093"/>
        </ext>
      </extLst>
    </bk>
    <bk>
      <extLst>
        <ext uri="{3e2802c4-a4d2-4d8b-9148-e3be6c30e623}">
          <xlrd:rvb i="1116"/>
        </ext>
      </extLst>
    </bk>
    <bk>
      <extLst>
        <ext uri="{3e2802c4-a4d2-4d8b-9148-e3be6c30e623}">
          <xlrd:rvb i="1139"/>
        </ext>
      </extLst>
    </bk>
    <bk>
      <extLst>
        <ext uri="{3e2802c4-a4d2-4d8b-9148-e3be6c30e623}">
          <xlrd:rvb i="1161"/>
        </ext>
      </extLst>
    </bk>
    <bk>
      <extLst>
        <ext uri="{3e2802c4-a4d2-4d8b-9148-e3be6c30e623}">
          <xlrd:rvb i="1183"/>
        </ext>
      </extLst>
    </bk>
    <bk>
      <extLst>
        <ext uri="{3e2802c4-a4d2-4d8b-9148-e3be6c30e623}">
          <xlrd:rvb i="1207"/>
        </ext>
      </extLst>
    </bk>
    <bk>
      <extLst>
        <ext uri="{3e2802c4-a4d2-4d8b-9148-e3be6c30e623}">
          <xlrd:rvb i="1229"/>
        </ext>
      </extLst>
    </bk>
    <bk>
      <extLst>
        <ext uri="{3e2802c4-a4d2-4d8b-9148-e3be6c30e623}">
          <xlrd:rvb i="1252"/>
        </ext>
      </extLst>
    </bk>
  </futureMetadata>
  <cellMetadata count="1">
    <bk>
      <rc t="1" v="0"/>
    </bk>
  </cellMetadata>
  <valueMetadata count="50">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valueMetadata>
</metadata>
</file>

<file path=xl/sharedStrings.xml><?xml version="1.0" encoding="utf-8"?>
<sst xmlns="http://schemas.openxmlformats.org/spreadsheetml/2006/main" count="5226" uniqueCount="1234">
  <si>
    <t>Comments</t>
  </si>
  <si>
    <t>Max</t>
  </si>
  <si>
    <t>Average</t>
  </si>
  <si>
    <t>Calcination</t>
  </si>
  <si>
    <t>Mixing</t>
  </si>
  <si>
    <t>Milling</t>
  </si>
  <si>
    <t>Filtration</t>
  </si>
  <si>
    <t>Hydrothermal</t>
  </si>
  <si>
    <t xml:space="preserve">Min </t>
  </si>
  <si>
    <t>Reference</t>
  </si>
  <si>
    <t>Biomass</t>
  </si>
  <si>
    <t>Wind</t>
  </si>
  <si>
    <t>Solar</t>
  </si>
  <si>
    <t>Crystal Ball Data</t>
  </si>
  <si>
    <t>Workbook Variables</t>
  </si>
  <si>
    <t>Last Var Column</t>
  </si>
  <si>
    <t xml:space="preserve">    Name:</t>
  </si>
  <si>
    <t xml:space="preserve">    Value:</t>
  </si>
  <si>
    <t>Worksheet Data</t>
  </si>
  <si>
    <t>Last Data Column Used</t>
  </si>
  <si>
    <t>Sheet Ref</t>
  </si>
  <si>
    <t>Sheet Guid</t>
  </si>
  <si>
    <t>Deleted sheet count</t>
  </si>
  <si>
    <t>Last row used</t>
  </si>
  <si>
    <t>Data blocks</t>
  </si>
  <si>
    <t>f1a8bc73-6b74-4e0e-b7c9-46985600e328</t>
  </si>
  <si>
    <t>CB_Block_0</t>
  </si>
  <si>
    <t>㜸〱敤㕣㕢㙣ㅣ㔷ㄹ摥㌳摥㕤敦慣敤搸㡤搳㑢㑡㘹つ愵ㄴ敡攰挶㘹㐳㘹㈱〴㕦敡㈴慤ㄳ扢戱㤳㠲〰㙤挶扢㘷攲㘹㜶㘶摣㤹㔹㈷㉥㤵㕡㐱换㐵㔰㤰戸㠹㐲戹愸㐲㤵㜸攱昲挲㕤㐲㐸㐸㈰㔴㄰て昰㠰㠴㔰㐱〸ㅥ㐰㄰㠹ㄷ㤰㤰攰晢捥捣散捥散㝡挷敥戶〵ㄷ昹愴晢晢捣戹捤㌹攷扦㥥晦㍦搳㥣挸攵㜲晦㐶攲㕦愶㍣㌳搷㉤㙤昸㠱戴㈷㘶摣㝡㕤㔶〳换㜵晣㠹㈹捦㌳㌶收㉤㍦攸㐳㠳㘲挵㐲扤㕦愸昸搶㐳戲㔴㔹㤷㥥㡦㐶㠵㕣慥㔴搲㌵搴㜳㄰晥㐶攲〷㥤扤〶昳〰换㌳搳ぢ㉢て㘰搴愵挰昵攴㠱戱戳㘱摦㈳㤳㤳ㄳ㤳ㄳ㠷て摥㜱㘸攲攰㠱戱㤹㐶㍤㘸㜸昲㠸㈳ㅢ㠱㘷搴て㡣㉤㌶㔶敡㔶昵㕥戹戱散㕥㤰捥ㄱ戹㜲昰戶ㄵ攳昶㌷㑤摥㝥昸戰㜹攷㥤㙦ㅡ挴慢㜳愷㘶愶ㄷ㍤㘹晡㉦搲㤸〵㑥昹昶㔹㔹戵戸㌶㈹㍤换㌹㍦㌱㌳㡤晦ㄲ昳挷搳ㅤㄳ㑢慢㔲〶㝣戵昴愴㔳㤵扥㡥㡥〳昶㤴敦㌷散㌵㙥㥥㙥捦㘱愹㔵挳てち昶㡣慣搷㜵㍢ㅥ戵㘴㉦㘰敦敡挶挶愰扤㈴ㅤ摦ち慣㜵㉢搸㈸摡换ㄸ愸㌶㘴㥦昱攵㘹挳㌹㉦㑦ㄹ戶㉣搸挷ㅡ㔶㉤ㅦ愶㕣摦捤昱㄰挹㠹愹攵㑦㑣昹昶捣慡攱愹ㄹ昹摣㤸㡣戶㜳㕥㌵摤昶挶敥攳㜲敡敡つㅣ昳愶敥敤㔰㜳搶昰㥡㉤挷扢户㡣ㄶ㥦㥥挱慤摤摢㈷昶㈸摤攷昵摤晢愸慤㑣户ㄶ〳ㄱ㝤慢ㅤ挵㘲昴㈲㐱㍦㐱㠹㠰〸搴换〴〳〴㠳〰㈲晦㜷㜰㐹戲㈳慢戴㡡愱㔵㔶戴㑡㔵慢搴戴㡡搴㉡愶㔶㌹慦㔵㔶戵㡡愵㔵ㅥ搰㉡ㄷ搰㈶㑥愵晥㝥㉤㑡㜳敢晦晣挱㌳㑦㕣扥昷㡢㘳㙦昸散㕤㍦晦摢㙦〷昷愰搱㝤搱愴㘶㍤攳㈲㐸慤㐵挵攰〸晥摢㥡㉢挰ㄴ收㘱昳づ㜳㜲戲㜶昸愰㜱㥢㔱攰戲㌲㤰㥦㈲㤴ㄱ戴ㅤ㌴敦户㥣㥡㝢㔱攱敥扡㘹挳㤷慤㡤ㅢ㡦敡愶摤㠶㔳昳㕦戱㜹攵㔲㘰〴昲摡昶扡搶㈰ㅤ摤㤶挰㔶搲㔷敦扢扥扤摢㔹愳摥㤰㔳㤷慣戰晡㤵㙤搵昶愲攷慥㜴慦㥤昳攴㠳捤摡㡥ㄹ㑤㐱愸慤慢戱㍢㔶ㄹ㔶㠵昳ㅡ㥢㔹㜵㝤改愸改㡤摢㡢㔶昵㠲昴㤶㈴㐵愲慣愹愵㕥挹慡㠸敢挷ㄷㅣ㉣ㄴ摣㕡㝢㜵戲搴扣晢㔲〰㘶㤶㌵捣㜷㑤㝡挱挶戲戱㔲㤷㔷愵㥡㠴敦㐴挵晥㔴昱㥣㕢㙤昸㌳慥ㄳ㜸㙥㍤㕤㌳㔵㕢㌷㈰㘹㙡㈷摤㥡捣攷㜳㑡㈸㐰攰昶昵〹㤱扢愵㍢㉦㈸㐴㈴㔰㑣㐶扥㈶㑤㜶ㄳ愷戱㍡慣愲㉥㐹㤳摡㙢戶ㄸ㡣昳㔵㌲㈶㠳〳ㄳ㙢愲晥攰㑢㕦户挵戰㑤捣扤戴㡤㌵㙤㌴㕡晤摤敢搲〹㡥ㅢ㑥慤㉥扤㑣敤㈷㌸㈳㝤ㄸ愰㜰ㄹ〲愱敢敥㔱搵㠹㑢㘲愳㜰搱慡〵慢挵㔵㘹㥤㕦つ㔰〶つ㔹㉡㜱㙢㍢㤲㝥〵㡡昴扤〴愳〰攵㜲慥戸㡦㡤㡡㘵愴㕣㠱搲㈹㠳㤷㔳㠲㥣晤㔲扣㍣㘸捥㔹昵㐰㠶㐲㜹搸〴㐶㐲慤愶搰㌷㐴ㄲ昵㡣㙡愸㌰昶㤹㌳愰㔲挳㜲㠲㡤ㄶ摦㜶㜰㐹㐸㐴扢戲㘰挷挹〲㡡㠲戴㍣挸攰㌵㄰㑤㥢㌴挸㙥㥣㈰㈲戲㐱㠶㘶挷挸㘹㈲㘳晢っㄹ㠱昶㐹㈲㘴敢㠳摤㘵〴㠹扤㤳㐸搹愹㉢㍦敥㑡戳捤㙣昹㔰㥡㕤㠹㡤搳慦㈲戸㥡攰ㅡ㠲晤〰攲㡦㤰㜰㤴㜲挸愷㤳晥ち㍣敢搷ㄱ扣ㄲ〰昲㐹愷捣㠹㐴ㄵ㙤愸敤搸㤱㙣㌷〴㍢㔹ㄹ挵愱㈸愲㘵摣戴㌳㠷㙣㠵攸挸敡摣ㄹ扡㌶慦㜴散㙢扢搳㘶㜲㌹愴挸㡣愶挹戵㙥搱㌴戹ㄱ㙣摡愳摥扡〱㕤昵㌱㠲㔷〱㤴昵㔷ㄳ㐲戹搰攰摤㥥㐵㑦㤳昲㘵㘱ㄶ㠵挶㔰㡦ち㍥㈲㘴ㅥ〱㌲㠴㕣挷昱㘵搷㠶愶㌹㌸㙥扥散㙤攸〳摤昹㍢㐲㝡㥢摥摣搵㍢昴ㄷ㍤㑦㉢晡㐶戰㤷昸㑤㔷ㅤ㜳ㄳ慡昵搷ㄲ摣っ搰愶㘳㜸晡㝥扥㥥〲㘵ㄶ摢〹捣敤愵搷㐵㔹戹换ㅢ㙢㔲㘹愰㐱㜳搹昰捥换〰ㅥ㡣ㄳ戳戰㠵㕤捦㤳㜵ㅣ㙡㙢慡㠰攷㤷慢搳㠵晥㥣攷摡㉣摦戵㤱晤㤷㠵㘲挸攷戵扥㕣㥢㡤㥣㘱㙢㈶㝣㑥〹捡愱づ扥慤扢㤰㐸㜴㑡㤳ㄷ晢㘵㥦㉦㜷㈵㐹て㤲攴昵搸㔶晤ㄶ〰㐸〹昱慢慥ㄲ攵〰㥢扤㐱㌵㑢㕢慣昴昰㘵㥣㑥摡㝣㠸ㅤ㜲㘴㈰㜴搸㑥挳㝦攰て搹㑢㤶摤ㄴㄶ〳昶愲昴慡昰㉤㔸㜵㔹づ摤戲ㄴ㌵扢戲攲㘵㈲㉢晡晡㍡捥搳ㄹ晥㌵㐵㈷㙤㔲㈲㤳摢㌳㉢㌳捥攲㉤愲愲ㅢ㤲㐲㈵挳㌵搴㤴㐰愴㍣戶摤ㄵ㌱㍤㠸㤸㕢戱㜱晡㐱㠲㐹㠲㐳〰㠵㥦㐱搲㙣㜷攳ㄹづ敢㕦愷㑢扢㔲挹㤵㠸〶攵㈲㝣戶慢戰㍡捣搷扣㤱攰づ㠰㌶昳㠷づ挸っ㐲㔴㈸㑦㄰愲ち㘳㤸㘷㉤㜹㤱㌴戰挷㐴㘰㘹愶攱〷慥捤挸搲㤰㌹敢㥥㜲㠳㔹换㕦㐳㈴㙡搴㡣㌲昷慦㑡〷搴攵挱昶㘹㉢㜳搷搶㘴㑤㌷㤷摣〶㐴摢㠹搹㥤㜰㌰挷㜶挰㤶㔴㘷㜳㑤㈰昵㜶㍥挶㄰〲㍢慤晣慤昴挶㙥换晢捤㐳摦㜰㙢㐷㤷慤愰㉥〷捣㤰改㤸㉦㤹搸㐵㐴づ㙡晤收昲慡㈷攵散㤰㜹捣戳㙡㜵换㤱㐴〶㙣㑣〶敢收攵㜹㐴〹ㄶ㕤挶〰㕤㘷挸㕣昶っ挷㕦㌳ㄸ㔰摣搸㥢㝡㔲㘱㤱㠲㌹㙤㌹㍥㕥愳戰挸晣戰戹戴敡㕥㐴挴戶㘱㍢挷㡣㌵㝦㐷㘰㠵㐴ㅦ㈶㠵ㅡ愱〹㑤ㄳ㈵慤搴㉢㝥㜸㈰捦攵挸㝢㜹〲㠵慢㕣㠱㍥昳っ敤㑤扢㍥㡡搱搰㑥攷㥣〶ㄱ㍤㙡ㄶ昶㘵㑡㘱㜲慡㝥㈷晢摣〵㜰捦戱㌳㈷㕡㤱戹ㄷㄴ戳㉥搰换㥦㈱攳ㄵ㔹㌴〳㈱昴搱敤〹㐹㠵㘵愴ㅣ㜰㈰㌰捥愷㜶昲㉢㥢慡つ愹㙦㑦㉢㍢㠷㐸搲愰㌹㙦慣挸㍡攲搱戶ㄱ散〹ㅦ㘸挶摡㐶摤㡦敡㘶㕣摢㌶㐸㕡㈴换愵慡㐱ち㥥㙡〴敥㐹换搱㑤〰㐵㝦㔱㤱㜱〹㐵挶㈵㔵㌴㘸㥥㘶㘸㔰攵㌹㤶㝢摥昰慣㘰搵戶慡㈵㍥㌰㝣户㈳㘸ㄲ㑣㑥挹ㅢ愷㔸㘶㡣戵㔹昳㘷㘰戲昹ㄳ㐰昷〴攴㈸户㡥攸〷攵㙡愲㠸㝦愲㐷挷ㄲ〴㡣昲㤴敡㙦挱㘸〵㜵㍢〲㈲㐷愵换昱ㅤ㡣换㡦愰㈴ㄴ㐲挴㝡〶㠹挰㉢㤸㄰昲㜴㜱ㄷ捤㌳㡥ㄵ〰㝢挴搸㥣ㄵ捣晡㐰㌹〰戲敡㜸㝢慤挲㙡愲搳㜸㔳㉢摣搰㔹㤵㔲ㄳ搷㜷搶㈷昵挶㙢㌶愹づ㌵㑡㐲㤱㙣搵㐸㘹㤶㑤收戸㤳㔴㡤㔰㡡㍢搶㌶㈲换㙤摡摡㜷㑡㤱ㄷ愰㤸ㄴ捤攴昴户㉡㐲㐱愰㌷搲㔱昴搹㘷㤳㐷㈲㘲㐳ㅢ愰㑣㍤ㄵ㤶つ㐵㈱挱ㄳ戸㜶㔲㤳攵攸〹晣扤㈷捡㉥㌴㠲㔴㡤㜱㘹㌴慡㤹慡搷ㄷㅣ㔸〹㔵挳慢敤㄰㤶挶摡㐲つ愳戸戳㔷敤ㅦ㙥㙦㠲ㄱ㈳㌶㘴㔸㈴挳てっ㌶〴㜳㈵㈲慡戴捥㠶戸搵捤攲ㄲ㥦㑥㑡挳㔱ㄸ㔸ち㙡戳㜲㕤㤹㘱㉤㑢㝥㔴㜵㘸㥥ㄶ㤵ㅣ搵捤愹ㄵㅦ㉡㍤愰ㅣ㡦㜲㡡挱㜵昳㌴摤㔲戸挴〰戱ㅢ攵ㄶ慢〱㐲扢捤〱㜸㌲搸㌹搸挱㡥㠴愱ㄳ㕡㘷㤴愰挵っ挲㑤㉦㠲扣搳㈳㐶㈱㐸㑤㤵晥㝡㔴㝣昶㐹愶慦ㅣ捤挵㤹㠸㠹ㄸ敥捡戰ㅥ㠰摣㘴㘴㤲㕣㌴ㅡ〷捣㐳挹愶㠴搶㘰㕣㐶ㄳ㘳㠸㈶㥦ㄷ攰ㄶて㘳㔹挳㘴㥢㍡敥戹〵ㄶ戴㘹㝤㘳㡦㜹挲愹搶ㅢ㌵愹㔴㜱㉣慢㤵㐶摥ㄱ昸㔲㔷〰㐳㙥捡搸㤷㘸㔳㑥攰㈸挵㈵ㄳ㐹扤摢摤晡㔱㜴㔷㐲づ㘳㠴慡㡦〱挸っ户㥣ち㠸㜵摣㔳愰㝤戸户㜵㠱㐱㕤㥥㠳㐸敢㈸愲㉣㥢挷㝤扣㘶ㄴ㔹㜱㕢愲搹扣㍢敦搲㘶㑦ㄴㅤ户挲愲ㅤ㠱㈳慣㌳ㄴ㜸挵㈲㡣㤱ㅥ戹㠳㠳攴㉥㐷搱摤换㡦愸挷摣㘵愰㐲㘱㐰㌰挶换㔳㔰づ扢ち㐶愲挱慤戵慣㙥挱攸㉦㉤㙦㝤ち㐰㌰っ㑣㠳ㄶ㉤㐳〳㘷〶昹慤つ㥣ㅢ搰㉡㈳㐲㥡っ愶㌲㐶㌹ち㠷㍤㤰〶㙥攲㐱㝡搹㠵ㄲち昶愹㡢㘱昱摤挴㜱ㅢ㐷㈰搷扢慡慤㜰搱〸㜰晤挵搹摦㔶㍣㔵慢搱摣㠵㝦㙥㐷㘰ㄵ㔷㌷㐲㜳㜴㕦摢愵㉣戵㈶摡㜷㌷戶㔵㐴㤷〵て捤㑥ㅣ㌷㠲敡敡㔲戰ㄱ㕥摣敡㤵㈴ち摦㠷㍦㘲搳户搳㘶捥㍢扣㠸扡捥扤㉦㕦㜰摣㡢㡥㥡㔷挱攷慤㍦㔰〸慥㔰昶㜳㤲攵摣扦昱㑦㈵㉤㔷昸ㅥ㐶摣捥戴㌹㐰换㐱挲㜱㔴ち愵挱ㄸ昲ㄹ㜴〲摢扤㜹㙢㠰㜴戲慦㡤㑥㤴㈰搸㈵ㄴ攷晣㡢㐶㈸攲扢㐰㉢㠹㈵㍣㤲㘳捦㥦〱敢㡢敦愰㠴〸挷㜳㈴㐶ち慦㐲㉥〳㜵㑡㤰㐷㔷㍣㜸㈱攴晦〷㑢㌱㌷㙦捡㑥晦〵㘶ㄶ摦㙥㐷搱昵㐴搱户㍡㔰㈴㜸つ㐴昱敦㍤挸挴愹挰昰散昳ち㠴㜳㑤扢〷搰㤷晣挲敦晦昰〰㍡ㅦㄱ㠷戲搱㄰㙡扢〹捦㑤ㄳ愱慦挳㐴㘰昰㕥㤹〸㈷㤱ㄱ㡣攲㠷㈶㐲攴〳㔹㐰挱搶㈶〲㘳㝢ㄹ㠶㘰㈲搴㥡㜰㙢昰〴㜶㤵㑤晦搸㜱㕣扣㤵㍥攲昹㔰㕡晥っ㍣㔲㔷㜷ㄶ㉦ㅡ㥥㘱敦㔷攵挷㍣〹㘵收㉤攳㈶户敡挲ㅥ搷㙥㕡愳㍡㙤攲慢㠸扤散扢晥㤴敤摤㕦〷愶挲ㄴ扡敦㐵㐹ㄴ㕦㠰愷㐴昰摣㤰㝢捦扥慦ㅥ晢摤㐳㡦ㅤ攵㙤戵㠸㔶ぢ户㈰摦㑢挸㥥昶〴㠲扡㠹㡢㈲㔷昲挳㥣㤳昸㐴挹㕡慢换㘹挳㔳㔶㤰慦摢㜱㌶㈴扣〴㘱㠶挴户ㄳ㑣㑣摣㝢〸㑤捣㠹㌶㜷愷晡戰㐹戹〸㈷ㄲㄳ㔷㍥扤㌸㙣㈸扡㉡戲ㅥ慤捤挲搷愱㡡㥥攷㐴搲㔶㈲㑦㥤㑣㐲㝣慤㕤搷ㅤ愶慥ぢて㌲っ晢挷㔲ち昱〷㔲㐸昲㈰挳ぢ〱㑡㑡㥤㐶愶㜰㉢㐰㐶㘴慤㍤挴㑢㝦挰慥㄰㤰捤㑢㝦㍤㝥挴㠲㕤〴ㄶ㘳㕦㝣慦㈷㕡摡愲戱㙡㘲愸㔶搹㌴㑢挸愸挳ぢぢ㈶攳搲㤴愵㜳〸愵摢㜶㐷昱㈵㐳㜶ㄸ㜸ぢㄹ扢㘰搳搷㔶戶敦㜶ㅡ戸昹〱㍤㔳㔴ち挳搹换㘲ㅣ㐸㔵㡣㉥㙣㕡づ㡢〸㠷挳㙣戳搳㐰㔴〵㥤攵散挷愹ㄴ挱㍦㝥㈹挴晡昱搶搰㔷戶搷㔰挷㌹晤㔸㈰㝦戰扦慥捦㘰㙣扣㤵ㅣ〳〹扢慤㔶愵昰㝡昸ㄹ㜴攱愲㜳㐲㙦㘵搵戳㌸㡣㍦㌱㘷昵㘹ㅤ晡㥦搱㙢挵㔹㘷搹㥢㘱散㤴晥㝦㍢ち戶搴晦㠲戱㌷㠵挸㜷㐴ㄹ㍥ㄴㄸ㍦搹㌲㘴挳ㅤ㠱㘷ㅢ挱ㅢ㜵㌰搶㔵㤶㈱敦㌰户㠴㡦㔷挳㙡㈵挱攱昷捡户㕦㡤㘸昶愵㙤㍢搰㔵〰㌲㌶㔴㜸〶㈲愸㙢晦戴摣㡡㑦户挵㜷愲攳扥㤳㔶搵㜳㝤搷っ挶㤶㄰昴ㅤ攳户㘷㈶㙣㥥㈹昱攵㜶愱㜶㈳㜶㘲昰摤攸㜳㙡〱〲晢㤴っ㕥慣㔸㈴㈳ぢ摢㡢㘴昰㍢愴㤱㐴㜸㠹摡挱扦挲扣慦㘱搴昱改敡〲㝣㥤〱㡢㜶㠴戲ぢ㍤捥敤㌷㌴戸㜵戸愳㜵㉦晣㐱戲㍥㠱攰㤸㕡挲㍢摦捤㝤㙤摦㠳㜴摢㘸㙤㍥㕢昶收㜳㉢ㄷ㥥〶㑥户昷㤶㌴挹昰㥤晣㈲戹慣㔷〸㜱㘹晦㈸晥㙥摦㐱换搱㐶㐱攷搱〷摤㜴㠴㡤搷攱㍥摢㐶昴晢ㅣ扡㡡㈹〲晣㜴㈳捡昰㐱搰换㐷㔶ㄴ㕦挰戲挸〰挸攷㡡㔵㠰敥㔴晤搴㘶㔴㍤ㄲぢ㘴挱㌳〶挹戱㉣㍥㠷㠶摣慥㜰搹㘰〹㉥㕢愸戳〴昲㝡摣〳昹㥣攰㔹㐲㑤攴㌳攸搰㥣㠸㠵搲敥ㄳ昹昴㘶ㄳㄱ戴〲搴㐲㤳攳㡦挴㕡㐴慦愳㕡户〹ㅣ〲ㄷ㘰㤸㘲㤱戲愶ㄸ㠶ㄶ扥㐳捣㈰晤㈲晡晢摣搱㥦㍤换昴㤷愳㐲〹㐲㔴愵㈷㑦㐱愸㈶晦戱攴攴㍤㤴㜶㥦晣ㄳ㥢㑤㝥㠴㌲㤲㌳搱〳㠰愱㍥㔱挱ㅦ戵㤸〶㌲摣㐷晥挴㌹〲晣㔲戳ㄸ㌱㔰愲晡㕥㐴〶㝤戹攱慡搵㈵㘴攲扥〵慥㍦攳攳ㅥ㘵ㅦ昱㈲㈴㝤㌹挵搰ㄹ㕢っ戵㘲挹㡥扣戰㍢㐲㌶㘰㐹晣㕡戶慢㐸㉦昶ㄸ攱ㄷㅦ㠸ㄱ㜳晣㜸晣攵㤴ㄶ挵㥣㐰ㄸ愱㐵㑡晡攱㐶㡡昷挷㡤扦昱捤㤶换ㄴㄵ㐸愰㥥戰㌱改㑣㌵㝥㍣㙥㝣〸㕦㘵愹㌶㌹摥㈰㘰㝡㉥㙥㑣㝡㔴㡤ㅦ㡢ㅢ晦昹搰晥㘶攳㤸づ挳㤱ぢ㈴㤲っ㕢㔷㔹晦㠹㉦戴㠷搱扣㘰㔲㝦づ㤸㘱㌱㈵愷ちㅤ搷㤵〶ㅤ挴㘵㄰て摦㐸捦攳㙥ㄳ慥㠰㐰挸㠶晦慢㠴ㄳ戸昳㌴㙢〴〶㍥㠱㕥㐷戰搹搳搵ㄳ㍢ㄷ捤〵て〵晤收〹ㅦ㘷慡摡㡥㈲ㄱ㤸〳昹㜰㝦户㜰捡㘷㤸㡥慤晤㠸㠳㘴ㅡ敦㤰昴愶㍣㔴㘰㈵㉦摥ㅢ㘳㌶昷㘸㡢㘶昴㐷㠰ㅣ㐸㐷㐰㘶昴㐷〱挳㐰っ㙦㉢攷㐶挸晦㡡戹摦换㡡昷ㄱ㍣〶㔰ㄶ㘴㜶搲㐱昱㜱㠰攱昸㝦㔴㌱戶慥晣㈵㥡㜸㈸㝥㔹㤲㡣昴て戰挳〷〱晡攰扥ㄵㄱㄱ㤶昵て愱㈴昹㔲ちづ昵搲て戳攲㈳〴㑦〰㤴ぢ㥣散戶㜷㡤㙢敡㔱㜳㝤ㄴ㕤挵愳〴昸改ㅦ㡢㌲㝣㈸㜰ㅦ摥摣摤㔶收㔱㌸晥戰ㅦ愱捥搴ㄷ晣㜷攳㡢晣つ㉥扡て晦㐳㤲㠲㌲散昳摡㕤扤㡤㐵㈶愰㑤慥㝥㙢搸散ㄷ㌰づ搷搵㡡愰㜰㐴㉡㤵㤲㔶ㄴ挴㌷ㄷ㉣㕣扣㠱㙦㌹愲㉡㠴㈰つ愸ち㈷慡㌸㡡〲晤ㄳ㙣㑡ㅣㄳ㑦晡㈷昹㐴搴慡㑤晣㔴㤴攱㠳㈰㕥㔵昷〷愲敥昱ぢ㠹㙢㔵㘱戵扤㤰昸㔷ㄵ慢挹ㄷ㍥挹挱ㄴ戲㤰㐹㙢㈵㈲㑤搱搰攷㤰ㄹ敡ㅢ收摣敥挷㑦扢㈴慡攷㙡攷捥晤㘳㌸㍦㜶㙤晥敤㙦ㅢ㝣昲戹㥦晥晥攳扦㝣搷㤱㍦晤敢愹愷㝥昹㠷㡦㍦晢慦敦慦ㅣ昹昱搳㑦晦攸㥥㉦㍥晢晢扤收㤷戴㙦晥㘳晥㑢て㑦㕥㜸昸㐱昳捣㉤挷ㅥ㝥挷〳昷㑤㉥㕥㌱摥搷搷摦㝦昳攸㑦慥㜹摤挸愳て㝥㕢晣昰搷㔷㍢㐲㉤ㄷ㉦㐸㑦㠳换㔶搳昸㍣㌲㤸〶㘷晣㤲㑥㠳换㔵ㅢ戵ㄲ㙤搴㌴ち㑡昰㘹㜰〲慡挲㐸㔷っ晣〷㕢㌴戴㜸</t>
  </si>
  <si>
    <t>Decisioneering:7.0.0.0</t>
  </si>
  <si>
    <t>3e1268aa-069a-4752-a9b9-6f6ffa4cb17e</t>
  </si>
  <si>
    <t>CB_Block_7.0.0.0:1</t>
  </si>
  <si>
    <t>8dc28415-bafe-413d-83c6-825e4054a70b</t>
  </si>
  <si>
    <t>5f502101-5c7a-4266-9626-20e672ee3475</t>
  </si>
  <si>
    <t>㜸〱敤㕣㕢㙣㈴㔷㤹敥㔳敥㙥㜷戵敤戱㌳㥥㕣㈶〹㠹㈱㠴㐰㍣敢㡣㈷昱㑥挲敥散攰换摣㠲㘷散㡣㍤ㄳ㄰㐴㍤攵敥㔳㜶㘵扡慡㥣慡㙡捦㌸ㅢ㈹ㄱㅢ㉥慢攵㈲㜱搳㈶㘴〱㐵㉢㈴戴㠲㕤㕥㐲戸扣㈰㈱㠱㔶㠹戴て攱〱㠹㠷㠰㔰昶〱㠴㐶攲㈵て㐸散昷㥤慡敡慥敡㜶㤷㥤㑥戲㌸挸㘷搲扦㑦㥤㕢㥤㜳晥敢昹晦㔳挹㠹㕣㉥昷㘷㈴晥㘵捡㌳㜳敢搲愶ㅦ㐸㝢㘲搶慤搷㘵㌵戰㕣挷㥦㤸昶㍣㘳㜳摥昲㠳㍥㌴㈸㔶㉣搴晢㠵㡡㙦㍤㉥㑢㤵つ改昹㘸㔴挸攵㑡㈵㕤㐳㍤〷攱㙦㈴㝥搰搹㙢㌰て戰㍣㍢戳戰昲㈸㐶㕤ち㕣㑦ㅥㅡ扢ㄸ昶㍤㌶㌹㌹㌱㌹㌱㜵昸攸㤱㠹挳㠷挶㘶ㅢ昵愰攱挹㘳㡥㙣〴㥥㔱㍦㌴戶搸㔸愹㕢搵て换捤㘵昷戲㜴㡥挹㤵挳昷慥ㄸ昷摤㍦㜹摦搴㤴昹挰〳昷て攲搵戹㜳戳㌳㡢㥥㌴晤户㘸捣〲愷㝣摦㥣慣㕡㕣㥢㤴㥥攵慣㑥捣捥攰扦挴晣昱㜴㜴㘲㘹㑤捡㠰慦㤶㥥㜴慡搲搷搱㜱挰㥥昶晤㠶扤捥捤搳敤㤳㔸㙡搵昰㠳㠲㍤㉢敢㜵摤㡥㐷㉤搹ぢ搸扢扡戱㌹㘸㉦㐹挷户〲㙢挳ち㌶㡢昶㌲〶慡つ搹ㄷ㝣㜹摥㜰㔶攵㌹挳㤶〵晢㔴挳慡攵挳㤴敢扢㉢ㅥ㈲㌹㌱戵晣㠹㘹摦㥥㕤㌳㍣㌵㈳㥦ㅢ㤳搱昶愴㔷㑤户扤愳晢戸㥣扡㝡〳挷扣戳㝢㍢搴㕣㌴扣㘶换昱敥㉤愳挵愷㘷㜰㑦昷昶㠹㍤㑡昷昹㐰昷㍥㙡㉢搳慤挵㐰㐴摦㙡㐷戱ㄸ扤㐸搰㑦㔰㈲㈰〲昵㌲挱〰挱㈰㠰挸晦ㄱ㕣㤲散挸㉡慤㘲㘸㤵ㄵ慤㔲搵㉡㌵慤㈲戵㡡愹㔵㔶戵捡㥡㔶戱戴捡愳㕡攵㌲摡挴愹搴摦慦㐵改摣㈳扦晡攵㝦㝣晢搹ㄳ捦慥扥㜶昴搸㜷ㅥ㤹ㅡ摣㠷㐶て㐵㤳㥡昳㡣㉢㈰戵ㄶㄵ㠳㈳昸㙦㝢慥〰㔳㤸㔳收㔱㜳㜲戲㌶㜵搸戸搷㈸㜰㔹ㄹ挸㑦ㄱ捡〸摡づ㥡て㕢㑥捤扤愲㜰㜷敢㡣攱换搶挶㡤㐷㜵㌳㙥挳愹昹户㙣㕤戹ㄴㄸ㠱扣戹扤慥㌵㐸㐷户㈵戰㤵昴搵晢㙥㙢敦㜶搱愸㌷攴昴㔵㉢慣㝥㔷㕢戵扤攸戹㉢摤㙢㑦㝡昲戱㘶㙤挷㡣愶㈱搴㌶搴搸ㅤ慢っ慢挲㜹㡤捤慥戹扥㜴搴昴挶敤㐵慢㝡㔹㝡㑢㤲㈲㔱搶搴㔲慦㘷㔵挴昵攳ぢづㄶち㙥慤扤㈷㔹㙡㥥戸ㅡ㠰㤹㘵つ昳㕤㤷㕥戰戹㙣慣搴攵つ愹㈶攱㍢㔱㜱㌰㔵㝣搲慤㌶晣㔹搷〹㍣户㥥慥㤹慥㙤ㄸ㤰㌴戵戳㙥㑤收昳㌹㈵ㄴ㈰㜰晢晡㠴挸摤摤㥤ㄷㄴ㈲ㄲ㈸㈶㈳摦㤴㈶扢㠹昳㔸ㅤ㔶㔱㤷愴㐹敤扤摢っ挶昹㉡ㄹ㤳挱㠱㠹㌵㔱㝦昰愵敦摦㘶搸㈶收摥摥挶㥡㌶ㅡ慤晥挴㠶㜴㠲搳㠶㔳慢㑢㉦㔳晢〹捥㐸ㅦ〶㈸㕣㠳㐰攸扡㝢㔴㜵攲慡搸㉣㕣戱㙡挱㕡㜱㑤㕡慢㙢〱捡愰㈱㑢㈵㙥㙤㐷搲慦㐳㤱扥㥦㘰ㄴ愰㕣捥ㄵて戰㔱戱㡣㤴㉢㔰㍡㘵昰㜲㑡㤰戳㕦㡡㤷〷捤㤳㔶㍤㤰愱㔰ㅥ㌶㠱㤱㔰慢㈹昴つ㤱㐴㍤愳ㅡ㉡㡣〳收㉣愸搴戰㥣㘰戳挵户ㅤ㕣ㄲㄲ搱㥥㉣搸㜵戲㠰愲㈰㉤て㌲㜸つ㐴搳㈶つ戲ㅢ㈷㠸㠸㙣㤰愱搹㌱㜲㥡挸搸㍥㐳㐶愰㝤㤲〸搹晡㜰㜷ㄹ㐱㘲敦㈴㔲㜶敡捡㡦㝢搲㙣㉢㕢㍥㤴㘶搷㘳攳昴ㅢ〸㙥㈴戸㠹攰㈰㠰㜸つㄲ㡥㔲づ昹㜴搲㙦挱戳㝥㉢挱扢〰㈰㥦㜴捡㥣㐸㔴搱㠶摡㠹ㅤ挹㜶㐳戰㤳㤵㔱ㅣ㡡㈲㕡挶㑤㍢㜳挸㔶㠸㡥慣捥摤愱㙢昳㑡挷扥慦㍢㙤㈶㤷㐳㡡捣㘸㥡㕣敢㌶㑤㤳ㅢ挱愶㍤敡慤摢搱㔵ㅦ㈳㜸㌷㐰㔹㝦て㈱㤴ぢつ摥㥤㔹昴㌴㈹摦ㄱ㘶㔱㘸っ昵愸攰㈳㐲收ㄱ㈰㐳挸㜵ㅣ㕦昶㙣㘸㥡㠳攳收㍢摥㠶㍥搴㥤扦㈳愴户改捤㍤扤㐳㝦搱ㅢ戴愲敦〰㝢㠹㕦㜵搵㌱㜷愲㕡㝦ㅦ挱㕤〰㙤㍡㠶愷敦㌷敡㈹㔰㘶戱㥤挰摣㝥㝡㕤㤴㤵扢扣戹㉥㤵〶ㅡ㌴㤷つ㙦㔵〶昰㘰㥣㤹㠳㉤散㝡㥥慣攳㔰㕢㔳〵㍣扦摣㤸㉥昴㑦㝡慥捤昲㍤ㅢ搹㝦㐷㈸㠶㝣㕥敢换戵搹挸ㄹ戶㘶挲攷㤴愰ㅣ敡攰㝢扢ぢ㠹㐴愷㌴㜹戱㕦昶昹㜲㑦㤲昴㈰㐹㍥㠰㙤搵敦〶㠰㤴㄰扦攸㉡㔱づ戱搹摦愸㘶㘹㡢㤵ㅥ扥㡣搳㐹㥢て戱㐳㡥っ㠴づ摢ㄹ昸て晣㈱㝢挹戲㥢挲㘲挰㕥㤴㕥ㄵ扥〵慢㉥换愱㕢㤶愲㘶㑦㔶扣㐳㘴㐵㕦㕦挷㜹㍡挳扦愶攸愴㑤㑡㘴㜲㝢㘶㘵挶㔹扣㐵㔴㜴㐳㔲愸㘴戸㠶㥡ㄲ㠸㤴挷戶㝢㈲愶〷ㄱ㜳て㌶㑥㍦㑣㌰㐹㜰〴愰昰㌲㈴捤㑥㌷㥥攱戰晥つ扡戴㉢㤵㕣㠹㘸㔰㉥挲㤷扡ち慢㈹扥收㙦〹㡥〲戴㤹㍦㜴㐰㘶㄰愲㐲㜹㠲㄰㔵ㄸ挳扣㘸挹㉢愴㠱㝤㈶〲㑢戳つ㍦㜰㙤㐶㤶㠶捣㌹昷㥣ㅢ捣㔹晥㍡㈲㔱愳㘶㤴㜹㜸㑤㍡愰㉥て戶㑦㕢㤹扢扥㉥㙢扡戹攴㌶㈰摡捥捣敤㠶㠳㌹戶〳戶愴㍡㥢㙢〲愹户昳㌱㠶㄰搸㘹攵㙦愵㌷㜶㐷摥㙦ㅥ晡㠶㕢㍢扡㙣〵㜵㌹㘰㠶㑣挷㝣挹挴㉥㈲㜲㔰敢㌷㤷搷㍣㈹攷㠶捣㔳㥥㔵慢㕢㡥㈴㌲㘰㘳㌲㔸㌷㉦㔷ㄱ㈵㔸㜴ㄹ〳㜴㥤㈱㜳搹㌳ㅣ㝦摤㘰㐰㜱㜳㝦敡㐹㠵㐵ち收㡣攵昸㜸㡤挲㈲昳挳收搲㥡㝢〵ㄱ摢㠶敤㥣㌲搶晤㕤㠱ㄵㄲ㝤㤸ㄴ㙡㠴㈶㌴㑤㤴戴㔲慦昸攱㠱㍣㤷㈳敦攵〹ㄴ慥㜲〵晡捣㌳戴㌷敤晡㈸㐶㐳㍢㥤㜳ㅡ㐴昴愸㔹搸㤷㈹㠵挹愹晡〳散昳㐱㠰〷㑦㕤㌸搳㡡捣扤愹㤸㜵㠱㕥晥っㄹ慦挸愲ㄹ〸愱㡦㙥㕦㐸㉡㉣㈳攵㠰〳㠱㜱㍥戵㤳㕦搹㔴㙤㐸㝤晢㕡搹㤳㠸㈴つ㥡昳挶㡡慣㈳ㅥ㙤ㅢ挱扥昰㠱㘶慣㙤搴晤愸㙥搶戵㙤㠳愴㐵戲㕣慡ㅡ愴攰改㐶攰㥥戵ㅣ摤〴㔰昴ㄷㄵㄹ㔷㔱㘴㕣㔵㐵㠳收㜹㠶〶㔵㥥㘳戹慢㠶㘷〵㙢戶㔵㉤昱㠱攱扢㕤㐱㤳㘰㜲㑡摥㌸挵㌲㘳慣捤㥡扦〰㤳捤㥦〰扡㈷㈰㐷戹㜵㐴㍦㈸㔷ㄳ㐵晣ㄳ㍤㍡㤶㈰㘰㤴愷㔴晦㝢㡣㔶㔰户㈳㈰㜲㔴扡ㄶ摦挱戸昶㈴㑡㐲㈱㐴慣㘷㤰〸扣㠲〹㈱㑦ㄷ㜷搱扣攰㔸〱戰㐷㡣㥤戴㠲㌹ㅦ㈸〷㐰㔶ㅤ㙦㙦㔶㔸㑤㜴ㅡ㙦㙡㠵摢㍢慢㔲㙡攲戶捥晡愴摥㜸敦ㄶ搵愱㐶㐹㈸㤲敤ㅡ㈹捤戲挵ㅣ㜷㤳慡ㄱ㑡㜱挷摡㐶㘴戹㑤㕢晢㑥㈹昲㈶ㄴ㤳愲㤹㥣晥て㡡㔰㄰攸㡤㜴ㄴ㝤昶搹攴㤱㠸搸搰〶㈸㔳㑦㠵㘵㐳㔱㐸昰っ慥㥤搴㘴㌹㝡〲㝦敦㡢戲ぢ㡤㈰㔵㘳㕣ㅤ㡤㙡愶敢昵〵〷㔶㐲搵昰㙡扢㠴愵戱戶㔰挳㈸敥散㔵晢㠷摢㥢㘰挴㠸つㄹㄶ挹昰〳㠳つ挱㕣㠹㠸㉡慤戳㈱㙥㜵戳戸挴愷戳搲㜰ㄴ〶㤶㠲摡㥣摣㔰㘶㔸换㤲ㅦ㔵ㅤ㥡愷㐵㈵㐷㜵㜳㝡挵㠷㑡て㈸挷愳㥣㘲㜰摤㍣㑦户ㄴ㉥㌱㐰散㐶戹挵㙡㠰搰㙥㜳〰㥥っ㜶て㜶戰㈳㘱攸㠴搶ㄹ㈵㘸㌱㠳㜰搳㡢㈰敦昴㠸㔱〸㔲㔳愵㍦ㅣㄷ捦㍥挳昴敤攳戹㌸ㄳ㌱ㄱ挳㕤ㄹ搶〳㤰㥢㡣㑣㤲㡢㐶攳㠰㜹㈸搹㤴搰ㅡ㡣换㘸㘲っ搱攴昳〲摣攲㘱㉣㙢㤸㙣㔳挷㍤户挰㠲㌶慤㙦敥㌳捦㌸搵㝡愳㈶㤵㉡㡥㘵戵搲挸扢〲㕦敡ち㘰挸㑤ㄹ晢ㄲ㙤捡ㄹㅣ愵戸㘴㈲愹㜷扢㕢㍦㡥敥㑡挸㘱㡣㔰昵㌱〰㤹攱㤶㔳〱戱㡥㝢ち戴て昷户㉥㌰愸换㜳㄰㘹ㅤ㐵㤴㘵昳戸㡦搷㡣㈲㉢㙥㑢㌴㥢㜷攷㕤摡散㠹愲搳㔶㔸戴㉢㜰㠴㜵㠶〲慦㔸㠴㌱搲㈳㜷㜰㤰摣戵㈸扡㝢敤㐹昵㤸扢〶㔴㈸っ〸挶㜸㜹ち捡㘱㔷挱㐸㌴戸戵㤶搵㉤ㄸ晤愵攵慤㑦〳〸㠶㠱㘹搰愲㘵㘸攰捣㈲扦扤㠱㜳㍢㕡㘵㐴㐸㤳挱㔴挶㈸㐷攱戰〷搲挰㑤㍣㐸㉦扢㔰㐲挱〱㜵㌱㉣扥㥢㌸㙥攳〸攴㝡㌷戴ㄵ㉥ㅡ〱慥扦㌸〷摢㡡愷㙢㌵㥡扢昰捦敤ち慣攲敡㐶㘸㡥ㅥ㘸扢㤴愵搶㐴晢敥㡥戶㡡攸戲攰㤱戹㠹搳㐶㔰㕤㕢ち㌶挳㡢㕢扤㤲㐴攱挷昰㐷㙣昹㜶摡捣㜹㠷ㄷ㔱㌷戸昷攵换㡥㝢挵㔱昳㉡昸扣昵〷ち挱ㄵ捡㝥㑥戲㥣晢㌳晥愹愴攵ち㍦挲㠸㍢㤹㌶〷㘸㌹㐸㌸㡥㑡愱㌴ㄸ㐳㍥㠳㑥㘰扢㌷㙦つ㤰㑥づ戴搱㠹ㄲ〴㝢㠴攲慣扥㘵㠴㈲㝥〸戴㤲㔸挲㈳㌹昶晣㕢㘰㝤昱〳㤴㄰攱㜸㡥挴㐸攱摤挸㘵愰㑥〹昲攸㡡〷㉦㠴晣昵㘰㈹收收㉤搹改晦㠱㤹挵㡢敤㈸扡㡤㈸晡㝥〷㡡〴慦㠱㈸晥㝤㄰㤹㌸ㄵㄸ㥥㝤㐳㠱㜰慥㘹敦〰晡戶㕦昸晤ぢㅥ㐰攷㈳攲㔰㌶ㅡ㐲㙤㜷攲戹㘹㈲昴㜵㤸〸っ摥㉢ㄳ攱㉣㌲㠲㔱晣搰㐴㠸㝣㈰ぢ㈸搸摥㐴㘰㙣㉦挳㄰㑣㠴㕡ㄳ㙥つ㥥挰㙥戰改ㅦ㍢㡤㡢户搲㐷㍣ㅦ㑡换㥦㠵㐷敡挶捥攲㐵挳㌳散㠳慡晣㤴㈷愱捣扣㘵摣攴㔶㕤搸攳收㉤㙢㔴愷㉤㝣ㄵ戱㤷㝤捦㥦戲戳晢敢挰㔴㤸㐲昷扤㈸㠹攲㥢昰㤴〸㥥ㅢ㜲晦㜸攰扢愷㝥晤昸搳挷㜹㕢㉤愲搵挲摤挸昷ㄲ戲愷㍤㠱愰㙥攲愲挸昵晣㌰攷㉣㍥㔱戲搶敢㜲挶昰㤴ㄵ攴敢㜶㥣つ〹㉦㐱㤸㈱昱敤〶ㄳㄳ昷ㅥ㐲ㄳ㜳愲捤摤愹㍥㙣㔲㉥挲㠹挴挴㤵㑦㉦づㅢ㡡慥㡡慣㐷㙢戳昰㕦㔰㐵㙦㜰㈲㘹㉢㤱愷㑥㈶㈱晥戳㕤搷㑤㔱搷㠵〷ㄹ㠶晤㘳㈹㠵昸〳㈹㈴㜹㤰攱㠵〰㈵愵捥㈳㔳戸〷㈰㈳戲搶ㅥ攲愵㍦㘰㑦〸挸收愵扦ㅥ㍦㘲挱㉥〲㡢戱㉦扥搷ㄳ㉤㙤搱㔸㌵㌱㔴慢㙣㥡㈵㘴搴攱㠵〵㤳㜱㘹捡搲㌹㠲搲ㅤ扢愳昸㤲㈱㍢っ扣㠵㡣㕤戰改㙢㉢摢㈷㥣〶㙥㝥㐰捦ㄴ㤵挲㜰昶戳ㄸ〷㔲ㄵ愳ぢ㥢㤶挳㈲挲攱㌰摢散㌴㄰㔵㐱㘷㌹〷㜱㉡㐵昰㡦㕦ち戱㝥扣㌵昴昵敤㌵搴㜱㑥㍦ㄶ挸ㅦ散慦摢㌲ㄸㅢ㙦㈵挷㐰挲敥愸㔵㈹扣ㅥ㝥〱㕤戸攸㥣搰㕢㔹昵㉣愶昰㈷收慣㍥慤㐳晦㌳㝡慤㌸敢㈲㝢㌳㡣㥤搲晦ㅦ㐱挱戶晡㕦㌰昶愶㄰昹搱㈸挳㠷〲攳㈷摢㠶㙣戸㈳昰㙣㈳㜸愳づ挶扡捡㌲攴ㅤ收㤶昰昱㙡㔸慤㈴㌸晣㕥昹昶慢ㄱ捤扥戴㙤〷扡ち㐰挶㠶ち摦㠲〸敡摡㍦㉤户攲搳㙤昱㘳攸㜸攰慣㔵昵㕣摦㌵㠳戱㈵〴㝤挷昸敤㤹〹㥢㘷㕡晣㝢扢㔰扢〳㍢㌱昸〸晡㥣㕢㠰挰㍥㈷㠳户㉡ㄶ挹挸挲捥㈲ㄹ晣づ㘹㈴ㄱ㕥愲㜶昰慦㌳ㅦ㙡ㄸ㜵㝣扡扡〰㕦㘷挰愲㕤愱散㐲㡦㜳晢つつ㙥ㅤ敥㘸㝤ㄸ晥㈰㔹㥦㐰㜰㑣㉤攱㘳㡦㜰㕦摢昷㈰摤㌶㕡㥢捦㤶扤昹摣捡㠵攷㠱搳㥤扤㈵㑤㌲㝣㈷扦㐸㉥敢ㄵ㐲㕣摡㍦㡥扦㍢㜷搰㜲戴㔱搰㜹昴㐱㌷ㅤ㘱攳㜵戸捦㜶㄰晤扥㠴慥㘲㥡〰㍦摤㠸㌲㝣㄰昴昲㤱ㄵ挵搷戱㉣㌲〰昲戹㘲ㄵ愰㍢㔵㍦户ㄵ㔵㡦挴〲㔹昰㡣㐱㜲㉣㡢慦愱㈱户㉢㕣㌶㔸㠲换ㄶ敡㉣㠱扣ㅥ昷㐰㍥㈷㜸㤶㔰ㄳ昹㔷㜴㘸㑥挴㐲㘹昷㠹㝣㜵慢㠹〸㕡〱㙡愱挹昱㐷㘲㉤愲搷㔱慤摢〴づ㠱ぢ㌰㑣戱㐸㔹㔳っ㐳ぢ㍦㈰㘶㤰晥㈷晡晢敡昱㤷㕦㘲晡晤㜱愱〴㈱慡搲㤳愷㈰㔴㤳晦㐲㜲昲ㅥ㑡扢㑦晥㜳㕢㑤㝥㠴㌲㤲㌳搱〳㠰愱㍥㔱挱ㅦ戵㤸〶㌲摣㐷晥挴㈵〲晣㔲戳ㄸ㌱㔰愲晡㕥㐱〶㝤戹攱慡搵㔵㘴攲扥〵慥㍦攳攳ㅥ㘵ㅦ昱㈲㈴㝤㌹挵搰ㄹ㕢っ戵㘲挹㡥扣戰扢㐲㌶㘰㐹晣㕡戶慢㐸㉦昶ㄸ攱ㄷ㥦㡥ㄱ㜳晡㜴晣攵㤴ㄶ挵㥣㐰ㄸ愱㐵㑡晡攱㐶㡡㑦挵㡤扦昷㐲换㘵㡡ち㈴㔰㑦搸㤸㜴愶ㅡ㝦㌲㙥㝣〴㕦㘵愹㌶㌹摥㈰㘰㝡㌵㙥㑣㝡㔴㡤㥦㡥ㅢ晦敥挸挱㘶攳㤸づ挳㤱ぢ㈴㤲っ㕢㔷㔹晦㠹㉦戴㠷搱扣㘰㔲㝦づ㤸㘱㌱㈵愷ちㅤ搷㤵〶ㅤ挴㘵㄰て摦㐸捦攳㙥ㄳ慥㠰㐰挸㠶晦慢㠴㌳戸昳㌴㘷〴〶㍥㠱摥㐰戰搹搳搵ㄳ㍢ㄷ捤〵て〵晤收ㄹㅦ㘷慡摡慥㈲ㄱ㤸〳昹㜰㝦户㜱捡㘷㤸㡥慤晤㠸㠳㘴ㅡ敦㤰昴愶㍣㔴㘰㈵㉦㍥ㄱ㘳㌶昷㔴㡢㘶昴㈷㠱ㅣ㐸㐷㐰㘶昴愷〰挳㐰っ㙦㉢攷㐶挸晦㡡戹㍦挱㡡㝦㈲㜸ㅡ愰㉣挸散愴㠳攲㈷〱㠶攳晦㔱挵搸㠶昲㤷㘸攲昱昸㘵㐹㌲搲㍦捤づ㥦〱攸㠳晢㔶㐴㐴㔸搶晦ㄹ㈵挹㤷㔲㜰愸㤷晥ぢ㉢㍥㑢昰㌹㠰㜲㠱㤳摤昱慥㜱㑤㍤㙡慥捦愳慢㜸㡡〰㍦晤ぢ㔱㠶て〵敥挳摦㜵户㤵㜹ㄴ㡥㍦散㐷愸㌳昵〵晦〹㝣㤱扦挹㐵昷攱㝦㐸㔲㔰㠶㝤㕥晢㘰㙦㘳㤱〹㘸㤳慢摦㍡㌶晢㑤㡣挳㜵戵㈲㈸ㅣ㤱㑡愵愴ㄵ〵昱捤〵ぢㄷ㙦攰㕢㡥愹ち㈱㐸〳慡挲㠹㉡㡥愳㐰晦ㄲ㥢ㄲ挷挴㤳晥㘵㍥ㄱ戵㙡ㄳ扦ㄲ㘵昸㈰㠸㔷搵晤搱愸㝢晣㐲攲㕡㔵㔸㙤㉦㈴晥㔵挵㕡昲㠵捦㜰㌰㠵㉣㘴搲㕡㠹㐸㔳㌴昴㌵㘴㠶晡㠶㌹户㠷昱搳慥㡡敡愵摡愵㑢慦て攷挷㙥捥㝦攴㐳㠳捦扣晡摦扦昹攲㉢ㅦ㍦昶扦㝦㝡敥戹㔷㝥晢挵㤷晥昴攳㤵㘳㍦㝢晥昹㥦㍥昸㡤㤷㝥戳摦晣愶昶挲敢昳摦㝣㘲昲昲ㄳ㡦㤹ㄷ敥㍥昵挴㐷ㅦ㝤㘸㜲昱扡昱扥扥晥晥扢㐶㝦㝥搳晢㐷㥥㝡散㐵昱㤳㕦摥攸〸戵㕣扣㈰㍤つ㉥㕢㑤攳摦㤰挱㌴㌸攳户㜵ㅡ㕣慥摡愸㤵㘸愳㘶㔰㔰㠲㑦㠳ㄳ㔰ㄵ㐶扡㘲攰晦〰换㍣戳㘸</t>
  </si>
  <si>
    <t>㜸〱敤㕣㜹㜸㘴㔵㤵慦㕢㐹扤搴慤㈴㥤愲ㄷ搶〶〲㜴戳㜵ㄳ慡㉡戵〵〸改㉣愴㍢搰㝢扡ㅢ挴㈵搶昲㕥愷攸㕡㐲㔵愵㍢㘹ㄷ㕡㘶㐰㔴㤸㔱㐶㜱㘴ㄹ㐰挷㔱ㄸ㘰ㅣ挶㜱ㄹ晤㘴ㄱ〵ㅤ搴昹ㄸ摣㔰㤱㕤㐵㐴晤㔴㐴㐰㤹摦敦扥昷慡㕥㉤㐹㉦戶摦昴ㅦ扥捥㍢㜵敦戹攷㙥攷摣攵㥣㜳敦㙢㤷㜰戹㕣慦攳攱㉦㥦㔶〶㤶㡥捦㤶捡㝡慥㘷戸㤰捤敡愹㜲愶㤰㉦昵っㄶ㡢㠹搹戵㤹㔲戹〵〴摡㐴〶改㈵捦㐴㈹戳㕢昷㑥散搴㡢㈵㄰㜹㕣㉥慦㔷扡㤹㙥扤㝥㍢㈲㤹㑢戶ㄲ㠰捡㈵㐹㈰摢〸扣〰ㅤㄲ㘰换昰搰㠶攴㈵愸㙥扣㕣㈸敡㉢扢户㤹㠵昶〷㠳㍤挱㥥㐸㈰ㄶ敡〹慣散ㅥ㥥捥㤶愷㡢㝡㝦㕥㥦㉥ㄷㄳ搹㤵摤ㅢ愷㤳搹㑣敡〲㝤㜶㑢㘱㠷㥥敦搷㤳㠱摥㘴㈲ㅣて㠶㈳ㄱ愳慦㉦摥攱㐳挹敢㠷㠷㌶ㄶ㜵愳㜴戰捡㙣㘷㤹ㅢ㠶㠷㝡搶敢攵㠳㔵㘶〷捡㐴㤱㈳㠵㕣㈲㤳㍦㐸㠵㝡挸昴挸㠸㥥捡㔰㍡扡㕥捣攴户昷愰搹㌵㡣㐶㉣搶㌳㔸㉡㑤攷愶㈸攸㘱㍤㥢摤慣ㅢ㤴㡡捣㡤㤴捡ㅢㄳ挵㕣愹㈳㐷晥改㐵㍤㥦搲㑢ぢ㜲攷捤愴昴慣㐵㔸昲收戶㈵㡡敢ㄳ㌹扤㤵㠱慥㥣㈹挳戱戴㥥㉦㘷捡戳㥤戹慤㈵㝤㜳㈲扦㕤㈷㠹㈷户㝡㍡㤳ㄶ慤慤昸㜳戵㥣搲慣㘵㑡㔰㘸㑦㙥㜸㌲㔱㉣慢ㄸ㐵ㄸ㙣㐶敢ㄸ㉥慡ㄷ㌵敤攲㤰敡慥换㐵㤹㡤㘷㜲ㄷ攸挵扣㥥㘵㈵㤴攴㡡㍡㈲挵㈰㔳づㄵ㑥搹摤愱㤴㐴扢㌵㍢搸ㄷ搶愲㜵〲っ㙦㈹㘶搰捤改㙣愲戸㜲㕤㈶摦ㅦ攸〹〴挲㤱㜰㌴戲㜲㙤㘶㠷㥥捤攸愵㌲㜱挱㘰慣㌷摣ㅢ愸㍣挱㤵敢ㄲ㌳㉡㈱搶ㅢ㤲ぢ㔰㤰散㘲㤱㝥㠰㤶晥挱戸㍣㡣愸㠵〰愲昵ㄷ㤸愶捥扡搹㜸昷㐴挲㍤㤱㜴㑦愴摣ㄳ㘹昷㠴敥㥥㌰摣ㄳ摢摤ㄳ㤳敥㠹㡣㝢攲ㄲ昷挴づ搰搸㡦户慤捤㙤㍤㘷敡㠷㉦㙤昹挲摦㕦㜰昹搳㕡晣愱㜳敥扣㕡㜰㘶慡㠹扤ㄸ㠱昳ㅡ晢ㄲっ㘳〲搶昷㈵ㅣ㡡挷晢慡㑦扣搲㤷㜰㌴ㄶ㡦挹㈵㈸㑡ㅥづ愰ㅤ挱搲晢㐷愳昲㐸愲㡥〲㄰攲㌹昴㠶㍤晡搳㥤㘷晥挱㝢昴挸搰ㅤ㜷㜷愵摢㠶㡡ㄷ〹慥て慡㈹挷㈰戰愱戱㈹㠱㜸㈰搲ㅢ慦㘵㙢戸㉦ㅡて㠵㠳㤵戶搸㙣つ㠶挳扤攱㜰㍣㘶㈷挴攵㔲戶攰㔸〰敤㌸搶搳㍦ㅡ㤱挷ㄳ搵つ㈰挴㡦慤㐶㥤㜵挵㈷㡥㍣攳〳㌷㙣戸㙡昷昵㜷愶敦敥㍤搵挳昵慡户搹㐰愹ㅦ㠳愳㔸扢㔲㠹㔲搹㥡ㅥ㕣攲づ敥散搹晢攴ㄹ㉤愶晥昲㤳〷㤵ㅣ㤴挹㈳㑦〴㠷攴㐹〰摡㌲㠰捥挱㙣戶㝢㘳戱㠰㜵愶愴㤷攴㜲㈶㥥っ㈰挴昷㉤搱扣㜸昵扤㠹搷扦戶晤㠲慢㐶㌷㕤㜸挵搰挰慣㈰㡢搵㜸㌹ㄵ㠱㘳搷ㄷ㡡㌹散ぢ敢昴㐴扥㍦搴ㄳ㡦慥ㅣ㉦愷㐷昴㥤㤸㘲愱㜸㔴㥥挶昲㑥〷搰㔶㌰㔷晦㘸㑣慥㈴敡っ〰㈱ㅥ戱慡㘸㜹㙤慡昵㌱昷搴〵搷㝦㙣昸昸㍤ぢ㥥㕦㈵戸ㅡ慡㉡捥㐴攰っ㘷ㄵ挱㥥摥㐸㌸㔲慤㈴挸㘸㘵㜶〷〲㐱ㄹ㘰昹㐱〰㉤挴㔲晡㐷挳戲㤷愸㌰㠰㄰晦㙤㔵搹晡昴ㅦ扦晣搴㠷㍥㌹㜴昹㡦扦㍦敥㥥㕣㔸敥㠸㈲㜹㤳戵搰㡣ㄴㄳ扢戰㜴㔷㜷〵㙣㠵晣户昷敤㄰扢愱ㄱ㌱㘲㐶㌰㤸㡥〴ㄲ扤〹て㔷㤸㝤㕤㜷戹〶㜵ㄸㄷ㘶昲改挲㉥戵㄰㉦ㅤ㑡㤴昴敡搰㕡㘱愵つㄵ愶昳改搲㌱捤ㄳ挷换㠹戲㝥㜴㝤㕡戵㤰㠶㙣攳搸愶昴㤲慡敦戸晡㙣摢ㄲ搹㘹㝤㜰㈶㘳㈶ㅦ㕢㤷㡣㑤慡㤰㥣㍢㜵戴愸㕦㕡㐹㙤㘸搱㈰搴㥣㥤慡散㠶㕥㥡㐹㘶扢扡㠷㈷ぢ㈵㍤慦㥡户㈲户㌱㤳摡愱ㄷ挷㜵㉡㐹㝡㕡㜵㜵〹㤳慣㥤㜲挵㠶㍣㍡㡡扤㉦㝤愲ㄳ㙢㥣㌷㔳搶昳㘹㍤㡤昶㑥改挵昲散㤶㐴㌲慢ㅦ㕥㐳㘲搶㠹㠴愳㙡搰愳㠵搴㜴㘹戸㤰㉦ㄷぢ搹摡㤴挱昴捥〴㜶攷昴扡㐲㕡挷收摡捡挷㈵㕣㉤㉤㐲戸㑥㙦戶㜰戱摣㔲㡦ㄲ㠴㐳挴摣㙢㡦慣ㅤ㜶㍤㥢搱㍢昴㈲慢㜳㑣扡㤷敤愵㌰㔵㉥㡢㌹㙤㙥㐲㐷㥦愸㔱㤲晡搴戹愹㔵ㅢ㉢㤲晢换ㄲ扢摤㡢慣摥㥦户ㄳㅡ捣㥡㐴㍥㥤搵㡢昳敡挳㠲㉤㤲㌱〰捦㐳㤸捤㜳㜲㡦㕢慣㤸ㄱ戳㥥㕤㤹㜴㜹㔲㥢搴㌳摢㈷换挰㐱㘷昶㝡挹摡㠶㐷昶〱㈵捦㈲㌸ㅢ挰攷㜳㘹攷㤰㐸昳挹㝥㌳敥愱戲戰晦扡ㄱ戵㜲愹㜴㌱㈸捥㈵㑦づ㥢㔶愹愵愵㔹㉦搷㈴㑡㤳㘵づ捦㜹ㄳ愹〵挹㜳〹〶〰㍣搴㔹昶慡㝡戱攵慤搴㌰㍢㜳㈳扡㤱㠰㕥慦㘶户㐸㜸㜲愶慡㌸愲㤷㔲㤲㍡攵ㄸ收捡㡣㠶㄰㈶㝦㐷㡥愳㕦㥦㈹㡦㈴捡㠹戶ㅣ戴㔳㐸㐹㠲㘸㠵捡㘵㠶㤸戳㔳攱散摣㍥㉢㠶ㄲ晣㉡攸㈸愵㕤㈱捣㤲㌰㜱㌰㕦㕣㉤ㄶ㥣扦ㄳ㘸㍢户㐰慤㝥愰搷㙡㤹㔰㝥搳慢昵晣㤶搹㈹扤㐴㜲慦㌶㉦㉢敢愷ㄷぢ摢㤰㑡㙥㉤㘷戲愵ㅥ戴㜴㜵戱㌰㍤㜵㌰换㘱㔹㜲ㄵ㠰晤㜸敥挱㈸摥昷㍥搱㕥㙣摢㐹搹㑣㑣戸扣㉣㡤ㄸ挹捤㐳㜲戴愲戰搷昱愳ㅥ㌹㠲ㅦ摦㝣㘹ㅥ慡扡晢愳㤱㔳㕢散挸㠱㐳㕢㡡扡戲㌱扣㉡〲㙥㜷收㉥㉣ㄴ㜷㈴ぢ㠵ㅤㅣ㑦ぢ㔴慣㌴愹敢㘵敡敤敤㤶㥤愲散ㄱ㈱㕡㕡㙡ㄴ㙢㠷㠲㑦㡤㕦㕢〳愰㌴ㄳ扢挴㤲㌶〶㔴ぢ㉣〸敤㝣〴捥つ㠴㐲〱晣ぢ㜷㥦搱扤㉥㤳㉡ㄶ昲摤敢昵㕤摤愳㐵㔴扣ぢ㡤攸摥㤵㈹㑦㜶慦ㅢㅥ㌴〳愹㐲㙥㉡㔱㔴㐶㔹捦㑣戶㌴㈳晥ㄳ㍣愲㉥㉣㑥搸㌸戱晢㑤挶搰㜵㈷㜷㍦㔷㝣㌱㍣㉤㍥㙤㈵㌴攸敢搴慤㤵戵戰づ〱㜱㌷挸戸昶㈰㕣晢挸つ㠸换㡤〴㥢〰戰㠲㈸㤹㘰〱ㄹ㌷愳㠲晡㌹愷愲摣㐲戰ㄵ㐰㔰㐹㔷㘶挷㌶〴散㐷摣㠶昲敦挱慢愴㑢㠵扥㔱扡ㄷ〳敢㤳昳愴〹慡晥㤴戰㈴㐷㈵㜹㈸挹㍦㜱㌳ち㙥捡㠰㝦戲ㄲㅡ慣〴敡昱㡡〱㈹收扦ㄱ㘴捤ㄹ愰戳づ㠳㘰㍢㠰㠳〱ㄹ㌳㉡㘸ぢ㈸〶㕣㐲愲ㅤ〰㠲〶㠱㘲㐰ㄶ〱晢ㄱ晦㠰㍡敥挱慢ㄸ㐰攳愱㤱〱㔳挰晡攴㍣㘹愲ㅢㄴ捤ㄸ昰ㅥㄴ摣㤴〱㔷㔹〹つㄶ〹昵收㜹㌴戹ㅡ㈳㠰㐶㕤㡤㈶搷㘱㡣㘶戲㘵扤愸㌶敢㉥〳㍦愶㡦㐰挵㍢愹愰ㄴㄳ㈹搳晡㕥㙣っ㐳㐷㠱㔳愲㍣㕢搵摡ㅡ㜴㈴㔳㠵昸慢㈶㜸挸㘹㠲㑡て慣搱〶攷搱戴㌰㘸敡㜴挱昹㠹ㅤ㠳㠸㑡㔰搳㜵㕢つ愹ㅥ㤴㕣㍢挸㐸㕦扦挹㈸捦㑢㠵摥㌹〸㐹ㅤ㤸㕢㐳攴㘰㙦ㅣ愴捣㌴愷㌶昶㔷㕤戶㤹㙦搷搴㘵㘷挱㌸戹㥢攰㙤〴㙦㈷㜸〷㠰戸ㅣ㡢ㄱ㤷搹㑤㌰㠶慦㠱㍥㝢㉢摥㘷㤵㌲㜹ㄹ㘹昶㄰扣ぢ挰戱捣晥つ愲摡摦〲㜴搹㥥㤱㙥㜳㠸昹㕣攲㈴愲昱捡㉢〸慥〴攸㜸㌷挰晡㌵㝡ㄶ㜶搱挱㜲搷㝡攸㐴㤸㕦㤳挳昸攱愲㝣㜸㙥㝣㌶㥦㥡挴昶つ慦㌶ㄵ捣挱ㄴ晤㄰㈲愱攵搶ㄶ㠶愷换㕡㙥㑤〶㍦ㅤ戹捤晡㤴㥥㈸て挳敥㠵昶扡ㄶ摥ㅥ愵㥢㡥愵㘷晥㍦㜵㔷ㄷ㠴〱ㄹ㘱㝢戲搵㔷㔱㍦㝢㑤㉤搲㘲㙦捦㐸〱扥㜳㕤昹昵挹㜶㑤㠳ㅤ㜲〸㉡愷㉥㜹ㄵ㕡㜷昳慦㙦㍦㝢昹㑤晦昶扡昵㝢ㄹ㐶愱㝡攴㌲㈴㌶敥挴敦〳搶㌷㕦㥡愰㔷愹戲ㄳ㙢敦㐷慣〵挳挰㔴㐷昲㈸扡改㙥㥣戳ㄲ㕥慣㜷㐲㥤㠶晣㑡ㅤ昹㈰〲㘲〷挸㥡慢㈳搷㈱㔹㝥㤸攰ㅦ〱ㅣ昳攴㝡㌳㉡㑥挷慦㥡ㄳ㌷㤰攸㐶〰㐱て㤵㔲㐷㙥㐲挰㝥㐴ㄲ㜵摣㠳㔷愹㈳㉢㠰㙥㘴挲慤挰晡攴㍣㘹㠲㝥慦ちㄳㅣ晡搸㐵㈸戸㈹〳㉥戴ㄲㅡ㕣㘴〱㤴愴ㄸ㜰㍢〲㘲㉢挸㥡㌳攰づ㈴换㍢〹敥〲㜰㌰攰㔳㘶㔴〴昱慢ㄸ昰敦㈴扡ㅢ㐰搰㕦愶ㄸ昰ㅦ〸搸㡦㔸㡢㍡敥挱慢ㄸ㄰〲扡㤱〱㥦〵搶㈷攷㐹ㄳ㘱㔰㌴㘳挰㄰ち㙥捡㠰㐱㉢愱摥㘱攷㠹愱愴晤㜰戴戴戳挱挶戶㡣扥㡢㤶攱〲〳挷㈴挳搳愵㜲㐱㤹戱㥤挶㐸㘱㝤愱㍣㤲㈹㑤㘵ㄳ戳㡢っ㉢㜰攱愴㥥㠷㤳愹〸㕦㔳ㅤ慥㌰㌵愵愷愵㌱㕥㤸㉥愶昴戱㤱㐳挱〹㠵晥㐱㜴捡晦攴ㄶ㜸づ捣慦㠲昵㑣㘰㤴攰㜱㜹攸つ愹㌷㡦ㅤ㉡㐳㔵㍢昵㠳戰慢捡搱㉤㤹㜲㔶㙦㌷㔴扡ち㝢つ㜰ㄱ㥥扢㜴㥢戱㘵ㄲ㘶攳㐸愷戱扡㤸㐹㘷㌳㜹㥤挲㠰挶换戳愷戵晡㜶㜸改㌶ㄶ㑡ㄹ㥥㡢㜵ㅡ㕢㡡㠹㝣〹㜶ㅢづ挱㘶ㄷ搶挴搴敡敦㌱㠶㌲昹ㄲ慡㔱㔲㘴戸换ㄸ㥦㉣散挲ㄹ敡㜴㉥扦㍡㌱㔵㍡㈴愴挲搹㘲㍥㑡㌴挲㉤摣㙥攱㜵㝢て㔴㍥摡扤㈸敤㠸敡㈹㑤㌷挶㙡戹㤸㐹㑥㤳㘹慡㈲㑥扦㔶〲㈵㐷㤷㠷晥慣㜹㌴㍦敡㝦㤶晦㤴扥㐱戶户收〰愵愹㥢慡㜲㌸㑤㥤㑦摥挷㍣昷〳㥣扦㝡敢㔸搵㙢晥㘷ㅤ㈴㝢攸㠱慢摦㑦敢㐷㕦挵㐹愹捣㜳㜳ㄸㄱ挷㔱㠵搹㠹搱挰㔸晤搰昴ㄹ㡡㠶愳㜴㐱㌵㌸ち㍦㔷㠷戱㌶㤱搴戳搰㥣㜲㠹昲〲㌳㐲㉤ㄸ㈷ㅣ㈵㉢㙤戸㤰换㈵㌸散㌸㘴挷㔳㠹慣敥㌵〶愷换〵㥣㐱㑡〳㐰㡤㑤ぢ㤵㤸〱㉡㌱愳㔰ㅤ挶㘶扡敤㔵㤸㘵ㄵ戶挳㈳㔱㥥捣㘵㔲㕥㐶攸㕡㍦㈴挶㉢搶㄰愵搷㠰晢㝣散昵愴㕥㥦㌳㌵ㅢ㠸扢〷摡㈵㔹㐷昱㘳㔴扢㠵㠶㝦攲〰扤扡㔸㝤搴愶㈲ㅦ㐰㘹ㅥ㉡扡㕣㡥搴昳㉢戵敦㈰昸慢换㠰㔱ぢ㤴愰㔳㤶挹昲㉢㔶㠰㤱㔶晡㐵攷㜵昹昱〰换户戶㤰㐸㡦挲收㉥ㄴ摢慣㡢て㕥㠸㤶换㑤搱㑦㈷散㌰晣晡㌸㉦搸㤹㐹敢㐵㉦ㄱ攳搰㔱㕢改扥搵㑣ㄹ㤲㌷㉥㡦愷摤摢慣慥㌱扢慣㘵㤶㙢换㜹戳㘳慣愱晣ㄷ㌶挵〷挸㜵㥦㡦㙤㤳㕦㈵㜸㄰㐰っ〰戰㍦㜵〴て㤱攰㙢〰㥥㔵〰昵戲愹昵㠷挲㙢㉡㐱搴慡慥っ搰㔳敢㠵㔷㔳戹㜸㍤慡㈳敤づ搷慣㘶㝡㘵扤昶㍤〴㙤ㅣ愳㕣㑦晢捣㌵㤶ㅡ㍡挵攱㜶户㐲搴㕡扤㌳愴愱㕡ㄴ㤶ㅢ搷㤵捦㔶㜰晢搵扥づ㜰〴㈷ぢ捡㥦愰㉤㕢㑣㜰搵敡扥晦戳摤扤つ捡㠴捦㈷ㅦ〶扤换㈷㐶〰㙤㈶㘸挴㤸㕣晡〶㠲昲㥢〰㘲ㅤ〰搵〱挷收㈵㌶㈰捡つ捣愵㝤ぢ㘰㝦ㄶ㑣戱ㄱㄹ戸㘸捡晦〱㄰㥢〰戸ㄶ㔵挶收㈳〸敦㝤㙣搲摦愷挶收晦㕡〱㐶〴㥤㝥㜶㔷ㅣ〲㝦ㄴ㘸昹㙤ㄲ搰㈱搸㠴攰㍢㈴昸㉥〹攸㈳㕣㠵㔷晢ㅥ挰㘲㥢㤹敢㌲㔹散愶摢攷攴攴㘳㈰〶㈷㉦〶戴㑢㜷㜰昲〷㐰换ㅦ〲〸㍡昷敡㌹㐹㡦㥥挹挹ㅦ㈱戴㕦㥣㌴㤰㐱㜱昲㜱〴挴㜶㠰ㅡ㑥㍥〱挴摥㌹㐹挷愱攲攴㤳㔶㐰㜱昲ㄲ㐴散慥㌸㌸昹ㄴ搰昲㘹ㄲ敥㘸㑥昰っ〹㥥㈵〱㥤㡤慢昰㙡捦〱㉣慡㜲㜲㘶㍥㐶晥ㄴ戴㘰攴ㄴ愰㕤扢㠳㤱㍦〳㕡㍥て攰愱㐹㍦捦敥〵换挷攱昸愱ㅥ慦ㄹ㕢昳㤹㌲㌶ㄶ㌶㘴㌴㔳挶ㄴ改㌰〰㄰㔴ㅥ㥡愳搵㠶攳挸戴愲愲捣ㅥ摦㤸㔴愳摤ㅥ搷㤸敥㔴㜷㤷㌵㐹㌶ㄵ㘱㠷晥扢㌷㈲愵㄰㌷㘹攳愱愴㈱ぢ搳㘲户㤴㘴戱㝣㙥晦㤶㠳敦㔴㜰晥っ㝤㕡晢㌹昲㉦挰扤戵敥攱つ愱㙥晤搲㔳㜷㙣㍦捤㈵㕦〰ㄲ㘳㥡㥡戶晣〵㠲搴戶㜷攳㜷晥ㄱ攳昰晥㜱㌹昵㔱攳㌶㜱㥤㤶㝢㜹㉣㕦挲㝥攵戳㘲搰㐶ㄶ㔸挱つ搳攵㥡㤴挴捣㈲㉢〵昷㍦㌶攴愱㐳愶ㄲ挵昴㈱愲㠰愰㙦愶慥慣㜴㠹〳戴㘳㔰〸ㅦ㠷摡〰换昴㐵㘰挸敢户攱㜷㝦㥣愷戴㡦㍢挹敥㡡㑦搵换ㄸ㉦扤㈸㈹㤸㜷㕥㤴㔱戹㔱㠷㐵㠸慢㜸㔹㝤㤱捡㔰㠹慡捤㔶ㅡ㠳挹ㄲっ㤴㌲㌵㑦㉢愴收扤㌴㌶敢㔹散㠶㍢㜵㈸㡡㔶㘸㘳慡㡣愳㠲㑡〱扣敥㜰攸㐸〸ㅣ㘹戵愴㈴㤴㥣戴㜹〶㙦㙤㈷㌸愵づ㔰慡㔸晡つ昵扣㌸㈰慥晦〸㥦摢〶㕣㜶挰㌲㕢改㍥㥤挷摥挱搲敢昴㜴㜳㈶㉤戲て㘰捣〵㑦慤㘵ㅤ㌶㡥㐶㔱㈷つ搸㘲ㄹㅢ〳慦㤹㜵㜱敡㘴愱㌵㤶㌳搰晦戳戳ぢ㡣戱㝣㉡㍢㥤搶㤵昱㘰㉦攱捡㠶㌸㈴攴愵慥ㄸ㥢戲㥡㠷㉦ㄶ㔳挶㜰捦搸扥㈳㜲攰㕥〴昹㑢戰㔵愹㜴㈸挳㈷㝦㡤ㄸ攷ㅤ㥤摡〷㜴慣戰戰㝡㈸愶㉥户㘲㘹㙢㐰㜱㑤愳㙦戸㜲㌲愱㘶㥣㠳㙣㙤㘱㙤㠱㕥〸〷㙡㑤挶㐴ㅤㄲ㜲〲㜳捣㠵㑦搳㘰㐲ㅤ攰っ㘱㈱㔸昵搴て㙣㈵敢ㄷ㜶㠴㘹㌲ㄱ愱㤴㌹攵慢㔵㡡ㄵ㕤〵敥慡扦㐰散㐱㕣㈹㙤扦㐱㐰扣ぢ挰㔴摡㕣㤲㝢㤹晣ㅤ挰摥㤵㌶ㅥ㐳㔰㑦㤳㉦㔹〱愵戴㕤㠱㠸慤㌶ㄱ攱昳戵㤰收昷〴㉦〳㠸㉢〱㥡㄰晣㠱〴慦〰㜸攸㥡慥㕦㘸收昴戲戳㜰㑦㡥㘶㡢㌷㐷昳つ搳㔴挳㝤ㄶ㥣㈲挰捣搲摡扤敦㘶戱慦〲㝣攳攱㠷㘹㑢扡挴晢〰散晡㍤〸㕢愶挶㙢〸捡㍦㤲㠰敥收㝡〵㤹㍥㘶㔳㐱晥ㄳ㐲㡢捣敢㡡㝢昵换㠸て㠳㔸昱㤹挲ㄲ㜴㑦搷㈸挷戴戴昶捥攷敢㤹ㄷ慦㜴〳㌲愰摥ㅢ㄰戰扢㐱㠴挵攷ㄶ㠴㈵㔷〳㐱㍦㜷ㄳ〲て〹㌴ㄲ摣〴㠲㔵㜸戵㌶挴㡥戲㤵攳㌵戳改㘲愱㍣愹昳捡攷㥣戶㠶㐴づ愸挸户〲摡㔵㌸㔴㘴ㅦ㔲㘵㍢㠰戸ㅤ〴昵慣愴户摡㘴㘵〷㐸昶㤹㤵昴㙦㉢㔶㜶戲攰扢㄰慢㘱㘵ㄷ戰㝢㘷攵愷㤰つ㠴戸㑡挳㐲慣㠸愰㔷摣敥〶㤱ㄶ㉢て㐳㔸㉥㈴攱摤捤〹ㄶ㤱㘰㌱〹攸㐴㕦㠵㔷㕢㠲搸㤱㌶㉢㠷ㄳ搹㔴㈶㍦扦晤㝢〴㌲㠰㤳㥦〵戴㥢攰攰攴㤱慣攱㈸搶㜰ㅦ〸㐸㉡㡦㘶っ〱㌵昰ㅦ㐰愰摥㌵搰攰戶㔱愶㤳㐱〷捥㜸㜹㌶ぢ愷ㄹ㠳㜴ㄵ㤸㈱捥ㅡ愸㤳挰挱㠱㔱㈸㘲散戴搶㥦昰㔶昲㐶㔱㕦晢攲扡扢㡣㉡ㅢ㔳敥挷敢㜹昶㑦㡤昷昵㉡昹搹昰敡挵㈶收攱愳㉤〵㝥戱扡攴㔳㉡ㄸ攵敥㜱㌸㠵扢㜹㌷搴挰㔶㌲攸㜹ㅡ㈵㌶慤㤳ㅤ㙢捤昳ㅢ㠸㥤扣㉢攵摢㤱㉦散捡慢搶㜸㑡扣㈲换摡㘴㕢ㅢ慢愱㍥愲㥥㤳挰㍣晦㔷㄰㘴㘶㜹ㅣ㐸㍡㕢晣㕦㐵㤸晣搴㡥㐷㝣昹昰搰昰收〹㈳ㄱ㑣㠶㐳㠹㐸挰㠸㠶挲昱扥㔸㌲㤴敡挵ㄵ晣ㄴ攲戱愸ㄱ搰戵敥ち㘹扡捦㐸㠶㔳愹㔴㌲愰㈷挳攱ㄸ㙥捤㈷㘳㜱愳㤷㔹㔲㝤㝤㐶㔴㍢愱㐲ㅡつ㐶㔲㠱㤴ㄱ㑣昵敡昱㜰㌲愲挷㔳㈱㍤ㅤ㠸挵愲㝡㈰ㄹ㌷㤲㈱晦㠳㔶㑢攴㠹挸㈳㑦㈲㔸〶攰愷㌷㐸慤愳换㠹㍡㤹攰ㄴ攲改㈰㔲昸ち愹捡改愱㕢㘵㕦㥤㌷攴㠴㐸㡡㤴㐸ぢ扤戵慤慤挱㘸㙡㜰晡㔴敥摤㘹ㅡ㔵㉢捦户㈱愰㝡㑢慢㜹㈶㌴搹㈱㝦㘶㜶攳㤵㉢搹㥦㌳〰㝣㝥㝡㝣搸㈰慤〷搱㠵挳㐳ㄳ戸て㘶摦㄰攳㤸搵捥〴扥〳㜸戵昳㙦挶㝤㕢㉤〰捣㘱挰搴㝥㈵愳〵㠱㕥〰戴挳昹敤愷㉢㐹〹晥㝣㔶㑢㤵㕦㠶㐱愶㍥ㄲㄱ捡ㄵ㐴㔴ㄴ㈸晣㈹挶ち扡㠲ㅥ挰㉢扥㠶㕥㜲㜰㈳散㤲ㅣ戱ㅣ㥣攲㐱㘰㌸㐰㙢〷ㄸㅤ㐲慡㥥戳㐰㠷〱㐶攷㡦ㅡ㘰㘷㈳㙥づ戰㘰㈰ㅥ㠹昶愵晢㈲挱㘴㌰㥣ち挴㤲㜱㝣晡ㄱつ㈶攳搱㔰㌴ㄵ敡㡢㙡攷㔴㐸愳戱㐸捡㠸㘲搴愵㡤㜸㌸ㅥて㈴㐲㜱㍤㤴搰㜵扤㌷㥡㑥㠶㘳㝤㕡㝦㠵㌴摤ㄷ㌰〲㠹㐰㌸ㄹ敥㌵挲㈸㉢㥥敥つ敡改㘴㈸ㅤ敡つ愶㡤㔰搰㑦て㤴ㅡ㌰攷㈲㡦ㅣ㈰㔸〵攰晦㡥㡤ㅦ㈴㙡㠸㘰㤸昸敦摡㜸㐵㑦㔲㤵㐹㍣〶㍣〷㤹昸㍣㍡捦〱愰〴戹㠶改㘳〰㍥晦て㤰愸㔸㐰㐱㑡㑡㑤㔲㔰㤲㘲昱搳ㄱ㔵㤵挳攱㠸挹㡤㑣㕣挲ㄲㅦ㈷㈰㙡㌳㈰〳㙣慦㜸〲㐰挹攱㑥㔴搶㈸㠷㝦〵戶㔱づ㑦㈲㤳慡㘷ㅢ捡㠱ㅣ㥥㐲㕣挹攱㐲挴㑤㌹挴ㄳ戱㌴㜸ㅥ〳㠷㔳攱㈰昸㥡㡥〶㔲㤱㔴㉡㄰㌱㈲㠹㔰㕦慦㜶㔱㤵搴〸㐵㠲㔱ㅤ㉢㐱㉣㠵慦㤰愲㤸戲㠹㘴㌴㤴〸挴㡣㐰㕦愰㉦慥扤愱㐲ㅡ㡤攸挱㘸㍣㙣㠴攳搱㘴㔸て挷昰㔱㑦㍣ㄹ㠸㠴㐲扤㠹㜰㍡ㄵ㑢昸㥦戶㕡㈲㉦㐶ㅥ昹㐶㠲㌷〱昸㥦戱昱㙦㈶敡㉤〴ㄳ挴㍦㙢攳ㄵ㍤㐹㔵㈶㐱㘷㤵㤲挳㑤㑥㌹愴㤹捥昵捦攷愷扦㑡戱愰㤹ㅣ㥥户ㄳ搵㝣㌸ㄶ㌱㤹㘵搶愵〸㜹㕥〰愸㥦搶㡥搳ㄹ㠷〳〵慡㤶换敦昰㙡愹〵攲㌰㘳搳㜴㈲㡢敦搵㌶挰㤶㉡ㄳ㜵㈸㘸攰慤愶㐵扢搷戵㔱㜵攱㡤㙦收ㄲ㔵捦㠳摡愵捤敡㥢扡㠷㝣㘰晡扣捦㜳㉤㘴户㙦戵㐰㌸㜵ぢ㈸㠷戳㑦ㄶ㈸㙢㕣晦愱愷㠹㌴㜲㡡搰㝡〴㝤㈲つ㔸て敤户㝤㌷ㄶ㤹㝦㔱昵㠸㠳㠷㔹㉢戲戰㥢昷攱散昰㔲攴ㄵ戴てㅢ摡㈰㤴晤㠱ㄴ㔹㈲つ〲㙡慥搳晥㔰㜳晤㙡挷㕣搷愶㤱㍥愷㤶㈰摥摢㜴〱㜸〹㈵愹搱扦ぢ㤹戱〰晣ㅥ㜱㔶愳捤〰㕡ぢ㠰㘱㠴㡣㘴㈴㥣㡡㘱扡愶戰ㄱㅢ㠹㜸㌲摤ㄷ㡣挵㜴捣摣㜴㥦㕦㔹㉤挸㈳㘷㤱挷㑦㍢㠵㈵挸摤㡣扤㘲挷㤸搶昵㉡㘲摣〸愸挱ㅤ搴挷㑦敢㠴慣愹㕦㐸㘹戰㈸晣㐹㑣摣㠳㐶愸㡦扦㠴戲㌷㠸扡ㅣ㈸晣㤹㝣愵扤愱昸晡づ〷㕦慢㝢搹摢㥡戲㤰㔶㠷㘲攱㤵〸㠰㠵戴㌰昰攷搲摥つ㘸戲㌰㤲挶㑥㘶挴搲㝡㙦ち扢㔸㈰㥥攸敤〳ㄷ㝢㤳㐹散㐰㤱㜴㌰散㠷㔲㘹㌲敤㉡〴晣㌴㐱昰攷㤲敦㘱㑣搹㈲㡣㌱㑤搰戲㔰敢搹㌴ㅡ挳㝤㐵昵敥㙡㘰攵㌵〰㍥㍦㡤ぢ搵㥣㘶敢ㄹ㡤づ㤵愸搶戳搳㔹敡〷㤹昵㌴㠴㠴㌲ㅣ㠸扡づ㈸晣㤹㍣愱攱愰㜸㤲㘹捡㤳敤㑤㜹攲㐷㈶㔵捦昵〸㠰㈷㌴ㄵ昰攷搲㙥〰㌴㜹㠲晤㍣㡡昵ㅥ摦㑡敡搸㔷㤲戱㘴㌴ㄲ散㑤㐶〳㐶愸㉦ㅤ㑡愷挲㝥㘵㔹戰㌹㌷㈲㡦㥦戶〴㑢㤰㌷㌱愶㡣ち㍢㑤搰㐶㔰㍣㐹㌸㜹㜲ぢ戰昲㔶〰㥦㥦㘶挲㥣㍣愱昹㔰攵㐹㤰愵㝥㤲㔹〳〸昹㡦戶ㄳ㙦㐷愰戳挵㐳㠵昸散戹㥤收づ㕤㙡〵㥣㐹㌵㕦㕣㥤㠷㉦愸㘶愹〵戴攰〴搵㍣㜷㙣㜵㥦㜵㘰㘵㜱昵攵㐴攲敢搹㡡㕥晦ㄹ攵愰㐷㡥㈵㤳㈵ㅥ㡦㔷摥〱扣㠷㕡㜶㔳㘷㔵晤㈷愸捥捦愰㌹扢㤷攴挶㑡㔰㍥㜱愳㜲㑢㘱戰昲㉤昶㘱戶㔲扡挲晥㄰㘸㜹ㄵ㘳晢㠲敤㙣ㅢ㡡㤵㝣昸戰〶昶ぢㄲ㔶昰戳愱㈵搵㤸攳摣昶㤸㉡ㄶ㐷〰㜰㑣敡㘹扢挴ㄲ捥㉤㕢摤㉤愲改㔵㈹敢慢㙢愸搱㜶〱攷攵愷㜳ㅤ攸挳㌱㑤捥慤㠷㌲㘵㜵敦㐳㈲㕤㐸㥡㐳摡㕤㘴㔴晦戲挱㘵㜱捦㈶㐸㘲㍦㉡㐱㐶〷攷㔹㈵ㅦ㥦晣ㄴㄲ〴つㄶ戲㕦挸㙥㐰敤㙥〰搴戲〶戵慣㐳㉤昵晥ㅦ愵㜷㔸㕤攱㤹㌳ㄹ㠳敦昵挶愸攸搴搵挱戱敥㤳㥦㘶搱㌴㥤捣㍡㘸㠲㘹㥦〱㐰ㅤ慢㤷挵挵ㄸ敡㘰㍤ㅣ慦㍥昹㌹ㄲ搳戲㈲㡡昹〵㉤㉣㍢㕤搰搲㘲搷㤱攰敡愲慤挲ㄱ㔰户挶晦㙡㠰愹㜸㔶㈹攸昲㕡扦㝥敢㜷昱慡㉥ㅡ㌸㉡攷㥢挵〹搷づ㝡㥥戸慣晥晥攵㑢扦㝣攵攱㌷摣㕣ㅣ昸搶㍢㕦㕣㜲㡡昷慡㠱㠱捤㈳㔷㙥晤攲〷〶〴㙤㤴㠵㈸户晥ㄳ㡦ㄱ㌴慡改㡤扡㘱㉢愱晥ㅢㄷ㍦㑤ㅢ戵ㄸ㝣〹㠱捥ㄶ㜱ㄶ㝥㌸攷挵㈰㜲㜰愲愹戹㜱㉦㌱攷〲㤸捣愳搱愲摤て愰〴ㄴㄵ晤愰戳㌹攵㤳て㤰㤸㠶㠴㐹㑣戳㐵晢慡㐹㍣扡㉣㉡晡㐰㙣㌳捦㈷ㅦ㈲昱慡ち㌱つㄷ敤敢㈶昱㙡㄰㐷慣㤲㑤戱㍣㑣㘲摡㈳㜶㘵㘲挸㡡㌰㕤搰㍥戱㑢敥㕡㠳挸㠱㠹㠵收捡扣㘲昹㠴攷捣㔷㝣㡦㕣㍤昰慥㉤敦㍤昶㥡攱㙢〶晥㘵挹㠷扥晣愳慥扦ㅢ㄰㌴㔹㥡㠹㈵㠰㕥㌴ㄵ换㤹㔶㐲晤㤷㌷㝥㕡㍡㑡㉣㡦㈰〰戱搰㕣㔱㘲㌹〳㌹㉡㘲㜹ㄴ㔸㜱㌱㠰挹㘹摡㌰摡㜷〰㤴㔸㈲攲㌴㡢㜹收〴昸ㅥ㠹㘹㔷㤸挴ㄷ㤱昸㌱㤳㜸㜴㔹㐴㉣〷戱捤㍣㥦晣㈱㠹㘹㔴㤸挴戴㘳戴挷㑤攲搵㈰㍥挱㉡搹ㄴ换ㄳ㈴愶㜹㔲ㄱ换㕢慣㠸ㄲぢ捤ㄵ扢攴㉥捥捦〳ㄳぢ慤㤷㜹挵戲㙡攸昱㉦㕥晥捥㍤〳ぢ㡥㕥㤹晣㐳攱戶㠱搸敦㘷㙥㝡㘶昶晥〱㤱㐵捥㘶㘲㔹㡡㕥㌴ㄵ换㌱㔶㐲晤昷㐰㠲㕡㌵晥㕣昲㌹㐰㉡㈲㝣晤戶㙡㉤㤴㕥换攴ち㠶挹搴㘴㤵㉣㝦㡡〰㘴㐹捤㔳挹昲〸㔴㔳㤱攵昳挰ち㉡㡤㈶挷㘷㄰搲㕥〰㔰敢㔳搰戳〸戴昳慤戴㌸攱㜲㉥攷挸㔸户ちㄲ㠳挳㔰晣㠸摤〰㉣㡦㈸戱〷戰捡㥣昷〳㘵㕥捦㕥㘰昱愰攱㜳戹㑥㉢攱挵扡敢搹晥换㔱㤲敡攷㙦ㄱ㐰㍦慦挴㡦敡㘷㍢㜲㔴晡昹ㄲ戰攲㉡〰戳㥦搴ㄹ戵㤷〱搰捦搱㘵㌱搱〶㕡㝢戰昸攴㉢㈴愶㔲㘸愳扡慥㈶㈹ㅡ挹㤱攰㜸收㕥㙤扢愸㈵慡ㅣ㜳慤戲㑦敥㕥㝣搷敡㈷戵㔵㍦㜹昵戶㕦㍦戲敥㤱〱昱㐱攴愸戲㘴っ搵㤸㉣㜱捦挵ㄲ㘱㈵搴㕦搸昶㕦㠷㤲ㄴ㑢攸搶〲㑢慥㐷㕣戱攴昵㍦㍡㔸攲㐶愲愰搲㘷戲㠴㉡愳搶ち㥣㘲㐹㔸扣ち㕡扢晦㍥愹㤱㤸㍡愱㡤敡扡〵㤱晤㘳〹㤵挴㜹㔹㌲晢戳㤳㠳摥㍢㝥㌷搰㜳挲昱扦捤㙥扢㙦㐰㝣ㄲ㌹㥡戱攴㈵戴慤改ㄴ晡㥤㤵搰㜰㠵㥢㝡㘵搳㠱慣㙥扣㤸摦捡㍢晥㝢〲扡攴㍣〶ㅤ㝤敤㠶㠹㔶慡愰㍡㡤㔵㥥摤づ摣戶㉣攲㍦〸㔸㡢㡢挵戸㘳㠹晦㜹挶㜲晢攱挲㌱㑦㠱散晢㝣㔲挵㤸㔹㌳㌶ㄴ㜱挱慦捤ㄸ㉢攱㍣㍦敤挵〷捥㘵㝣愶㤷㍦ㄴ扣ㄱ昰戵㔳昲㜸搴搹慤扢愹㥢㥢晥敢愶晡㤰挹挲㉡㍦散㌳㕤㌷㉦㘹ㅥ㤸㉦㐲敢㐰㜳㥣昷扦搲㡥慢挷慤攲㌷㄰戳改㘵摢攳㔲敡㄰ㅤ戸㜲〱昲愸てㅤ搴㘲〹㠰捦㤱㠹㍡〷つ㔷挰攵戹〳挳愰扥㜳㍣㜸ㄸ㘵敦敢扥摥㙦㙦㘷㡦敤愷㤵摡攲㝣慡㉡搷攴戶摣㐴㠲晦㤷㤶㌷㌷㤱搵昳摢换㤳㤵晦㍦ぢ慥㈹㝣㠲㈳ㄷ愲ㅥ㔶挵㔷㝣ㅡ㈵戲㔴戹挸㠹晤㥣㡤㕤散挴㝥〹㔸㡥㘱㙤〹戰㜳㌳收昹愶㡣㌹〲㜹敡ㄸ㜳ㄴ㔱㔵挶㠸㝢㔱㌶㤹㘳㍦㠲敡㤴㙡摣㌱捥㘶㍣㘴㘳㤷㍡戱て摢搸㘳㥤㔸敡㄰慡挹挷〱㍢㜷㤳㥦㙣摡攴㙥攴愹㙢昲㠹㐴㌹㥡㑣㌵愴愶挹摦戳㥢戱捣搹っ敡ㄴ慡㈳换㥤搸㈷㙣散挹づ慣㥦晢慢㕡㌸㑦㘱㕤愷ㄲ㥣〶攰ㄳ摣㐳㔵㕦㑥㐷戴晡戹摢㑥摡㑢㈵户昸戶摤㠷㥦㠷㡥慡㡥挷㤵捣捦慤㑤㈰〰㠸昱搸㐳㤴愳て捦愳㕣搵㠷摦戴て扡㝥昲昱㐱挱㥤㔲戵㌶〰㑡㘶攳㉢戸戵愹敡㠳㠸摡㐷㤵戵㔳攲㥢㜶ㄳ㕣捥㈹搱ぢ晡㍡㌶㐶㠸㜲㌴㠱㍢㘳つㅢ戹晢愹㈶挴㐰㠹㍦戳〹㠴慡〹㜱〴㥡㌷攱挱愶㑤㌸ぢ昴㜵㑤㌸㠷㈸㐷ㄳ戸ㄳ搵㌴㠱扢㡤㙡挲戹〸攰㑦扤ㅥ捥敦㝤㕥㠰搰㠹〳昵ㄳづ愰ㅥ挱㤵㠳㘵挸㔵㔶㠰㤱㉥捥㕦〶扣㥣敤㕤㥣户搵ㄸ攷㙢㈵㈶㌸攷搴㠲㌴㐸㌴愷ㅢ搳攴㤰ㄵ㘰愴㡢㔳慢㤲愳㡢㔳慡ㅡ攳㔴慡挴㐴㌷㘲慡戴㘱愲㌹ㄳ㤸㈶㐷慣〰㈳㕤ㅣ昵㤵ㅣ㕤ㅣ敤搵ㄸ㐷㜹㈵㈶㌸扡㤵㍥昰〵㐸㡣㉡ㄲ㘵攱㜵㙢㠲㈳㕥㈵晣㤷㤵搰慦ㄲ㠴攰㉣㔰〹㥦户ㄲ㘸㘶捡㌵㉣㤵愳㕣㌵㙤㡣戱ㅥ〲愶㥤㙦〵ㄸ改攲㘰慥㔶捦㐱愹㜲㕣㐰㌴挷愳捡戱搶ち愸ㅣㅣ㝢搵ㅣㅣ㐳㉡挷㍡愲㌹㝣㔴㡥昵㔶㐰攵攰㔰愹收㔰㌲㘴㍢愶㠸戳ㅥ㍦㘵愹收昷㐶〴愰ㄸ㈹搹㈰戱㤶㡡㌲㔲㔴㥢㑤㉡挵昳〶㉡昲㕥㔱㙤㔱㔴㕤㘴挶㠵愰㜲捦㠸搴㕢搳㙦㝤敢换㕤慤摤㐷户㕥戴慡攳㈳㑦㝣晤愹㙢ㅦ㝤㔳晦㑦㕥扢昱挶㐷㥦戹昶攱搷扥㤸散㝦昰愳ㅦ㝤攰晣㥢ㅦ㝥㙡愱㜱㡢晢㌳㉦慦扤攵敤挱ㅤ㙦扦搴搸㝡晡敡户扦攱㤲㑤挱㡤㠷慤㘸㘹㘹㙢㍢㘵搱㐳㐷㥥敡摦㜳改攷挴㝤摦㍦㈲㉦ㄴ㝦ㅢ㥡㐱㍥慢㘶㙣㔳捤㄰㡡愷つ㔴攴慤愲扡挸愴㔲㝣㙣愰㈲㍦ㄵ搵挵㈶ㄵ戹愴愴晥㜱㑢敡㐳挸攲挵㘵㔲㌲㐶㈵晣㜳㕤〲㜹愱ㄲ㍥㔶㤷挰搶愹㠴㡦搶㈵戰㐱㉡攱搶扡〴戶㐱㈵摣㔲㥢搰晥㝦㕣㑢摢昴</t>
  </si>
  <si>
    <t>㜸〱捤㔹㝤㙣ㅣ挵ㄵ摦搹晢昰敤搹㑥づ㐸〸〹㈱㌹搲㤴㉦㈷㠷㥤挴㈴〴〵攲扢换㌹㙥ㅣ挷㠹㡤愳㔲搴换晡㜶捥户昸㙥搷搹摤昳㐷慡〴㘸㐳㔵㈸㠸昲〷㈹戴㡡㉡㐸愰搰㈲慡愲搲ㄶ摡愲〰晤〸㙡㈵㘸㉢㑡㡢搴㡡ㄶ㐴扦愲愸〵晥㘸愹摡昴晤㘶昷散晢㔸㥢㈴㑤㈵㌶昱扢㤹㜹㌳㙦摥晥收扤㌷㙦㘶㈵㈶㐹搲㈹㝡昰㡢㈷㠸挲搲㠱㈹摢攱愵㐴捡㉣ㄶ㜹捥搱㑤挳㑥㜴㔹㤶㍡搵慢摢㑥㠰㍡㠴戳㍡昱敤㔰搶搶昷昱㐸㜶㥣㕢㌶㜵ち㐹㔲㈴愲挸挴愷㤲昸㡢㔵㉡ち㐶㈹㐱㄰昰㤴㌰㐸ㄳ㤱㤶〸㤱挱㔴㜲挷昰㉤㌴搳㠰㘳㕡㝣㔵㝣挸㤵户愹愳㈳搱㤱攸㙣㕦扦㈶搱扥㉡㥥㉡ㄷ㥤戲挵㌷ㄹ扣散㔸㙡㜱㔵扣扦㍣㕣搴㜳摢昸搴愰㌹捡㡤㑤㝣戸㝤敤戰扡㙥㐳挷扡捥捥晣戵搷㙥㘸㔱㐸㜲㝦㉡戹㤵ㄷ挷㐸摥戹㤲ㅡ㈵愹㝤愹㘴扦挵昳攷㑡㘶〸攰㜴愴㜹㑥〷㡡㥣㕢扡㌱㤲㐸㈵改㝦ㄵ㉡㔴㕢㥦搸㌱㌰挰つ㕢㜷昴㜱摤㤹ㄲ㐰㤶㜶攴㠶㠷搴㘲㤹㠷㑢㐲愵㐸㘹㐸戵晡搴ㄲ㙦㉤摤㘸昳㕤慡㌱挲㔱ぢ㤵扡换扡ㄶ愴搵つ㕣改㌷㤱〷㔲㘲㐷㉡㤹㉡愸㤶㈳㐴〲挰慢晤㝡㡢㤹ㄲ㔵慡㠸㌱愲ㄵ昰戰㘶捦㝥㌰㈷搶㔷㘹〶㘹㈱ㄲ㙥㈵㜲㐱搵挸戸ㄸㅡ㕦换㠲敦㤰ㄵ㔶て挴ㄸ㌹慢捡搹㘱㌹㥢㤳戳㥡㥣攵㜲㌶㉦㘷㐷攴㙣㐱捥敡㜲昶ㄶ㌹㍢㑡㝤㉡㑦愴愹㐹昶㥥㈳㝢㥦㝡㙦敦愱㠳㝤捦ㅤ㌸戱晦愶㉦慦㝣㤱挱昰㠴〵捥愷㠲ㄲ㈳ㄲ㍥㡦㠸㡦㈲㙢ㄸ㍢㐹㡡㐰㤹搷昷晣捤摡戹攸挵攴㔷づㅤ㕥戵敢㕢㡢㝡ㄸ〰ㄷ㔲㉥㠰㤴〵㤰戲搰㕦㑡〷㘳㝦昱愴㐴㝡㡦〶㝥ㄷ㍢昱戱捦づ晣收摥愳摤扦晥ㄷ㠳改ぢ㈹㡢㈰攵㈲㐸㔹散㉦㘵ㅤ㘳㙦㝢㔲㥥戹㐹戹愶攵攵㑣收㠹㈷㕦㜹攳㥦摢㈵捥攰㍢㐲捡挵㤰戲ㄴ㔲㉥昱㤷搲挹搸ㅦ㍣㈹㙦㍤捡㝦晡㝥㜰㜹收挱挳㕢昶挹愷㍥㜱戲㘵㌹つ改愳㌵㑦昴㜱攷ㅣ㌹㐸〸敢㜶晡㌶〶愳〸㤵㕣ㄳ㑤㜳㍢愷挰㝥㝢っ㡤㑦㠶愹㐴㜶摤㔲㑡㤹㠶挳㈷㥤戴敡愸㑤愵㝥搵攲㠶愳㔰愷㌶㌱捡㉤㘱㘴慢㘸慢㡣㡥㝡㌵㤲㄰ㄳ挵㉡㈹捤愲挱㤵挴㈸摥〵㠲㉥㡤㠴晤〲摦㔶搵㉥㌸敡㜰㤱慦慣㜳〵攰㐶摥㜷愳愳ㄷ敤〴㠹散戶捣昲ㄸ㄰㍤㔷㜲攰㝦ちㅣ㈶㝣㈹ㄱㄱ愶昱㑢ㄳ㙣㔶㔶搰㑦㔴㌰ㄵ㌰㘹㠱㑦㠱㌳挳㙢戹㡣㉡愴㘲摡㉣愹扡㜱㡥ㄶ户攵㜲ㄲ扡搳昳敥戴愵㑥㔰愴㥡ㄱ㑤㘱ㅡ晦㍥㌸㔴㔳愴捥㜷收搷攷㍢㍡戴捥㜶㜵慤ㅡ㠲ㄵ㥣㘹愴㠱晦戵㤴㜶敢㠶㘶㑥㠸搰㜳㝥㠹攲㡡〸㈷㠳㔳㘳㕣㌴戵攴〷㔵㙢㠴㔳㌸戳㝡搲ぢ昲㈹搳戲㜸㔱㜵戸㈶ㅡ戰㥢㉤慡㙤戴㌳㤶㔹㐲晢搲愴㙡昳㤹戰搶㤶㜷㈷㑡㥡㘵㐳戳㉦昶㘷づ㌸㈴㝡㐹㍤㙦㐶㐸挳戰〱ち昵摣ㄶ㥡㉥慢ㅦ㈶㡣扦㙢㔲㜷搹㤷搴戱㈹搸㥢挳戳㜳㌳ㄶ摦㍢捤㙤搰愸㡢戶昴㜱づ㝥挳㕢扡㉣㔷㉦ち捤愶捤つ愱㕥㕢愹㕦捦㡤㜲㙢㠰㈳㈱攰㥡㜸搵㠵㘰㜱昲挷ㅣ户摢㜶〰㝡摡㙤戴ㄵ搵慤昹㉤㤳づ㈷㙦搶㐸㕦摡㠵㥤愹㐱㜸搲㠵㌵㕤摣㌹㠹戱戸愶㌹㘳收捡㌶扣搶㌲㡢戵㥣㉥㙤㕣愵㌹戵敤愶挶㠳㐱㌹㈰〵愵㈰ㅥ㠹㜶户〰戹㜲㝢㥤愳㡡慤ㄴ戲敤敡㍤慢捡㜲戰㘹慤㍤慤㐱戵收㠵㜱㝥㈱㘳㍡㔷㘲ㄷ搵晡㑡㘲ㄷ愱㐷㈸ㄵ㌹ㅣ㐹慥㡦㈸㔵㡡捥㔸つ㈶昱㡤愷敥ㅢ㔵㘱〶扢㐵敦㉢㘶㝦ㄵ㈱㜶摡㌲晥扦㥤㘵昹〲敦敤户㡣㔳捣摥慡ㅡ㕡㤱㕢㜳攳〵㡤㤴㉢㐰慥〴戹㡡㐸㔴ち扤㑡搱㙤㔶㈴戱户戳㐹㌶ㄵ㥡搰㌵愷㄰㉥㜰㝤愴攰㔰ㅢ攵愲㤱〸㘰敥愵㄰慦㔲㈲晡て摡㉦㜵㈴愴捡㉡㤰搵㐴愲搱愸㈴攲㘷㌸慡㕣㉤敡ㄲ㐳㡡㈰昲ㄵ㘴〸㡤挱㜵つ扡㈹㜳昰ㄸ搲ぢ〴㌴攵ㅡ㤰昵㈰ㅢ㠸㐴㈵昶ㄳ㝡て扣换㕡搲攴㔵搲㝢㈱晤戹ㅡ㙤㐴慦敢搰慢㑡愳㑤愲㉥㌱愴ㅢ㐲㈳㘴ㅢ㡤ㅡ㙤㐶㌷㘵づㅥㄳ愱ㄲ㘳搳㈰㕢㐰㌲ㄸ㈴戱㘷㍣㡤㤶㔲㙥戳㡣戴㌹㌶㡤搱㔶昴敡㐱慦㉡㡤戶㠹扡挴㤰扡〸㡤㤰戹㌴㙡搴㠷㙥捡ㅣ㍣㠶戴㐷㘰戴ぢ〲〶㐰〶㌱㐸㘲㕦昷㌴晡ㄳ慤搴㘶搲〶戹㥢㡢搱㄰㝡敤㐶慦㉡㡤㍥㉥敡ㄲ㐳ㅡ㈴㌴㐲ㄶ搴愸搱捤攸愶捣挱㘳㐸愱㠴㐶㝢㈰㐰〵ㄹ㈶㐲ㅡㅤ昶㌴㍡㑥摡愴改敦慦搳ㅡ㘹攸挵搱慢㑡愳ㄱ㔱㤷㠲㉢攸搷捦搸愷昳㠹㈶㜴散㌵㔵㉤愳收攸摣搳攴㥤㝡㈲㈹戳㌴㐶㔹㡥ㄵ㐳捦ㄴ挵㌸㡡㥤攳扡挶慤〸ㅡ〶攸挴ㄵ愴㐳㡦ㅤㄶ㍢㠴㑤改㑢㐰ち㠵㥡㈳㝥㜳昵㔴㘴慤昴㍣戱晡㐴搷搳㈰晦挴捥つ㌷挰㐱愲㔱㝡㑤㐹㈹㠰攸㐴㐲昰挸㌳㡥慡㜰愴ぢ㑢〳〵㜳㘲㉢戹㈴户摤㐳㠵㥤戲㜴㘷㔱㘳㌳愵㘳㙡㘹戱㘸敦戶㌸㙤愴搶㈰敤㈷攲ㅤ㌱㘲㠹㉦㐷っ㕡㈲㠲㕡㔵㌸㙦换て改㝣〲㐹挰昲㐶ㄶ㥤㡡㔲㘵摢㌱㐵昶戸慣㤱㥦㌶晢㑣㈷慤摢㘳㐵㜵㙡愵て摢攵散㉥㜰㠳昶㐰㡢戶挲て敡㘴㡥㡤㜱捤㐷挷〱戳㙣攵㜸㑦晡挳戰㡢搲㑡戹てㄳㅢ㈸㡢戰戰捣攸㌹扢〰捥攰昹搲愷ㄶ㍣搹晤晢㝤〷㙦〸搳戶捣挸㐱挸㐵㐲〸敡㘷戳搱㉡㌴慥戵㈶扤㕢㠸攳敤㜶扡ㄲ搰挷㡡㍣愹㕡㘴搸愶㘵㉢愵㑡搱㌵扣慡㠳愶敢㉤ㅦ〶戰㈹㕢㜱昳㤴挴散晢㜴㤵攲挲〶㘱捣搸ㅢ搹㠲扡㠴㐲扣㌷㜶戹戳㕣慢搰㈱㡡㙥㘷愸〸敤愷㔲搳㌸づ㘷搹慣ㄴ㠱㕡㜸㔸攸㝥ㄲ攵慢ㅦ〵㑣㈹㘸攰ㅡ㐲㡣㡡㡥ㅡ收㠴㈱㌴て搹挸㤹㈱㔰㘹㙡挲㙢㔴愴㐹㥤ㄵ戳㤱㐲挸〲摡晣戰㜲捦㌶搳昷㈴㍤ㅡ愵ㄹ摥挵㐸ぢ㉥㐶〶㉤㉥㙥㍦㈲愲㐲㄰戶㤶㜶㥢搶攸戰㘹㡥攲挴㌹㑦搴散〲攷づ㙥㉡㥡㑢敥㜵ぢ捡㘴晢㠱㐰捤㙤㠴㠷㍢㤸㌸㔹㠹㉤㈶㕣愲㔲㈰㘳攵㐴㡤摤㐷敦㡦㡢㠳慦ㄵ捥扦晥㑢攱㕤摤㡦㍦㘳㥡敦昷㝥昳〰晢㠲挷戸昵摤㉢攷㍤戸㜰昱戶㝢㝦昰搶㉦ㄷ散扦㝣㌴㠴㐴攴戴㤲㐰攴ㄴ昳昳搳戱㙢㔰㜷㡡扣㌹敦㥡〶捡㤱㍣㐵㈳㑡搰戵愶晣㘰㠱摥㍡摤㥡敦戶㜴慤愸ㅢㅣ愶㐳㐷ㅦ摣敡昴昲ㄱ㑡挶晢㑤摣㈰㤹㐶㙢㝥搰㔲つㅢ㝢㡤㤱㥢㍡扦愶㈶扣㈵㤴㑦敡㠶㑤搳㠸㜸㠹昲晣㍣挲㌹慤㕣戹㘴㜴慢㘳昶㠷挱㥤挸㑥㉡㡦ㅢ扣㘴㈶换㉣㈲㐷捥搲㈳愴昰㕥㤲㔷㝤㔲搸ㄸ愷㌷㉥㥡扡愶ㄶ攳㜴㔱ㄲ敦摥摤ㅦ㥦戸摡㡣㙦搷つ㍡晦挶改慡㜴㡣㤲㜹㔹㠴㍤ㄹ昹㈱昲〱㡡㜶挸㌰㑦㍦㜳挷㙢戴㠸㑢㍣敦㐸ㄵ昰摢搱愷㡦ㄶ㜰ㄴ挵㈲挲㤰戸ちて愲㕣㐰ㄴ㔰㘱搰〳㈹㐸摤㥥㡥捣㔸㈹愳〳戲㔳散敢戳㐶㙢㠶搴ㄵㄱ㥢摤㐵昶㡢㌸㐱㘵㠹戱㍢愹〴㔷昷㜱㔵㠶㐴ㄷ敥㉡ㅣ㐲㠱㝢戸慥㜱〷昵㠷㙢㉣㍣昸挲㍤晦㜹㜶㔳搷㘷㝥晣改㑦㙥ㅥ晣㙡㌳㍢攸㌱㠶㔲慦㘸挷㕦晦㔱晡改ㄵ㡦㉦晦㐵敡㡤ㅥ㠶㡣ㄸ敥㈱㠵昷ㄳ㔹㕤ㄵ㄰㘹㌹搴㘲㡥㉣㕢㍢㤳搵㘰挸慥戱㈲捡〱㈲っ戹戵〰敤㔶慦㈰㐰摢㑣ㄵㅦ搰㙥愳㘶攵㜶㈲㉣㑤㘴㙥搰㤰㕤ぢ搰づ搰㥢捤㠰戶㥦㙡戳㠱㠶㕣摣て戴㈹て㥢㠶㜸㌲改㌱㥥晦昳㙢㔷扤㜳晣㐴收扥㥦㐷㥢㕦晡搹㈳て戱慤㈴挹〵敤㑥㉡㉤慢〵慤摥㠶晤㙣㤶昵搰㌸㠱搲㕤㔴㘰挸昷〵㑡㥦昷ち〲㈵愴昷㍥㈸摤㑤捤捡㍤攸㠸愴㝥㙥㤴㤰昱ぢ㤴慣ㅡ㤴昶捥㠱ㄲ捥〷搳㈸㠵敦愳摡㑣攴㉤㜹㠰㌴㤸㔷搱㘳散㥣昷敦㈳敦改摦敥㝤㈲捦㔶ㅥ㝣捤搶ㄹづㄳ㉥㔲昷㔳改㈳戵㐸㔵捣㉢㐵昷㌳㙡挵挸㝣攱挲㜱㐴挰㜵㠸ちっ㠷ㄱ〱搷ㄷ扤㠲㠰ぢ㘷てㅦ戸ㅥ愰㘶攵㐱㜴摣㐳愴ㄱ慥〸㠹昲昲㈶愶㔲て〱㔷扥〶㉥㍥〷㕣挳㌴㘴〶慥挳㔴㥢㠱㑢昵㔰㘱㤷昶㘷昷摤㥣㑦ㅥ扡㉣晥戶㜵㜲㕤㤹敤昱ㄸ㈷敦㍥愶㥥㝡㘹㘴摢攷㌲㍢㜷摦㤱扣㘱㡡攱愴攳挲昵㄰㤵㤶搴挰搵㔵㉣挶改㠸㐲㤷㐰㌶愷㄰搴ㄸ〸ㄹ㡥㐸〲愵㠷愹挰㜰㐰ㄲ㈸ㅤ昱ち愸挴ち㐴㘴晡ぢㅦ㈵㜲㕥㉡㤹㜵㌷攳捡㥥ㅥ㝥㠴㥡攷㔱㜳搵㝤㐷㑣昷挶㈸㡦㔲㐱㝣㕦㘰㈲㈲愲昶ㄸ㤱捡ㄳ㐳㘴㐴ㄲ愲㍣㑥愴㌵㄰㐳ㄴ挴㘴ち㈶㔳㈰㍡㠶㤸㈸㥡㥥㐰ㄳ昶㕢㈶〲〵㙡㌵戲㄰㌰㠴慣㙦㔰㠱㘴摤㐶㍦㜵戲㙥慦㌴㍤㐵〵昱愱㠰〹㜷㐲慤㐶ㄶ摣㑡挸㝡㥡ち㈴ぢ㉥㔴㈷ぢづ㈵㥡扥㑢〵昱戹㠰〹㕢㐳敤㔹㈲㤵㈷〶㥢ㄳ戲扥㐷〵㤲〵晢慡㤳〵㙢ㄳ㑤捦㔱㐱㝣㌴㘰て㔳㐹㉣挶㌱㉡㔴㥥ㄸ㔶㐶挸㝡㥥ち慤〱〶㝣㘱㑣攱ㄷ㔰挷㠲㔷昲㈸㍢晣㈲㥡㙡扥ㅢ㠵㝦㐸㑤搷户慦㔹搳㑥晦搶挵㔷搳㐶㤹戳㑣㠳ㅣ㘹㈲㥥愱㔳ㅥ㥦愰㈴㉣㍥愱㍢㠵昸昶㔴㤷㕢挸㠹㐳慦昸〰㤶㤸㉣摡㤳散㍡捦ㄴ敤敦㍦昶㜷㘷㜴㕥摦㜷㕥捡㍣㌰㈴扤㜹〵摢攸㌱敡㍦昲挴㉡挸㠶戰挸搷昹攵㡢つ㌷㘶㙤昵搷㤳㕢攸扡㜱ち㄰〵攸㠸ㅤㄲ㔹㔰㔰摥㜸㜶戲㉡㌹㝢㤴挴㠵慥㈵慤晦〷㌹㔸愲摡㤴㝢㌹戵㈸挷㠹㌰ㄸ慣昰㜴㉣㡥㠲攵㔰戰〰㙣摤㙣〸慥昵ㄸつㅦ戸㘰搱〰㡦慤愱ㅥ搰㔸㑣昲㌲㕡㘰挹㝥㤳慣㥥㙤㤲㔵ㅥ愳攱晢ㄷ㑣㕤㑣搲㔶㍤挹慦㌰〹㑣摣㙦㤲换㘶㥢攴愳ㅥ愳晥昳㔸慣攲ㄹっ捥㈰㘶㕢㔹㍤摢㙦㌱ㅢ㥣㘰㘶㌶〱㥥挰㉤㍥摢㙣换㍤㐶晤㘷戴搸㌱㤲㠴㠷挱㕤挴㙣换慡㘷㝢㤳㕡㐳㔸慡晡挳ㄱ敥㜲㌲戰戶扡扢换收㘶ㅣ㠵愴㜷㥢扢愴㍦㍥搲挵戰〰ㄸ㍥摤〰戰㙡ㅡ昰㍥㌵つ㤸戲扡愱昹扦㑥㄰㍣搲</t>
  </si>
  <si>
    <t>Ethanol</t>
  </si>
  <si>
    <t>Centrifuge</t>
  </si>
  <si>
    <t>Drying</t>
  </si>
  <si>
    <t>Washing</t>
  </si>
  <si>
    <t>Annealing</t>
  </si>
  <si>
    <t>Robust Impact Analysis (focused on EHSS)
of CMP Slurry Manufacturing</t>
  </si>
  <si>
    <t>You can click on image with green boarders to directly go the relevant sheet</t>
  </si>
  <si>
    <t>How you like to estimate Power Consumption for this process?</t>
  </si>
  <si>
    <t>Find similar instrument</t>
  </si>
  <si>
    <t>Model Name</t>
  </si>
  <si>
    <t>Volume(L)</t>
  </si>
  <si>
    <t>Operating Temperature</t>
  </si>
  <si>
    <t>Power Rating(kW)</t>
  </si>
  <si>
    <t>SentroTech</t>
  </si>
  <si>
    <t>Yamaha</t>
  </si>
  <si>
    <t>FP104</t>
  </si>
  <si>
    <t>FP303</t>
  </si>
  <si>
    <t>FP313</t>
  </si>
  <si>
    <t>FP413</t>
  </si>
  <si>
    <t>Carbolite</t>
  </si>
  <si>
    <t>GLO 5/11-1G</t>
  </si>
  <si>
    <t>GLO 10/11-1G</t>
  </si>
  <si>
    <t>GLO 40/11-1G</t>
  </si>
  <si>
    <t>GLO 120/11-1G</t>
  </si>
  <si>
    <t>GLO 260/11-1G</t>
  </si>
  <si>
    <t>GLO 400/11-1G</t>
  </si>
  <si>
    <t>GLO 550/11-1G</t>
  </si>
  <si>
    <t>GLO 600/11-1G</t>
  </si>
  <si>
    <t>GLO 850/11-1G</t>
  </si>
  <si>
    <t>GLO 950/11-1G</t>
  </si>
  <si>
    <t>GLO 1300/11-1G</t>
  </si>
  <si>
    <t>Manufacturer</t>
  </si>
  <si>
    <t>Operating Volume(L)</t>
  </si>
  <si>
    <t>Operating Temperature(º C)</t>
  </si>
  <si>
    <t>Method 1</t>
  </si>
  <si>
    <t>Method 2</t>
  </si>
  <si>
    <t>Method 3</t>
  </si>
  <si>
    <t>Process name</t>
  </si>
  <si>
    <t>Enter your instrument data</t>
  </si>
  <si>
    <t>Process time(h)</t>
  </si>
  <si>
    <t>Power consumption(kWh)</t>
  </si>
  <si>
    <r>
      <t>Power Rating(kW)</t>
    </r>
    <r>
      <rPr>
        <sz val="16"/>
        <color rgb="FFFF0000"/>
        <rFont val="Aptos Narrow (Body)"/>
      </rPr>
      <t>*</t>
    </r>
  </si>
  <si>
    <r>
      <t>Manufacturer</t>
    </r>
    <r>
      <rPr>
        <sz val="16"/>
        <color rgb="FFFF0000"/>
        <rFont val="Aptos Narrow (Body)"/>
      </rPr>
      <t>*</t>
    </r>
  </si>
  <si>
    <r>
      <t>Model Name</t>
    </r>
    <r>
      <rPr>
        <sz val="16"/>
        <color rgb="FFFF0000"/>
        <rFont val="Aptos Narrow (Body)"/>
      </rPr>
      <t>*</t>
    </r>
  </si>
  <si>
    <t>Instruction</t>
  </si>
  <si>
    <t>Add tool power rating(kW) and process time(h)</t>
  </si>
  <si>
    <r>
      <t>Process time(h)</t>
    </r>
    <r>
      <rPr>
        <sz val="16"/>
        <color rgb="FFFF0000"/>
        <rFont val="Aptos Narrow (Body)"/>
      </rPr>
      <t>*</t>
    </r>
  </si>
  <si>
    <r>
      <t>Process name</t>
    </r>
    <r>
      <rPr>
        <b/>
        <sz val="16"/>
        <color rgb="FFFF0000"/>
        <rFont val="Aptos Narrow (Body)"/>
      </rPr>
      <t>*</t>
    </r>
  </si>
  <si>
    <t>Method choosen</t>
  </si>
  <si>
    <t>Operating Volume</t>
  </si>
  <si>
    <t>Temperature</t>
  </si>
  <si>
    <t>* Mandatory values</t>
  </si>
  <si>
    <t>Choose from Dropdown</t>
  </si>
  <si>
    <r>
      <t>Energy consumption(kWh)</t>
    </r>
    <r>
      <rPr>
        <sz val="16"/>
        <color rgb="FFFF0000"/>
        <rFont val="Aptos Narrow (Body)"/>
      </rPr>
      <t>*</t>
    </r>
  </si>
  <si>
    <t>Energy consumption(kWh)</t>
  </si>
  <si>
    <r>
      <t>Direct energy consumption (kWh)</t>
    </r>
    <r>
      <rPr>
        <b/>
        <sz val="16"/>
        <color rgb="FFFF0000"/>
        <rFont val="Aptos Narrow (Body)"/>
      </rPr>
      <t>*</t>
    </r>
  </si>
  <si>
    <t>Select from Dropdown, start typing to see more options</t>
  </si>
  <si>
    <t>Enter Information in these cells</t>
  </si>
  <si>
    <t>Note:</t>
  </si>
  <si>
    <t>Mixing and Heating</t>
  </si>
  <si>
    <t>Production volunme</t>
  </si>
  <si>
    <t>Overview of Calcination process from Literature and tool manufacturers</t>
  </si>
  <si>
    <t>Chamber Size H(inch)</t>
  </si>
  <si>
    <t>Chamber Size W(inch)</t>
  </si>
  <si>
    <t>Chamber Size D(inch)</t>
  </si>
  <si>
    <t xml:space="preserve">Power rating/kg </t>
  </si>
  <si>
    <t>Chamber Volume(L)</t>
  </si>
  <si>
    <t>Power/Kg (based on 40% Useful Volume)</t>
  </si>
  <si>
    <t>janosPreparationCeriabasedPolishing</t>
  </si>
  <si>
    <t>Notes</t>
  </si>
  <si>
    <t>Process variability</t>
  </si>
  <si>
    <t>Process time variability</t>
  </si>
  <si>
    <t>Citekey</t>
  </si>
  <si>
    <t>URL</t>
  </si>
  <si>
    <t>Click here</t>
  </si>
  <si>
    <t>zotero://select/items/@janosPreparationCeriabasedPolishing</t>
  </si>
  <si>
    <t>need to add slicer based on process conmditionx'</t>
  </si>
  <si>
    <t>Input materials</t>
  </si>
  <si>
    <t>Choose from dropdown</t>
  </si>
  <si>
    <t>Tool Used for process</t>
  </si>
  <si>
    <t>Sonication</t>
  </si>
  <si>
    <t>Anonkia</t>
  </si>
  <si>
    <t>Crest Powersonic</t>
  </si>
  <si>
    <t>K230HTDP</t>
  </si>
  <si>
    <t>K340HTDP</t>
  </si>
  <si>
    <t>K360HTDP</t>
  </si>
  <si>
    <t>K410HTDP</t>
  </si>
  <si>
    <t>K615HTDP</t>
  </si>
  <si>
    <t>K620HTDP</t>
  </si>
  <si>
    <t>K820HTDP</t>
  </si>
  <si>
    <t>K1030HTDP</t>
  </si>
  <si>
    <t>K410HTDS</t>
  </si>
  <si>
    <t>K615HTDS</t>
  </si>
  <si>
    <t>K620HTDS</t>
  </si>
  <si>
    <t>K820HTDS</t>
  </si>
  <si>
    <t>K1030HTDS</t>
  </si>
  <si>
    <t>113T</t>
  </si>
  <si>
    <t>120T</t>
  </si>
  <si>
    <t>230T</t>
  </si>
  <si>
    <t>240T</t>
  </si>
  <si>
    <t>340T</t>
  </si>
  <si>
    <t>360T</t>
  </si>
  <si>
    <t>410T</t>
  </si>
  <si>
    <t>613T</t>
  </si>
  <si>
    <t>820T</t>
  </si>
  <si>
    <t>1027T</t>
  </si>
  <si>
    <t>K113HTD</t>
  </si>
  <si>
    <t>K120HTD</t>
  </si>
  <si>
    <t>K230HTD</t>
  </si>
  <si>
    <t>K240HTD</t>
  </si>
  <si>
    <t>K340HTD</t>
  </si>
  <si>
    <t>K360HTD</t>
  </si>
  <si>
    <t>K410HTD</t>
  </si>
  <si>
    <t>K615HTD</t>
  </si>
  <si>
    <t>K620HTD</t>
  </si>
  <si>
    <t>K820HTD</t>
  </si>
  <si>
    <t>K1030HTD</t>
  </si>
  <si>
    <t>CP 200</t>
  </si>
  <si>
    <t>RPM</t>
  </si>
  <si>
    <t>MSE PRO Benchtop High-Speed Large-Capacity Centrifuge (20,500 RPM)</t>
  </si>
  <si>
    <t>MSE PRO Benchtop High-Speed Large-Capacity Centrifuge (21,000 RPM)</t>
  </si>
  <si>
    <t>MSE PRO Floor-Standing High-Speed Refrigerated Centrifuge (21,000/25,000 RPM)</t>
  </si>
  <si>
    <t>MSE PRO High-Capacity Refrigerated Centrifuge (5,000 RPM)</t>
  </si>
  <si>
    <t>Permeate Flow Rate (GPD)</t>
  </si>
  <si>
    <t>Permeate Flow Rate (Liters/day)</t>
  </si>
  <si>
    <t>RAT-20Dse</t>
  </si>
  <si>
    <t>Retsch Planetary Ball Mill PM400</t>
  </si>
  <si>
    <t>Ethylene Glycol</t>
  </si>
  <si>
    <t>Cyclohexane</t>
  </si>
  <si>
    <t>Hexanol</t>
  </si>
  <si>
    <t>Diphenyl Ether</t>
  </si>
  <si>
    <t>Oleylamine</t>
  </si>
  <si>
    <t>1,4 Butanediol</t>
  </si>
  <si>
    <t>Ethylenediamine</t>
  </si>
  <si>
    <t>Solvents</t>
  </si>
  <si>
    <t>Purpose</t>
  </si>
  <si>
    <t>Emulsion</t>
  </si>
  <si>
    <t>Shape control</t>
  </si>
  <si>
    <t>Surfactant and capping agent</t>
  </si>
  <si>
    <t>Capping agent</t>
  </si>
  <si>
    <t>Capping or Stabilizing</t>
  </si>
  <si>
    <t>Indicator</t>
  </si>
  <si>
    <t>GHG</t>
  </si>
  <si>
    <t>GWP kgCO2e/kg GHG</t>
  </si>
  <si>
    <t>AR4-100</t>
  </si>
  <si>
    <t>1,1,1-Trichloroethane</t>
  </si>
  <si>
    <t>1,1,2,2-Tetrafluoro-1-methoxyethane</t>
  </si>
  <si>
    <t>1,2-Dibromo-1,1,2,2-tetrafluoroethane</t>
  </si>
  <si>
    <t>Butane, 1,1,1,2,2,3,3,4,4-nonafluoro-4-methoxy-</t>
  </si>
  <si>
    <t>CFC-11</t>
  </si>
  <si>
    <t>CFC-113</t>
  </si>
  <si>
    <t>CFC-114</t>
  </si>
  <si>
    <t>CFC-115</t>
  </si>
  <si>
    <t>CFC-12</t>
  </si>
  <si>
    <t>CFC-13</t>
  </si>
  <si>
    <t>Carbon dioxide</t>
  </si>
  <si>
    <t>Carbon tetrachloride</t>
  </si>
  <si>
    <t>Carbon tetrafluoride</t>
  </si>
  <si>
    <t>Chloromethane</t>
  </si>
  <si>
    <t>Dimethyl ether</t>
  </si>
  <si>
    <t>Ethane, 1,1,1,2,2-pentafluoro-2-methoxy-</t>
  </si>
  <si>
    <t>Ethane, 2-(difluoromethoxy)-1,1,1-trifluoro-</t>
  </si>
  <si>
    <t>Ethyl nonafluorobutyl ether</t>
  </si>
  <si>
    <t>HCFC-123</t>
  </si>
  <si>
    <t>HCFC-124</t>
  </si>
  <si>
    <t>HCFC-141b</t>
  </si>
  <si>
    <t>HCFC-142b</t>
  </si>
  <si>
    <t>HCFC-22</t>
  </si>
  <si>
    <t>HCFC-225ca</t>
  </si>
  <si>
    <t>HCFC-225cb</t>
  </si>
  <si>
    <t>HFC-125</t>
  </si>
  <si>
    <t>HFC-134a</t>
  </si>
  <si>
    <t>HFC-143a</t>
  </si>
  <si>
    <t>HFC-152a</t>
  </si>
  <si>
    <t>HFC-227ea</t>
  </si>
  <si>
    <t>HFC-23</t>
  </si>
  <si>
    <t>HFC-236fa</t>
  </si>
  <si>
    <t>HFC-245fa</t>
  </si>
  <si>
    <t>HFC-32</t>
  </si>
  <si>
    <t>HFC-365mfc</t>
  </si>
  <si>
    <t>HFC-4310mee</t>
  </si>
  <si>
    <t>HFE-338pcc13 (HG-01)</t>
  </si>
  <si>
    <t>HFE-347pcf2</t>
  </si>
  <si>
    <t>HFE-356pcc3</t>
  </si>
  <si>
    <t>HG-30</t>
  </si>
  <si>
    <t>Halon 1211</t>
  </si>
  <si>
    <t>Halon 1301</t>
  </si>
  <si>
    <t>Hexafluoroethane</t>
  </si>
  <si>
    <t>Isoflurane</t>
  </si>
  <si>
    <t>Methane</t>
  </si>
  <si>
    <t>Methane, (difluoromethoxy)trifluoro-</t>
  </si>
  <si>
    <t>Methane, bis(difluoromethoxy)difluoro-</t>
  </si>
  <si>
    <t>Methane, oxybis[difluoro-</t>
  </si>
  <si>
    <t>Methane, trifluoromethoxy-</t>
  </si>
  <si>
    <t>Methyl bromide</t>
  </si>
  <si>
    <t>Methylene chloride</t>
  </si>
  <si>
    <t>Nitrogen trifluoride</t>
  </si>
  <si>
    <t>Nitrous oxide</t>
  </si>
  <si>
    <t>Perfluorobutane</t>
  </si>
  <si>
    <t>Perfluorocyclobutane</t>
  </si>
  <si>
    <t>Perfluorodecalin</t>
  </si>
  <si>
    <t>Perfluorohexane</t>
  </si>
  <si>
    <t>Perfluoropentane</t>
  </si>
  <si>
    <t>Perfluoropropane</t>
  </si>
  <si>
    <t>Propane, 1,1,1,2,2,3,3-heptafluoro-3-methoxy-</t>
  </si>
  <si>
    <t>Sulfur hexafluoride</t>
  </si>
  <si>
    <t>Trifluoromethyl sulfur pentafluoride</t>
  </si>
  <si>
    <t>AR4-20</t>
  </si>
  <si>
    <t>AR4-500</t>
  </si>
  <si>
    <t>AR5-100</t>
  </si>
  <si>
    <t>(E)-HFC-1225ye</t>
  </si>
  <si>
    <t>(Z)-1,1,1,4,4,4-Hexafluoro-2-butene</t>
  </si>
  <si>
    <t>1,1,1,3,3,3-Hexafluoro-2-propanol</t>
  </si>
  <si>
    <t>1,1,1,3,3,3-Hexafluoropropan-2-yl formate</t>
  </si>
  <si>
    <t>1,1,2,2-Tetrafluoro-3-methoxy-propane</t>
  </si>
  <si>
    <t>1,1,2-Trifluoro-2-(trifluoromethoxy)-ethane</t>
  </si>
  <si>
    <t>1,1,3,3,4,4,6,6,7,7,9,9,10,10,12,12,13,13,15,15-eicosafluoro-2,5,8,11,14-Pentaoxapentadecane</t>
  </si>
  <si>
    <t>1,1-Difluoroethyl 2,2,2-trifluoroacetate</t>
  </si>
  <si>
    <t>1,1-Difluoroethyl carbonofluoridate</t>
  </si>
  <si>
    <t>1,2,2,2-Tetrafluoroethyl formate</t>
  </si>
  <si>
    <t>1,2-Dichloroethane</t>
  </si>
  <si>
    <t>1-Butanol, 2,2,3,3,4,4,4-heptafluoro-</t>
  </si>
  <si>
    <t>1-Ethoxy-1,1,2,2,3,3,3-heptafluoropropane</t>
  </si>
  <si>
    <t>1-Ethoxy-1,1,2,3,3,3-hexafluoropropane</t>
  </si>
  <si>
    <t>1-Hexene, 3,3,4,4,5,5,6,6,6-nonafluoro-</t>
  </si>
  <si>
    <t>1-Octene, 3,3,4,4,5,5,6,6,7,7,8,8,8-tridecafluoro-</t>
  </si>
  <si>
    <t>1-Propanol, 2,2,3,3,3-pentafluoro-</t>
  </si>
  <si>
    <t>1-Propanol, 2,2,3,3-tetrafluoro-</t>
  </si>
  <si>
    <t>1-Propene, 1,2,3,3,3-pentafluoro-, (1Z)-</t>
  </si>
  <si>
    <t>1-Propene, 1,3,3,3-tetrafluoro-, (1Z)-</t>
  </si>
  <si>
    <t>1-Propene, 1-chloro-3,3,3-trifluoro-, (1E)-</t>
  </si>
  <si>
    <t>1-Propene, 2,3,3,3-tetrafluoro-</t>
  </si>
  <si>
    <t>1H,1H,3H-Perfluorobutanol</t>
  </si>
  <si>
    <t>1H-Heptafluoropropane</t>
  </si>
  <si>
    <t>2,2,2-Trifluoroethanol</t>
  </si>
  <si>
    <t>2,2,2-Trifluoroethyl 2,2,2-trifluoroacetate</t>
  </si>
  <si>
    <t>2,2,2-Trifluoroethyl formate</t>
  </si>
  <si>
    <t>2,2,2-Trifluoroethyl trifluoromethyl ether</t>
  </si>
  <si>
    <t>2,2-Difluoroethanol</t>
  </si>
  <si>
    <t>2-Bromo-1,1,1,2-tetrafluoroethane</t>
  </si>
  <si>
    <t>2-Bromo-1,1,1-trifluoroethane</t>
  </si>
  <si>
    <t>2-Chloro-1,1,2-trifluoro-1-methoxyethane</t>
  </si>
  <si>
    <t>2-Ethoxy-3,3,4,4,5-pentafluorotetrahydro-2,5-bis[1,2,2,2-tetrafluoro-1-(trifluoromethyl)ethyl]-furan</t>
  </si>
  <si>
    <t>2-Fluoroethanol</t>
  </si>
  <si>
    <t>3,3,3-Trifluoro-1-propene</t>
  </si>
  <si>
    <t>3,3,3-Trifluoropropan-1-ol</t>
  </si>
  <si>
    <t>3,3,3-Trifluoropropyl formate</t>
  </si>
  <si>
    <t>3,3,4,4,5,5,6,6,7,7,7-Undecafluoroheptan-1-ol</t>
  </si>
  <si>
    <t>3,3,4,4,5,5,6,6,7,7,8,8,9,9,10,10,11,11,11-Nonadecafluoroundecan-1-ol</t>
  </si>
  <si>
    <t>3,3,4,4,5,5,6,6,7,7,8,8,9,9,9-Pentadecafluorononan-1-ol</t>
  </si>
  <si>
    <t>3-Pentanone, 1,1,1,2,2,4,5,5,5-nonafluoro-4-(trifluoromethyl)-</t>
  </si>
  <si>
    <t>4,4,4-Trifluorobutan-1-ol</t>
  </si>
  <si>
    <t>Acetic acid, trifluoro-, methyl ester</t>
  </si>
  <si>
    <t>Bromodifluoromethane</t>
  </si>
  <si>
    <t>Chlorofluorocarbons</t>
  </si>
  <si>
    <t>Chloroform</t>
  </si>
  <si>
    <t>Dibromodifluoromethane</t>
  </si>
  <si>
    <t>Dibromomethane</t>
  </si>
  <si>
    <t>Difluoro(fluoromethoxy)methane</t>
  </si>
  <si>
    <t>Difluoro(methoxy)methane</t>
  </si>
  <si>
    <t>Difluoromethyl 2,2,2-trifluoroacetate</t>
  </si>
  <si>
    <t>Dimethyldifluoromethane</t>
  </si>
  <si>
    <t>Enflurane</t>
  </si>
  <si>
    <t>Ethane, (trifluoromethoxy)-</t>
  </si>
  <si>
    <t>Ethane, 1,1,1,2-tetrafluoro-2-(trifluoromethoxy)-</t>
  </si>
  <si>
    <t>Ethane, 1,1,1-trifluoro-2-methoxy-</t>
  </si>
  <si>
    <t>Ethane, 1,1,2,2-tetrafluoro-1-(fluoromethoxy)-</t>
  </si>
  <si>
    <t>Ethane, 1,1-dichloro-1,2-difluoro-</t>
  </si>
  <si>
    <t>Ethane, 1,1-difluoro-2-(trifluoromethoxy)-</t>
  </si>
  <si>
    <t>Ethane, 1-(difluoromethoxy)-1,1,2,2-tetrafluoro-</t>
  </si>
  <si>
    <t>Ethane, 1-ethoxy-1,1,2,2-tetrafluoro-</t>
  </si>
  <si>
    <t>Ethane, 2-(difluoromethoxy)-1,1,1,2-tetrafluoro-, (+-)-</t>
  </si>
  <si>
    <t>Ethene, (2,2,2-trifluoroethoxy)-</t>
  </si>
  <si>
    <t>Ethyl trifluoroacetate</t>
  </si>
  <si>
    <t>Fluoro(fluoromethoxy)methane</t>
  </si>
  <si>
    <t>Fluoro(methoxy)methane</t>
  </si>
  <si>
    <t>HCFC-122</t>
  </si>
  <si>
    <t>HCFC-122a</t>
  </si>
  <si>
    <t>HCFC-123a</t>
  </si>
  <si>
    <t>HCFC-21</t>
  </si>
  <si>
    <t>HFC-1234ze(E)</t>
  </si>
  <si>
    <t>HFC-134</t>
  </si>
  <si>
    <t>HFC-1345zfc</t>
  </si>
  <si>
    <t>HFC-143</t>
  </si>
  <si>
    <t>HFC-152</t>
  </si>
  <si>
    <t>HFC-161</t>
  </si>
  <si>
    <t>HFC-236cb</t>
  </si>
  <si>
    <t>HFC-236ea</t>
  </si>
  <si>
    <t>HFC-245ca</t>
  </si>
  <si>
    <t>HFC-245cb</t>
  </si>
  <si>
    <t>HFC-245ea</t>
  </si>
  <si>
    <t>HFC-245eb</t>
  </si>
  <si>
    <t>HFC-329p</t>
  </si>
  <si>
    <t>HFC-41</t>
  </si>
  <si>
    <t>HFE-329mcc2</t>
  </si>
  <si>
    <t>HFE-329me3</t>
  </si>
  <si>
    <t>HFE-338mcf2</t>
  </si>
  <si>
    <t>HFE-338mmz1</t>
  </si>
  <si>
    <t>HFE-347mcf2</t>
  </si>
  <si>
    <t>HFE-347mmy1</t>
  </si>
  <si>
    <t>HFE-356mec3</t>
  </si>
  <si>
    <t>HFE-356mff2</t>
  </si>
  <si>
    <t>HFE-356mmz1</t>
  </si>
  <si>
    <t>HFE-356pcf2</t>
  </si>
  <si>
    <t>HFE-356pcf3</t>
  </si>
  <si>
    <t>HFE-365mcf2</t>
  </si>
  <si>
    <t>HFE-365mcf3</t>
  </si>
  <si>
    <t>HG'-02</t>
  </si>
  <si>
    <t>HG'-03</t>
  </si>
  <si>
    <t>HG-02</t>
  </si>
  <si>
    <t>HG-03</t>
  </si>
  <si>
    <t>HG-20</t>
  </si>
  <si>
    <t>HG-21</t>
  </si>
  <si>
    <t>Halothane</t>
  </si>
  <si>
    <t>Hexafluoro-1,3-butadiene</t>
  </si>
  <si>
    <t>Hexafluoropropene</t>
  </si>
  <si>
    <t>Hydrochlorofluorocarbons</t>
  </si>
  <si>
    <t>Hydrofluorocarbons</t>
  </si>
  <si>
    <t>Methyl 2,2-difluoroacetate</t>
  </si>
  <si>
    <t>Methyl carbonofluoridate</t>
  </si>
  <si>
    <t>Octafluorocyclopentene</t>
  </si>
  <si>
    <t>Octane, octadecafluoro-</t>
  </si>
  <si>
    <t>Perfluorobut-1-ene</t>
  </si>
  <si>
    <t>Perfluorobut-2-ene</t>
  </si>
  <si>
    <t>Perfluorobutyl acetate</t>
  </si>
  <si>
    <t>Perfluorobutyl formate</t>
  </si>
  <si>
    <t>Perfluorodecalin (cis)</t>
  </si>
  <si>
    <t>Perfluorodecalin (trans)</t>
  </si>
  <si>
    <t>Perfluoroethyl acetate</t>
  </si>
  <si>
    <t>Perfluoroethyl formate</t>
  </si>
  <si>
    <t>Perfluoroheptane</t>
  </si>
  <si>
    <t>Perfluoropropyl acetate</t>
  </si>
  <si>
    <t>Perfluoropropyl formate</t>
  </si>
  <si>
    <t>Propanal, 3,3,3-trifluoro-</t>
  </si>
  <si>
    <t>Propane, 1,1,1,2,2,3,3-heptafluoro-3-(1,2,2,2-tetrafluoroethoxy)-</t>
  </si>
  <si>
    <t>Propane, 1,1,1-trifluoro-</t>
  </si>
  <si>
    <t>Sevoflurane</t>
  </si>
  <si>
    <t>Sulfuryl fluoride</t>
  </si>
  <si>
    <t>Tetrafluoroethene</t>
  </si>
  <si>
    <t>Trifluoro(fluoromethoxy)methane</t>
  </si>
  <si>
    <t>Trifluoro(trifluoromethoxy)ethylene</t>
  </si>
  <si>
    <t>Trifluoromethyl acetate</t>
  </si>
  <si>
    <t>Trifluoromethyl formate</t>
  </si>
  <si>
    <t>Vinyl fluoride</t>
  </si>
  <si>
    <t>Vinylidene fluoride</t>
  </si>
  <si>
    <t>AR5-20</t>
  </si>
  <si>
    <t>AR6-100</t>
  </si>
  <si>
    <t>1-Bromopropane</t>
  </si>
  <si>
    <t>1-Chlorobutane</t>
  </si>
  <si>
    <t>2-Chloroethyl vinyl ether</t>
  </si>
  <si>
    <t>2-Chloropropane</t>
  </si>
  <si>
    <t>3-Butenenitrile</t>
  </si>
  <si>
    <t>Bromoethane</t>
  </si>
  <si>
    <t>Butane</t>
  </si>
  <si>
    <t>CFC-112</t>
  </si>
  <si>
    <t>CFC-113a</t>
  </si>
  <si>
    <t>CFC-114a</t>
  </si>
  <si>
    <t>Chloroethane</t>
  </si>
  <si>
    <t>Crotonaldehyde</t>
  </si>
  <si>
    <t>Ethane</t>
  </si>
  <si>
    <t>Ethane, 1,2-dichloro-1-fluoro-</t>
  </si>
  <si>
    <t>Ethylene dibromide</t>
  </si>
  <si>
    <t>HCFC-121</t>
  </si>
  <si>
    <t>HCFC-124a</t>
  </si>
  <si>
    <t>HCFC-132</t>
  </si>
  <si>
    <t>HCFC-133a</t>
  </si>
  <si>
    <t>HCFC-31</t>
  </si>
  <si>
    <t>HFE 7100</t>
  </si>
  <si>
    <t>HG'-01</t>
  </si>
  <si>
    <t>Halon 1011</t>
  </si>
  <si>
    <t>Methyl vinyl ketone</t>
  </si>
  <si>
    <t>Octamethylcyclotetrasiloxane</t>
  </si>
  <si>
    <t>Perfluorooctyl Ethylene</t>
  </si>
  <si>
    <t>Propane</t>
  </si>
  <si>
    <t>Propane, 2-(difluoromethoxymethyl)-1,1,1,2,3,3,3-heptafluoro-</t>
  </si>
  <si>
    <t>Propane, 2-(ethoxydifluoromethyl)-1,1,1,2,3,3,3-heptafluoro-</t>
  </si>
  <si>
    <t>Tetrachloroethylene</t>
  </si>
  <si>
    <t>Tribromomethane</t>
  </si>
  <si>
    <t>Trichloroethylene</t>
  </si>
  <si>
    <t>AR6-20</t>
  </si>
  <si>
    <t>AR6-500</t>
  </si>
  <si>
    <t>State Abv</t>
  </si>
  <si>
    <t>Total output emission rates</t>
  </si>
  <si>
    <t>State</t>
  </si>
  <si>
    <t>AK</t>
  </si>
  <si>
    <t>AL</t>
  </si>
  <si>
    <t>AR</t>
  </si>
  <si>
    <t>AZ</t>
  </si>
  <si>
    <t>CA</t>
  </si>
  <si>
    <t>CO</t>
  </si>
  <si>
    <t>CT</t>
  </si>
  <si>
    <t>DE</t>
  </si>
  <si>
    <t>FL</t>
  </si>
  <si>
    <t>GA</t>
  </si>
  <si>
    <t>HI</t>
  </si>
  <si>
    <t>IA</t>
  </si>
  <si>
    <t>ID</t>
  </si>
  <si>
    <t>IL</t>
  </si>
  <si>
    <t>IN</t>
  </si>
  <si>
    <t>KS</t>
  </si>
  <si>
    <t>KY</t>
  </si>
  <si>
    <t>LA</t>
  </si>
  <si>
    <t>MA</t>
  </si>
  <si>
    <t>MD</t>
  </si>
  <si>
    <t>ME</t>
  </si>
  <si>
    <t>MI</t>
  </si>
  <si>
    <t>MN</t>
  </si>
  <si>
    <t>MO</t>
  </si>
  <si>
    <t>MS</t>
  </si>
  <si>
    <t>MT</t>
  </si>
  <si>
    <t>NC</t>
  </si>
  <si>
    <t>ND</t>
  </si>
  <si>
    <t>NE</t>
  </si>
  <si>
    <t>NH</t>
  </si>
  <si>
    <t>NJ</t>
  </si>
  <si>
    <t>NM</t>
  </si>
  <si>
    <t>NV</t>
  </si>
  <si>
    <t>NY</t>
  </si>
  <si>
    <t>OH</t>
  </si>
  <si>
    <t>OK</t>
  </si>
  <si>
    <t>OR</t>
  </si>
  <si>
    <t>PA</t>
  </si>
  <si>
    <t>RI</t>
  </si>
  <si>
    <t>SC</t>
  </si>
  <si>
    <t>SD</t>
  </si>
  <si>
    <t>TN</t>
  </si>
  <si>
    <t>TX</t>
  </si>
  <si>
    <t>UT</t>
  </si>
  <si>
    <t>VA</t>
  </si>
  <si>
    <t>VT</t>
  </si>
  <si>
    <t>WA</t>
  </si>
  <si>
    <t>WI</t>
  </si>
  <si>
    <t>WV</t>
  </si>
  <si>
    <t>WY</t>
  </si>
  <si>
    <t>U.S.</t>
  </si>
  <si>
    <t>Created:</t>
  </si>
  <si>
    <t>Process Step:</t>
  </si>
  <si>
    <t>Quantity (kg)</t>
  </si>
  <si>
    <t>Precursor Chemical 1:</t>
  </si>
  <si>
    <t>Precursor Chemical 2:</t>
  </si>
  <si>
    <t>Quantity (L or Kg)</t>
  </si>
  <si>
    <t>Solvent 1:</t>
  </si>
  <si>
    <t>Solvent 2:</t>
  </si>
  <si>
    <t>Quantity (L)</t>
  </si>
  <si>
    <t>Time Basis:</t>
  </si>
  <si>
    <t>Active Process Time Only</t>
  </si>
  <si>
    <t>Power Rating (kW):</t>
  </si>
  <si>
    <t>Operating Temperature (°C):</t>
  </si>
  <si>
    <t>Operating Pressure (atm):</t>
  </si>
  <si>
    <t>Heating/Cooling Energy (kWh):</t>
  </si>
  <si>
    <t>Energy source(State)</t>
  </si>
  <si>
    <t>Obtained Ceria Nanoparticle:</t>
  </si>
  <si>
    <t>By-product/Co-product 1:</t>
  </si>
  <si>
    <t>Air Emission 1:</t>
  </si>
  <si>
    <t>Solid Waste 1:</t>
  </si>
  <si>
    <t>Unintentional Release (kg):</t>
  </si>
  <si>
    <t>Packaging/Handling Release (kg):</t>
  </si>
  <si>
    <t>Water Consumption (L/kg Ceria):</t>
  </si>
  <si>
    <t>Wastewater Generation (L/kg Ceria):</t>
  </si>
  <si>
    <t>Other Emissions:</t>
  </si>
  <si>
    <t>Electricity Consumption (kWh/kg ceria):</t>
  </si>
  <si>
    <t>Global Warming Potential (kg CO2-eq):</t>
  </si>
  <si>
    <t>Human Toxicity Potential:</t>
  </si>
  <si>
    <t>Ecotoxicity Potential:</t>
  </si>
  <si>
    <t>Resource Depletion:</t>
  </si>
  <si>
    <t>Water Consumption (L):</t>
  </si>
  <si>
    <t>Name</t>
  </si>
  <si>
    <t>Cerium(III) nitrate hexahydrate</t>
  </si>
  <si>
    <t>Ce(NO3)3·6H2O</t>
  </si>
  <si>
    <t>https://prochemonline.com/product/ceriumiiinitrate-1421/</t>
  </si>
  <si>
    <t>Cerium(III) chloride heptahydrate</t>
  </si>
  <si>
    <t>CeCl3·7H2O</t>
  </si>
  <si>
    <t>https://ereztech.com/product/ceriumiii-chloride-heptahydrate-18618-55-8/</t>
  </si>
  <si>
    <t>Cerium(III) acetate hydrate</t>
  </si>
  <si>
    <t>C6H9CeO6• xH2O</t>
  </si>
  <si>
    <t>https://ereztech.com/product/cerium-acetate-hydrate-206996-60-3/</t>
  </si>
  <si>
    <t>Cerium(III) fluoride</t>
  </si>
  <si>
    <t>CeF3</t>
  </si>
  <si>
    <t>https://en.wikipedia.org/wiki/Cerium(III)_fluoride</t>
  </si>
  <si>
    <t>Cerium(II) chloride</t>
  </si>
  <si>
    <t>CeCl2</t>
  </si>
  <si>
    <t>https://pubchem.ncbi.nlm.nih.gov/compound/Cerium-_II_-chloride-heptahydrate</t>
  </si>
  <si>
    <t>Cerium(III) sulfate</t>
  </si>
  <si>
    <t>Ce2(SO4)3</t>
  </si>
  <si>
    <t>https://en.wikipedia.org/wiki/Cerium(III)_sulfate</t>
  </si>
  <si>
    <t>Cerium(III) hydroxide</t>
  </si>
  <si>
    <t>Ce(OH)3</t>
  </si>
  <si>
    <t>https://en.wikipedia.org/wiki/Cerium(III)_hydroxide</t>
  </si>
  <si>
    <t>Cerium(III) carbonate</t>
  </si>
  <si>
    <t>Ce2(CO3)3·xH2O</t>
  </si>
  <si>
    <t>https://www.aemree.com/cerium-carbonate.html</t>
  </si>
  <si>
    <t>Mining impact (kg CO2 e/kg)</t>
  </si>
  <si>
    <t>Water used for reaction</t>
  </si>
  <si>
    <t>Direct CO2e Emissions (kg CO2/kg Ceria):</t>
  </si>
  <si>
    <t>Stoichiometric Ratio (Final:Initial)</t>
  </si>
  <si>
    <t>Theoretical Mass (g)</t>
  </si>
  <si>
    <t>CeO2</t>
  </si>
  <si>
    <t>Precursor Molar Mass(g/mol)</t>
  </si>
  <si>
    <t>Final Chemical formula</t>
  </si>
  <si>
    <t>CeO2 Molar Mass (g/mol)</t>
  </si>
  <si>
    <t>Chemical formula</t>
  </si>
  <si>
    <t>Chemical Formula</t>
  </si>
  <si>
    <t>Precursor Amount(g)</t>
  </si>
  <si>
    <t>Tool Washing water</t>
  </si>
  <si>
    <t>Cleaning/Washing Particle</t>
  </si>
  <si>
    <t>None</t>
  </si>
  <si>
    <t>NA</t>
  </si>
  <si>
    <t>Air Emission 2:</t>
  </si>
  <si>
    <t>State Output Emission Rates(LINK)</t>
  </si>
  <si>
    <t>Weighing Factor</t>
  </si>
  <si>
    <t>Cerium(4+) precurors</t>
  </si>
  <si>
    <t>Silica precurors</t>
  </si>
  <si>
    <r>
      <t>CO</t>
    </r>
    <r>
      <rPr>
        <b/>
        <vertAlign val="subscript"/>
        <sz val="8.5"/>
        <color theme="0"/>
        <rFont val="Arial"/>
        <family val="2"/>
      </rPr>
      <t>2</t>
    </r>
    <r>
      <rPr>
        <b/>
        <sz val="8.5"/>
        <color theme="0"/>
        <rFont val="Arial"/>
        <family val="2"/>
      </rPr>
      <t>(lb/MWh)</t>
    </r>
  </si>
  <si>
    <r>
      <t>CH</t>
    </r>
    <r>
      <rPr>
        <b/>
        <vertAlign val="subscript"/>
        <sz val="8.5"/>
        <color theme="0"/>
        <rFont val="Arial"/>
        <family val="2"/>
      </rPr>
      <t>4</t>
    </r>
    <r>
      <rPr>
        <b/>
        <sz val="8.5"/>
        <color theme="0"/>
        <rFont val="Arial"/>
        <family val="2"/>
      </rPr>
      <t>(lb/MWh)</t>
    </r>
  </si>
  <si>
    <r>
      <t>N</t>
    </r>
    <r>
      <rPr>
        <b/>
        <vertAlign val="subscript"/>
        <sz val="8.5"/>
        <color theme="0"/>
        <rFont val="Arial"/>
        <family val="2"/>
      </rPr>
      <t>2</t>
    </r>
    <r>
      <rPr>
        <b/>
        <sz val="8.5"/>
        <color theme="0"/>
        <rFont val="Arial"/>
        <family val="2"/>
      </rPr>
      <t>O(lb/MWh)</t>
    </r>
  </si>
  <si>
    <r>
      <t>CO</t>
    </r>
    <r>
      <rPr>
        <b/>
        <vertAlign val="subscript"/>
        <sz val="8.5"/>
        <color theme="0"/>
        <rFont val="Arial"/>
        <family val="2"/>
      </rPr>
      <t>2</t>
    </r>
    <r>
      <rPr>
        <b/>
        <sz val="8.5"/>
        <color theme="0"/>
        <rFont val="Arial"/>
        <family val="2"/>
      </rPr>
      <t>e(lb/MWh)</t>
    </r>
  </si>
  <si>
    <r>
      <t>CO</t>
    </r>
    <r>
      <rPr>
        <b/>
        <vertAlign val="subscript"/>
        <sz val="8.5"/>
        <color theme="0"/>
        <rFont val="Arial"/>
        <family val="2"/>
      </rPr>
      <t>2</t>
    </r>
    <r>
      <rPr>
        <b/>
        <sz val="8.5"/>
        <color theme="0"/>
        <rFont val="Arial"/>
        <family val="2"/>
      </rPr>
      <t>e(kg/MWh)</t>
    </r>
  </si>
  <si>
    <r>
      <t>CO</t>
    </r>
    <r>
      <rPr>
        <b/>
        <vertAlign val="subscript"/>
        <sz val="8.5"/>
        <color theme="0"/>
        <rFont val="Arial"/>
        <family val="2"/>
      </rPr>
      <t>2</t>
    </r>
    <r>
      <rPr>
        <b/>
        <sz val="8.5"/>
        <color theme="0"/>
        <rFont val="Arial"/>
        <family val="2"/>
      </rPr>
      <t>e(kg/KWh)</t>
    </r>
  </si>
  <si>
    <r>
      <t>Annual NO</t>
    </r>
    <r>
      <rPr>
        <b/>
        <vertAlign val="subscript"/>
        <sz val="8.5"/>
        <color theme="0"/>
        <rFont val="Arial"/>
        <family val="2"/>
      </rPr>
      <t>X</t>
    </r>
    <r>
      <rPr>
        <b/>
        <sz val="8.5"/>
        <color theme="0"/>
        <rFont val="Arial"/>
        <family val="2"/>
      </rPr>
      <t>(lb/MWh)</t>
    </r>
  </si>
  <si>
    <r>
      <t>Ozone Season NO</t>
    </r>
    <r>
      <rPr>
        <b/>
        <vertAlign val="subscript"/>
        <sz val="8.5"/>
        <color theme="0"/>
        <rFont val="Arial"/>
        <family val="2"/>
      </rPr>
      <t>X</t>
    </r>
    <r>
      <rPr>
        <b/>
        <sz val="8.5"/>
        <color theme="0"/>
        <rFont val="Arial"/>
        <family val="2"/>
      </rPr>
      <t>(lb/MWh)</t>
    </r>
  </si>
  <si>
    <r>
      <t>SO</t>
    </r>
    <r>
      <rPr>
        <b/>
        <vertAlign val="subscript"/>
        <sz val="8.5"/>
        <color theme="0"/>
        <rFont val="Arial"/>
        <family val="2"/>
      </rPr>
      <t>2</t>
    </r>
    <r>
      <rPr>
        <b/>
        <sz val="8.5"/>
        <color theme="0"/>
        <rFont val="Arial"/>
        <family val="2"/>
      </rPr>
      <t>(lb/MWh)</t>
    </r>
  </si>
  <si>
    <t>Potassium</t>
  </si>
  <si>
    <t>Ammonium(IV) Cerium Nitrate</t>
  </si>
  <si>
    <t>CHEMICAL EQUATION BALANCING</t>
  </si>
  <si>
    <t>REACTANTS</t>
  </si>
  <si>
    <t>PRODUCTS</t>
  </si>
  <si>
    <t>RESULT</t>
  </si>
  <si>
    <t>H2O2</t>
  </si>
  <si>
    <t>K2Cr2O7</t>
  </si>
  <si>
    <t>H2SO4</t>
  </si>
  <si>
    <t>CrO5</t>
  </si>
  <si>
    <t>K2SO4</t>
  </si>
  <si>
    <t>H2O</t>
  </si>
  <si>
    <t>a</t>
  </si>
  <si>
    <t>b</t>
  </si>
  <si>
    <t>c</t>
  </si>
  <si>
    <t>d</t>
  </si>
  <si>
    <t>e</t>
  </si>
  <si>
    <t>f</t>
  </si>
  <si>
    <t>[A]</t>
  </si>
  <si>
    <t>[C]</t>
  </si>
  <si>
    <t>K</t>
  </si>
  <si>
    <t>H</t>
  </si>
  <si>
    <t>O</t>
  </si>
  <si>
    <t>Cr</t>
  </si>
  <si>
    <t>S</t>
  </si>
  <si>
    <t>x</t>
  </si>
  <si>
    <t>{=MINVERSE(D3:I8)}</t>
  </si>
  <si>
    <t>{=MMULT(D18:i23;K18:k23)}</t>
  </si>
  <si>
    <t>Volumne Factor</t>
  </si>
  <si>
    <t>Maximun capacity</t>
  </si>
  <si>
    <t>Useful tool volume</t>
  </si>
  <si>
    <t>Missing process?</t>
  </si>
  <si>
    <t>Click here to add your process into database</t>
  </si>
  <si>
    <t xml:space="preserve">Average </t>
  </si>
  <si>
    <t>Volume(L):</t>
  </si>
  <si>
    <t>Power Rating(kW):</t>
  </si>
  <si>
    <t>Process Name</t>
  </si>
  <si>
    <t>Process Time</t>
  </si>
  <si>
    <t>Your Power</t>
  </si>
  <si>
    <t>Bad</t>
  </si>
  <si>
    <t>Good</t>
  </si>
  <si>
    <t>Range</t>
  </si>
  <si>
    <t>Point</t>
  </si>
  <si>
    <t>Known process names</t>
  </si>
  <si>
    <t>Type of Water</t>
  </si>
  <si>
    <t>Energy required to Produce(L)</t>
  </si>
  <si>
    <t>Total CO2e</t>
  </si>
  <si>
    <t>0.209 ​kWh</t>
  </si>
  <si>
    <t>https://doi.org/10.1016/j.watcyc.2023.01.004</t>
  </si>
  <si>
    <r>
      <t> 8.22 ​L/cm</t>
    </r>
    <r>
      <rPr>
        <sz val="12"/>
        <color rgb="FF1F1F1F"/>
        <rFont val="Georgia"/>
        <family val="1"/>
      </rPr>
      <t>2</t>
    </r>
    <r>
      <rPr>
        <sz val="16"/>
        <color rgb="FF1F1F1F"/>
        <rFont val="Georgia"/>
        <family val="1"/>
      </rPr>
      <t>, 1.15 ​kWh/cm</t>
    </r>
    <r>
      <rPr>
        <sz val="12"/>
        <color rgb="FF1F1F1F"/>
        <rFont val="Georgia"/>
        <family val="1"/>
      </rPr>
      <t>2</t>
    </r>
    <r>
      <rPr>
        <sz val="16"/>
        <color rgb="FF1F1F1F"/>
        <rFont val="Georgia"/>
        <family val="1"/>
      </rPr>
      <t>, and 0.84 ​kg CO</t>
    </r>
    <r>
      <rPr>
        <sz val="12"/>
        <color rgb="FF1F1F1F"/>
        <rFont val="Georgia"/>
        <family val="1"/>
      </rPr>
      <t>2</t>
    </r>
  </si>
  <si>
    <t>Stoichiometic Ratio(Final:initial)</t>
  </si>
  <si>
    <t>Maximun Obtainable Product (Kg)</t>
  </si>
  <si>
    <t>Chemical Name</t>
  </si>
  <si>
    <t xml:space="preserve">Water Production
kgCO2e/L </t>
  </si>
  <si>
    <t>Purification Type</t>
  </si>
  <si>
    <t>Municipal water</t>
  </si>
  <si>
    <t>Efficieny(%):</t>
  </si>
  <si>
    <t>Process Time (h):</t>
  </si>
  <si>
    <t>Typical Process Time Range (h):</t>
  </si>
  <si>
    <t>Warmup time(h):</t>
  </si>
  <si>
    <t>Tool Idle Time(h):</t>
  </si>
  <si>
    <t>Minimum</t>
  </si>
  <si>
    <t>Maximum</t>
  </si>
  <si>
    <t>Min.</t>
  </si>
  <si>
    <t>Production Volume per Batch (L):</t>
  </si>
  <si>
    <t>Equipment Volume(L):</t>
  </si>
  <si>
    <t>Equipment Volume Utilization Percent:</t>
  </si>
  <si>
    <t>Idle Electricity Consumption (kWh):</t>
  </si>
  <si>
    <t>Typical Power Acitive Consumption (kW):</t>
  </si>
  <si>
    <t>Active Electricity Consumption (kWh):</t>
  </si>
  <si>
    <t>Total Energy Consumption(kWh):</t>
  </si>
  <si>
    <t>CO2e(kg/kWh)</t>
  </si>
  <si>
    <t>Generation Resource Mix (percent)*</t>
  </si>
  <si>
    <t>Coal</t>
  </si>
  <si>
    <t>Oil</t>
  </si>
  <si>
    <t>Gas</t>
  </si>
  <si>
    <t>Nuclear</t>
  </si>
  <si>
    <t>Hydro</t>
  </si>
  <si>
    <t>Geo- thermal</t>
  </si>
  <si>
    <t>Energy sources(own)</t>
  </si>
  <si>
    <t>Obtained Product (Kg):</t>
  </si>
  <si>
    <t>Yield of this Process Step (%):</t>
  </si>
  <si>
    <t>Yield Loss in this process step(Kg)</t>
  </si>
  <si>
    <t>Theoritical Product Yield(Kg):</t>
  </si>
  <si>
    <t>Total Products</t>
  </si>
  <si>
    <t>Total Volume</t>
  </si>
  <si>
    <t>Amount(kg)</t>
  </si>
  <si>
    <t>Resulting Emission</t>
  </si>
  <si>
    <t>Water Waste Generation</t>
  </si>
  <si>
    <t>Nanoparticle Releases</t>
  </si>
  <si>
    <t>Process time(h):</t>
  </si>
  <si>
    <t>Your tool power rating(kW)</t>
  </si>
  <si>
    <t>Your process energy consumption(kWh):</t>
  </si>
  <si>
    <t>Your Process time</t>
  </si>
  <si>
    <t>Average energy consumption(kWh):</t>
  </si>
  <si>
    <t xml:space="preserve">Navigation links below </t>
  </si>
  <si>
    <t>Appendix</t>
  </si>
  <si>
    <t>Sheet Name</t>
  </si>
  <si>
    <t>Process 2</t>
  </si>
  <si>
    <t>Process 3</t>
  </si>
  <si>
    <t>Process Yield</t>
  </si>
  <si>
    <t>Cerium oxide</t>
  </si>
  <si>
    <t xml:space="preserve">  </t>
  </si>
  <si>
    <t>Count(datapoints)</t>
  </si>
  <si>
    <t>Process 6</t>
  </si>
  <si>
    <t>Certainity</t>
  </si>
  <si>
    <t xml:space="preserve">References </t>
  </si>
  <si>
    <t>Style and Formatting</t>
  </si>
  <si>
    <t>Adding, Editing, and Deleting Comments</t>
  </si>
  <si>
    <t>Comments allow you to attach more information to cells without taking up more space in the worksheet. To include a comment on a cell, right click on the desired cell and click "New Comment" in the drop-down menu. Comments can then be edited or deleted using other options in the drop-down menu.</t>
  </si>
  <si>
    <t>Conditional Formatting</t>
  </si>
  <si>
    <t>Conditional formatting allows you to better understand trends and characteristics of datasets. To use it, highlight the cells to which the formatting needs to be applied, click the "Home" tab, and find the "Conditional Formatting" option. You can select or create rules to emphasize specified trends in the dataset.</t>
  </si>
  <si>
    <t>Changing Number Formats</t>
  </si>
  <si>
    <t>Numbers can be formatted to appear as specific types of quantities, such as currency or percentages. To set this, find the formatting area of the "Home" menu. Depending on your version of Excel, it may say "Number" or it may just have buttons with "$" and "%." Click on the cell(s) to be formatted and then choose the formatting option accordingly.</t>
  </si>
  <si>
    <t>Merging Cells</t>
  </si>
  <si>
    <t>Merging cells allows for text to be written across multiple cells. Click and highlight the desired cells. Then, press the "Home" tab and find the "Merge &amp; Center" option. There are several options available. Click "Wrap Text" to confine text within the merged cells. Otherwise, text continues past the edge of the merged cells.</t>
  </si>
  <si>
    <t>Adding Outlines/Borders</t>
  </si>
  <si>
    <t>To create borders and outlines for cells, click the "Home" tab and click on the icon with the square grid. This opens up a drop-down menu that contains many options for outlines and borders. You can use one of the preset options or choose to draw your own borders.</t>
  </si>
  <si>
    <t>Changing Significant Figures</t>
  </si>
  <si>
    <t>To change the number of decimal places for numerical values in a cell or range of cells, highlight the desired cells, click the "Home" tab, and press one of the two buttons showing ".0" and ".00" with an arrow. The left icon increases the number of decimal places and the icon on the right decreases the number of decimal places.</t>
  </si>
  <si>
    <t>Inserting/Deleting Rows</t>
  </si>
  <si>
    <t>To insert or delete a row, click on the row number on the left-hand side of the screen where a row is to be inserted and then click "Insert" or "Delete." This automatically inserts a row above or deletes the selected row.</t>
  </si>
  <si>
    <t>Tools</t>
  </si>
  <si>
    <t>Absolute References</t>
  </si>
  <si>
    <t>When cells that reference other cells are copied, Excel will update row numbers and column letters based on where the cell is copied. To prevent this update, add an absolute reference by including a dollar sign ($) before the row number and/or column letter of a given cell reference. You can lock only the row or column, and you can choose to lock only certain cells in a formula as well.</t>
  </si>
  <si>
    <t>Highlighting Multiple Areas at Once</t>
  </si>
  <si>
    <t>Press the control key on Windows or the command key on Mac while clicking or highlighting cells to select more than one cell at once.</t>
  </si>
  <si>
    <t xml:space="preserve">Graphs and Charts </t>
  </si>
  <si>
    <t>To create new graphs and charts, highlight a dataset, click on the "Insert" tab, and select a chart from the "Charts" section. To modify the data of an existing figure, click anywhere on the graph or chart, click on the new tab at the top of the page called "Chart Design," and then click on "Select Data." The pop-up window allows you to modify data displayed by the graph or chart. To change the appearance of a graph or chart, right click anywhere on the figure and click on "Format Chart Area" in the drop-down menu.</t>
  </si>
  <si>
    <t>Dragging Down Cells</t>
  </si>
  <si>
    <t>When data is arranged in columns or rows, click and drag the small green square in the bottom right corner of the last cell in the set to have Excel to perform automatic calculations. This tool is useful when performing the same calculation many times with organized data. A simple example is included below. Click on cell F82 and drag the green square in the bottom right-hand corner down by two cells to find the sums of the succeeding rows. Double-clicking the green square will also copy the formula down automatically.</t>
  </si>
  <si>
    <t>Term</t>
  </si>
  <si>
    <t>Sum</t>
  </si>
  <si>
    <t>Tracing Precedents/Dependents</t>
  </si>
  <si>
    <t>Excel's trace ability can be used to discover the relationships between cells. To use this, click on a cell, navigate to the "Formulas" tab at the top of the screen, and then click on "Trace Precedents" or "Trace Dependents." If a cell has precedents, it means that one or more other cells affects its value. If a cell has dependents, it means that other cells are affected by the selected cell's value. Excel reveals these relationships by producing arrows between cells. A simple example is included below. In this case, "Trace Precedents" should be clicked on for cell D98. Note that clicking on "Trace Dependents" will not work for the same cell since nothing is dependent upon its value.</t>
  </si>
  <si>
    <t>Factor 1</t>
  </si>
  <si>
    <t>Factor 2</t>
  </si>
  <si>
    <t>Product</t>
  </si>
  <si>
    <t>One-Variable Data Tables</t>
  </si>
  <si>
    <t>Data tables enable calculation of outputs for a potential range of inputs. In life cycle and techno-economic assessments, sensitivity and uncertainty analyses often use data tables to explore changes in environmental or economic indicators as model parameters are varied. Excel requires data tables to be on the same worksheet as the variables being modified. The example below demonstrates how to create a vertical, one-variable data table.</t>
  </si>
  <si>
    <t>The chart below on the left is a simple multiplication equation. The data table on the right uses the data table functionality to explore the possible products due to variations in one of the factors.</t>
  </si>
  <si>
    <t>To create a data table, you must first produce a range of inputs arranged in a vertical column. In this example, these are different factor 1 values (in orange). Then, link the desired output cell to the cell above and to the right (in green) of the first input. The cell in red is linked to factor 1 for convenience but is not necessary for the data table to work. Highlight all of these cells and click the "Data" tab, and then "What-If Analysis." Then, click "Data Table" and insert the input (D117, under "Factor 1") into the "Column Input Cell" pop-up box. The cells in yellow are then generated automatically.</t>
  </si>
  <si>
    <t>Factor 1 Value</t>
  </si>
  <si>
    <t>Product Value</t>
  </si>
  <si>
    <t>*</t>
  </si>
  <si>
    <t>=</t>
  </si>
  <si>
    <t>Two-Variable Data Tables</t>
  </si>
  <si>
    <t>Two-variable data tables allow a user to test the impact of two variables upon some indicator. The example below demonstrates how to set up a two-variable data table. Arrange a range of inputs for variable 1 (factor 1) in a column (in orange). Then, arrange a row of inputs for variable 2 (factor 2) in a row (in green) that starts above and to the right of the column. The desired output cell must then be linked to the cell above the row and to the left of the column. Highlight the table, click on the "Data" tab, "What-If Analysis," and then "Data Table." Factor 1 (D136) must be inserted as the "Column Input Cell" and factor 2 (F136) must be inserted as the "Row Input Cell." The range of outputs (in blue here) will then be automatically generated.</t>
  </si>
  <si>
    <t>Modifying Inventory</t>
  </si>
  <si>
    <t>To manipulate an existing model, parameters must be added in a particular way so that the functions on the "Impact Assessment" and "Indicators" pages reference the new inputs correctly. Upon inserting new rows in "Inventory" to add new data, cells in "Indicators" and "Impact Assessment" may no longer produce the desired results. The example below demonstrates how a user may go about incorporating an extra machine into the model.</t>
  </si>
  <si>
    <t>In this example, process 2 and machine 2 are added to the model. Red text represents the additions made. Each necessary parameter for process 2 and machine 2 should be added in the same relative location of each subsequent section. Consistency allows a user to make as few modifications as possible to the "Indicators" and "Impact Assessment" pages, which use data from "Inventory" to calculate the cost and carbon footprint of the model. After adding data to "Inventory," users should check that formulas on the "Indicators" and 'Impact Assessment" properly reference the new data. Special attention should be paid to the "Intermediate Calculations" section of the "Inventory" page.</t>
  </si>
  <si>
    <t>Number of Machines Per Step</t>
  </si>
  <si>
    <t>Value</t>
  </si>
  <si>
    <t>Unit</t>
  </si>
  <si>
    <t>Process 1</t>
  </si>
  <si>
    <t>unit</t>
  </si>
  <si>
    <t>number of machines to be used in process 1</t>
  </si>
  <si>
    <t>number of machines to be used in process 2</t>
  </si>
  <si>
    <r>
      <t xml:space="preserve">Process </t>
    </r>
    <r>
      <rPr>
        <sz val="12"/>
        <color rgb="FFFF0000"/>
        <rFont val="Calibri (Body)"/>
      </rPr>
      <t>3</t>
    </r>
  </si>
  <si>
    <r>
      <t xml:space="preserve">number of machines to be used in process </t>
    </r>
    <r>
      <rPr>
        <sz val="12"/>
        <color rgb="FFFF0000"/>
        <rFont val="Calibri (Body)"/>
      </rPr>
      <t>3</t>
    </r>
  </si>
  <si>
    <t>Reference Machine Throughput</t>
  </si>
  <si>
    <t>Machine 1</t>
  </si>
  <si>
    <t>L/hour-unit</t>
  </si>
  <si>
    <t>reference processing capacity for machine 1</t>
  </si>
  <si>
    <t>Machine 2</t>
  </si>
  <si>
    <t>reference processing capacity for machine 2</t>
  </si>
  <si>
    <r>
      <t xml:space="preserve">Machine </t>
    </r>
    <r>
      <rPr>
        <sz val="12"/>
        <color rgb="FFFF0000"/>
        <rFont val="Calibri (Body)"/>
      </rPr>
      <t>3</t>
    </r>
  </si>
  <si>
    <r>
      <t xml:space="preserve">reference processing capacity for machine </t>
    </r>
    <r>
      <rPr>
        <sz val="12"/>
        <color rgb="FFFF0000"/>
        <rFont val="Calibri (Body)"/>
      </rPr>
      <t>3</t>
    </r>
  </si>
  <si>
    <t>Reference Machine Cost</t>
  </si>
  <si>
    <t>$/unit</t>
  </si>
  <si>
    <t>cost for machine 1 sized to handle reference throughput value above</t>
  </si>
  <si>
    <t>cost for machine 2 sized to handle reference throughput value above</t>
  </si>
  <si>
    <r>
      <t xml:space="preserve">cost for machine </t>
    </r>
    <r>
      <rPr>
        <sz val="12"/>
        <color rgb="FFFF0000"/>
        <rFont val="Calibri (Body)"/>
      </rPr>
      <t>3</t>
    </r>
    <r>
      <rPr>
        <sz val="12"/>
        <color theme="1"/>
        <rFont val="Aptos Narrow"/>
        <family val="2"/>
        <scheme val="minor"/>
      </rPr>
      <t xml:space="preserve"> sized to handle reference throughput value above</t>
    </r>
  </si>
  <si>
    <t>Ancillary Equipment Factors</t>
  </si>
  <si>
    <t>factor</t>
  </si>
  <si>
    <t>factor to apply to machine 1 cost to account for ancillary equipment (piping)</t>
  </si>
  <si>
    <t>factor to apply to machine 2 cost to account for ancillary equipment (piping)</t>
  </si>
  <si>
    <r>
      <t xml:space="preserve">factor to apply to machine </t>
    </r>
    <r>
      <rPr>
        <sz val="12"/>
        <color rgb="FFFF0000"/>
        <rFont val="Calibri (Body)"/>
      </rPr>
      <t>3</t>
    </r>
    <r>
      <rPr>
        <sz val="12"/>
        <color theme="1"/>
        <rFont val="Aptos Narrow"/>
        <family val="2"/>
        <scheme val="minor"/>
      </rPr>
      <t xml:space="preserve"> cost to account for ancillary equipment (piping)</t>
    </r>
  </si>
  <si>
    <t>Reference Machine Scaling Exponents</t>
  </si>
  <si>
    <t>exp</t>
  </si>
  <si>
    <r>
      <t>exponent used to scale base costs with formula cost=cost</t>
    </r>
    <r>
      <rPr>
        <vertAlign val="subscript"/>
        <sz val="12"/>
        <color theme="1"/>
        <rFont val="Aptos Narrow"/>
        <family val="2"/>
        <scheme val="minor"/>
      </rPr>
      <t>ref</t>
    </r>
    <r>
      <rPr>
        <sz val="12"/>
        <color theme="1"/>
        <rFont val="Aptos Narrow"/>
        <family val="2"/>
        <scheme val="minor"/>
      </rPr>
      <t>*(thruput/thruput</t>
    </r>
    <r>
      <rPr>
        <vertAlign val="subscript"/>
        <sz val="12"/>
        <color theme="1"/>
        <rFont val="Aptos Narrow"/>
        <family val="2"/>
        <scheme val="minor"/>
      </rPr>
      <t>ref</t>
    </r>
    <r>
      <rPr>
        <sz val="12"/>
        <color theme="1"/>
        <rFont val="Aptos Narrow"/>
        <family val="2"/>
        <scheme val="minor"/>
      </rPr>
      <t>)</t>
    </r>
    <r>
      <rPr>
        <vertAlign val="superscript"/>
        <sz val="12"/>
        <color theme="1"/>
        <rFont val="Aptos Narrow"/>
        <family val="2"/>
        <scheme val="minor"/>
      </rPr>
      <t>exp</t>
    </r>
  </si>
  <si>
    <r>
      <t>exponent used to scale base costs with formula cost=cost</t>
    </r>
    <r>
      <rPr>
        <vertAlign val="subscript"/>
        <sz val="12"/>
        <color rgb="FFFF0000"/>
        <rFont val="Aptos Narrow"/>
        <family val="2"/>
        <scheme val="minor"/>
      </rPr>
      <t>ref</t>
    </r>
    <r>
      <rPr>
        <sz val="12"/>
        <color rgb="FFFF0000"/>
        <rFont val="Aptos Narrow"/>
        <family val="2"/>
        <scheme val="minor"/>
      </rPr>
      <t>*(thruput/thruput</t>
    </r>
    <r>
      <rPr>
        <vertAlign val="subscript"/>
        <sz val="12"/>
        <color rgb="FFFF0000"/>
        <rFont val="Aptos Narrow"/>
        <family val="2"/>
        <scheme val="minor"/>
      </rPr>
      <t>ref</t>
    </r>
    <r>
      <rPr>
        <sz val="12"/>
        <color rgb="FFFF0000"/>
        <rFont val="Aptos Narrow"/>
        <family val="2"/>
        <scheme val="minor"/>
      </rPr>
      <t>)</t>
    </r>
    <r>
      <rPr>
        <vertAlign val="superscript"/>
        <sz val="12"/>
        <color rgb="FFFF0000"/>
        <rFont val="Aptos Narrow"/>
        <family val="2"/>
        <scheme val="minor"/>
      </rPr>
      <t>exp</t>
    </r>
  </si>
  <si>
    <t>Reference Machine Power Rating</t>
  </si>
  <si>
    <t>kW/unit</t>
  </si>
  <si>
    <t>kilowatt rating for machine 1</t>
  </si>
  <si>
    <t>kilowatt rating for machine 2</t>
  </si>
  <si>
    <t>Mcf/hour-unit</t>
  </si>
  <si>
    <r>
      <t xml:space="preserve">thousands of cubic feet used per hour by machine </t>
    </r>
    <r>
      <rPr>
        <sz val="12"/>
        <color rgb="FFFF0000"/>
        <rFont val="Calibri (Body)"/>
      </rPr>
      <t>3</t>
    </r>
  </si>
  <si>
    <t>Reference Machine Floor Space</t>
  </si>
  <si>
    <t>Floor space scaling exponent</t>
  </si>
  <si>
    <t>area scaling found using 2/3 exponent on volume scaling</t>
  </si>
  <si>
    <r>
      <t>m</t>
    </r>
    <r>
      <rPr>
        <vertAlign val="superscript"/>
        <sz val="12"/>
        <color theme="1"/>
        <rFont val="Aptos Narrow"/>
        <family val="2"/>
        <scheme val="minor"/>
      </rPr>
      <t>2</t>
    </r>
    <r>
      <rPr>
        <sz val="12"/>
        <color theme="1"/>
        <rFont val="Aptos Narrow"/>
        <family val="2"/>
        <scheme val="minor"/>
      </rPr>
      <t>/unit</t>
    </r>
  </si>
  <si>
    <t>square meters taken up by each machine 1</t>
  </si>
  <si>
    <r>
      <t>m</t>
    </r>
    <r>
      <rPr>
        <vertAlign val="superscript"/>
        <sz val="12"/>
        <color rgb="FFFF0000"/>
        <rFont val="Aptos Narrow"/>
        <family val="2"/>
        <scheme val="minor"/>
      </rPr>
      <t>2</t>
    </r>
    <r>
      <rPr>
        <sz val="12"/>
        <color rgb="FFFF0000"/>
        <rFont val="Aptos Narrow"/>
        <family val="2"/>
        <scheme val="minor"/>
      </rPr>
      <t>/unit</t>
    </r>
  </si>
  <si>
    <t>square meters taken up by each machine 2</t>
  </si>
  <si>
    <r>
      <t xml:space="preserve">square meters taken up by each machine </t>
    </r>
    <r>
      <rPr>
        <sz val="12"/>
        <color rgb="FFFF0000"/>
        <rFont val="Calibri (Body)"/>
      </rPr>
      <t>3</t>
    </r>
  </si>
  <si>
    <t>Cummulative Energy Demand (kWh):</t>
  </si>
  <si>
    <t>EXCEL TOOLS AND TIPS</t>
  </si>
  <si>
    <t>Paper Reference</t>
  </si>
  <si>
    <t>Precursor Chemical Name</t>
  </si>
  <si>
    <t>Quantity</t>
  </si>
  <si>
    <t>10.1143/JJAP.46.7671</t>
  </si>
  <si>
    <t>10.1143/JJAP.43.L365</t>
  </si>
  <si>
    <t>10.1149/1.2735923</t>
  </si>
  <si>
    <t>Cerium oxalate</t>
  </si>
  <si>
    <t>Click here to add more</t>
  </si>
  <si>
    <t>Column1</t>
  </si>
  <si>
    <t>10.1143/JJAP.45.4893</t>
  </si>
  <si>
    <t>Cerium Carbonate Hydrate</t>
  </si>
  <si>
    <t>Process 4</t>
  </si>
  <si>
    <t>Process 5</t>
  </si>
  <si>
    <t xml:space="preserve"> </t>
  </si>
  <si>
    <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</si>
  <si>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</si>
  <si>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</si>
  <si>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</si>
  <si>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</si>
  <si>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</si>
  <si>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</si>
  <si>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</si>
  <si>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</si>
  <si>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</si>
  <si>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</si>
  <si>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</si>
  <si>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</si>
  <si>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</si>
  <si>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</si>
  <si>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</si>
  <si>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</si>
  <si>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</si>
  <si>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</si>
  <si>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</si>
  <si>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</si>
  <si>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</si>
  <si>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</si>
  <si>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</si>
  <si>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</si>
  <si>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</si>
  <si>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</si>
  <si>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</si>
  <si>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</si>
  <si>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</si>
  <si>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</si>
  <si>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</si>
  <si>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</si>
  <si>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</si>
  <si>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</si>
  <si>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</si>
  <si>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</si>
  <si>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</si>
  <si>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</si>
  <si>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</si>
  <si>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</si>
  <si>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</si>
  <si>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</si>
  <si>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</si>
  <si>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</si>
  <si>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</si>
  <si>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</si>
  <si>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</si>
  <si>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</si>
  <si>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</si>
  <si>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</si>
  <si>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</si>
  <si>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</si>
  <si>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</si>
  <si>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</si>
  <si>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</si>
  <si>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</si>
  <si>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</si>
  <si>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</si>
  <si>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</si>
  <si>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</si>
  <si>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</si>
  <si>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</si>
  <si>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</si>
  <si>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</si>
  <si>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</si>
  <si>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</si>
  <si>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</si>
  <si>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</si>
  <si>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</si>
  <si>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</si>
  <si>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</si>
  <si>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</si>
  <si>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</si>
  <si>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</si>
  <si>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</si>
  <si>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</si>
  <si>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</si>
  <si>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</si>
  <si>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</si>
  <si>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</si>
  <si>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</si>
  <si>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</si>
  <si>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</si>
  <si>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</si>
  <si>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</si>
  <si>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</si>
  <si>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</si>
  <si>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</si>
  <si>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</si>
  <si>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</si>
  <si>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</si>
  <si>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</si>
  <si>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</si>
  <si>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</si>
  <si>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</si>
  <si>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</si>
  <si>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</si>
  <si>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</si>
  <si>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</si>
  <si>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</si>
  <si>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</si>
  <si>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</si>
  <si>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</si>
  <si>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</si>
  <si>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</si>
  <si>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</si>
  <si>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</si>
  <si>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</si>
  <si>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</si>
  <si>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</si>
  <si>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</si>
  <si>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</si>
  <si>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</si>
  <si>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</si>
  <si>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</si>
  <si>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</si>
  <si>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</si>
  <si>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</si>
  <si>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</si>
  <si>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</si>
  <si>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</si>
  <si>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</si>
  <si>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</si>
  <si>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</si>
  <si>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</si>
  <si>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</si>
  <si>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</si>
  <si>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</si>
  <si>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</si>
  <si>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</si>
  <si>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</si>
  <si>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</si>
  <si>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</si>
  <si>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</si>
  <si>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</si>
  <si>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</si>
  <si>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</si>
  <si>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</si>
  <si>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</si>
  <si>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</si>
  <si>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</si>
  <si>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</si>
  <si>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</si>
  <si>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</si>
  <si>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Section</t>
  </si>
  <si>
    <t>Category</t>
  </si>
  <si>
    <t>Parameter</t>
  </si>
  <si>
    <t>Input Materials</t>
  </si>
  <si>
    <t>Materials</t>
  </si>
  <si>
    <t>Chemical Names</t>
  </si>
  <si>
    <t>Quantities</t>
  </si>
  <si>
    <t>Equipment Specifications</t>
  </si>
  <si>
    <t>Power</t>
  </si>
  <si>
    <t>Power Rating</t>
  </si>
  <si>
    <t>kW</t>
  </si>
  <si>
    <t>Idle Power Consumption</t>
  </si>
  <si>
    <t>Efficiency</t>
  </si>
  <si>
    <t>Percentage</t>
  </si>
  <si>
    <t>Active Power Consumption</t>
  </si>
  <si>
    <t>Total Process Duration</t>
  </si>
  <si>
    <t>Typical Time Range</t>
  </si>
  <si>
    <t>Tool Idle Time</t>
  </si>
  <si>
    <t>Process Parameters</t>
  </si>
  <si>
    <t>Yield Calculations</t>
  </si>
  <si>
    <t>Actual Product Amount</t>
  </si>
  <si>
    <t>Obtained during process</t>
  </si>
  <si>
    <t>Environmental Metrics</t>
  </si>
  <si>
    <t>Water Consumption</t>
  </si>
  <si>
    <t>Per kg of product</t>
  </si>
  <si>
    <t>Wastewater Generation</t>
  </si>
  <si>
    <t>Emissions Data</t>
  </si>
  <si>
    <t>CO2 Equivalent Emissions</t>
  </si>
  <si>
    <t>Direct emissions</t>
  </si>
  <si>
    <t>Other Emissions</t>
  </si>
  <si>
    <t>Relevant additional emissions</t>
  </si>
  <si>
    <t>Units</t>
  </si>
  <si>
    <t>Required Details</t>
  </si>
  <si>
    <t>(if available)</t>
  </si>
  <si>
    <t>Water Waste</t>
  </si>
  <si>
    <t>Each chemical (kg)</t>
  </si>
  <si>
    <t>h</t>
  </si>
  <si>
    <t>Total amount of water used per batch</t>
  </si>
  <si>
    <t>Precursor materials and Solvents</t>
  </si>
  <si>
    <t>Typical usage(kWh)</t>
  </si>
  <si>
    <t>kWh</t>
  </si>
  <si>
    <t>process_id</t>
  </si>
  <si>
    <t>Synthesis_type</t>
  </si>
  <si>
    <t>operating_conditions</t>
  </si>
  <si>
    <t>kangEffectsGrainSize2004_process1</t>
  </si>
  <si>
    <t>calcined</t>
  </si>
  <si>
    <t>https://doi.org/10.1143/JJAP.43.L365</t>
  </si>
  <si>
    <t>kangEffectsGrainSize2004_process2</t>
  </si>
  <si>
    <t>kangEffectsGrainSize2004_process3</t>
  </si>
  <si>
    <t>kangEffectsGrainSize2004_process4</t>
  </si>
  <si>
    <t>kangEffectsGrainSize2004_process5</t>
  </si>
  <si>
    <t>kangEffectsGrainSize2004_process6</t>
  </si>
  <si>
    <t>kangEffectsGrainSize2004_process7</t>
  </si>
  <si>
    <t>kangEffectsGrainSize2004_process8</t>
  </si>
  <si>
    <t>kangEffectsGrainSize2004_process9</t>
  </si>
  <si>
    <t>kimEffectCalcinationProcess2006_sampleA</t>
  </si>
  <si>
    <t>air jet mill</t>
  </si>
  <si>
    <t>https://doi.org/10.1143/JJAP.45.4893</t>
  </si>
  <si>
    <t>kimEffectCalcinationProcess2006_sampleB</t>
  </si>
  <si>
    <t>kimInfluenceCrystallineStructure2007_A</t>
  </si>
  <si>
    <t>Air flow of 35 m_/h</t>
  </si>
  <si>
    <t>Outgassing</t>
  </si>
  <si>
    <t>Using nitrogen gas</t>
  </si>
  <si>
    <t>several</t>
  </si>
  <si>
    <t>Solid content weight fraction 5%</t>
  </si>
  <si>
    <t>kimInfluenceCrystallineStructure2007_B</t>
  </si>
  <si>
    <t>Air flow of 5 m_/h</t>
  </si>
  <si>
    <t>kimInfluenceCrystallineStructure2007_C</t>
  </si>
  <si>
    <t>Without air flow</t>
  </si>
  <si>
    <t>kimInfluencePhysicalCharacteristics2004_400C</t>
  </si>
  <si>
    <t>air atmosphere</t>
  </si>
  <si>
    <t>https://doi.org/10.1143/JJAP.43.7427</t>
  </si>
  <si>
    <t>Mixer/Mill</t>
  </si>
  <si>
    <t>zirconia balls</t>
  </si>
  <si>
    <t>kimInfluencePhysicalCharacteristics2004_600C</t>
  </si>
  <si>
    <t>kimInfluencePhysicalCharacteristics2004_700C</t>
  </si>
  <si>
    <t>kimInfluencePhysicalCharacteristics2004_800C</t>
  </si>
  <si>
    <t>kimInfluencePhysicalCharacteristics2004_900C</t>
  </si>
  <si>
    <t>leeChemicalMechanicalPolishing2002_process1</t>
  </si>
  <si>
    <t>colloidal</t>
  </si>
  <si>
    <t>10.1557/JMR.2002.0396</t>
  </si>
  <si>
    <t>room</t>
  </si>
  <si>
    <t>lekhapeedikakkandyPreparationSphericalCeria2015_process1</t>
  </si>
  <si>
    <t>10.1016/j.apsusc.2015.09.149</t>
  </si>
  <si>
    <t>50-95</t>
  </si>
  <si>
    <t>ohPolishingBehaviorsCeria2011_solidStateReaction</t>
  </si>
  <si>
    <t>gas distributor</t>
  </si>
  <si>
    <t>Air bubbled as oxidizer</t>
  </si>
  <si>
    <t>10.1016/j.powtec.2010.09.025</t>
  </si>
  <si>
    <t>autoclave</t>
  </si>
  <si>
    <t>sintering</t>
  </si>
  <si>
    <t>800-900</t>
  </si>
  <si>
    <t>drying</t>
  </si>
  <si>
    <t>wangSynthesisCeO2Nanoparticles2023_process1</t>
  </si>
  <si>
    <t>10.1007/s13391-023-00427-2</t>
  </si>
  <si>
    <t>yuanyuanzhengEffectsPrecursorsMorphology2022_process1</t>
  </si>
  <si>
    <t>10.3390/ma15217525</t>
  </si>
  <si>
    <t>Stirring</t>
  </si>
  <si>
    <t>heSynthesisCrystallineCerium2012_process1</t>
  </si>
  <si>
    <t>Magnetic stirrer</t>
  </si>
  <si>
    <t>10.1016/j.ceramint.2011.05.063</t>
  </si>
  <si>
    <t>masanorihiranoHydrothermalSynthesisUltrafine1996_process1</t>
  </si>
  <si>
    <t>hydrothermal</t>
  </si>
  <si>
    <t>150-200</t>
  </si>
  <si>
    <t>Autoclave</t>
  </si>
  <si>
    <t>10.1007/bf00274391</t>
  </si>
  <si>
    <t>Dried in air</t>
  </si>
  <si>
    <t>dae-hyeongkimEffectCeriumPrecursor2005_sampleA</t>
  </si>
  <si>
    <t>https://doi.org/10.1143/jjap.44.8422</t>
  </si>
  <si>
    <t>700-900</t>
  </si>
  <si>
    <t>dae-hyeongkimEffectCeriumPrecursor2005_sampleB</t>
  </si>
  <si>
    <t>takuyatsuzukiSynthesisUltrafineCeria2004_process1</t>
  </si>
  <si>
    <t>https://doi.org/10.1111/j.1151-2916.2001.tb00859.x</t>
  </si>
  <si>
    <t>Argon-gas atmosphere</t>
  </si>
  <si>
    <t>In alumina crucible in air</t>
  </si>
  <si>
    <t>Ultrasonic bath and centrifuge</t>
  </si>
  <si>
    <t>chenSynthesisNanocrystallineCerium2005a_process1</t>
  </si>
  <si>
    <t>gas chromatograph</t>
  </si>
  <si>
    <t>O2/N2 bubbled to oxidize Ce(III) to Ce(IV)</t>
  </si>
  <si>
    <t>10.1016/j.ceramint.2004.09.006</t>
  </si>
  <si>
    <t>thakurprasadyadavSynthesisNanocrystallineCerium2012_process1</t>
  </si>
  <si>
    <t>Szegvori attritor</t>
  </si>
  <si>
    <t>dry air atmosphere</t>
  </si>
  <si>
    <t>10.1016/j.ceramint.2012.04.025</t>
  </si>
  <si>
    <t>leeSynthesisNanosizedCeria2005_emulsion1</t>
  </si>
  <si>
    <t>agitator</t>
  </si>
  <si>
    <t>10.1016/j.matlet.2004.09.033</t>
  </si>
  <si>
    <t>Emulsification</t>
  </si>
  <si>
    <t>70 - 80</t>
  </si>
  <si>
    <t>xiaolansongSynthesisCeO2coatedSiO22008_process1</t>
  </si>
  <si>
    <t>10.1016/j.matchemphys.2008.01.042</t>
  </si>
  <si>
    <t>70 to 80</t>
  </si>
  <si>
    <t>xueyunzhouRoomtemperatureHomogeneousNucleation2002_colloidal</t>
  </si>
  <si>
    <t>semibatch reactor</t>
  </si>
  <si>
    <t>10.1063/1.1481244</t>
  </si>
  <si>
    <t>xueyunzhouRoomtemperatureHomogeneousNucleation2002_calcined</t>
  </si>
  <si>
    <t>150-1000</t>
  </si>
  <si>
    <t>dipakv.pinjariRoomTemperatureSynthesis2011_NUS</t>
  </si>
  <si>
    <t>magnetic stirrer</t>
  </si>
  <si>
    <t>10.1016/j.ultsonch.2011.01.008</t>
  </si>
  <si>
    <t>Sonochemical Method</t>
  </si>
  <si>
    <t>dipakv.pinjariRoomTemperatureSynthesis2011_US</t>
  </si>
  <si>
    <t>Ultrasonic Horn</t>
  </si>
  <si>
    <t>hakutaProductionUltrafineCeria1998_process1</t>
  </si>
  <si>
    <t>High-pressure pump</t>
  </si>
  <si>
    <t>10.1023/a:1006597828280</t>
  </si>
  <si>
    <t>hakutaProductionUltrafineCeria1998_process2</t>
  </si>
  <si>
    <t>masanorihiranoHydrothermalSynthesisNanocrystalline2004_hydrothermal</t>
  </si>
  <si>
    <t>120 to 180</t>
  </si>
  <si>
    <t>Teflon bottle</t>
  </si>
  <si>
    <t>10.1111/j.1151-2916.1999.tb01838.x</t>
  </si>
  <si>
    <t>300 to 900</t>
  </si>
  <si>
    <t>furnace</t>
  </si>
  <si>
    <t>swapankumarghoshGrowthMonodisperseNanocrystals2010_K1</t>
  </si>
  <si>
    <t>Beaker</t>
  </si>
  <si>
    <t>Vigorous mechanical stirring</t>
  </si>
  <si>
    <t>10.1007/s11051-009-9753-4</t>
  </si>
  <si>
    <t>In air oven</t>
  </si>
  <si>
    <t>300-700</t>
  </si>
  <si>
    <t>swapankumarghoshGrowthMonodisperseNanocrystals2010_K2</t>
  </si>
  <si>
    <t>swapankumarghoshGrowthMonodisperseNanocrystals2010_K3</t>
  </si>
  <si>
    <t>swapankumarghoshGrowthMonodisperseNanocrystals2010_K4</t>
  </si>
  <si>
    <t>amrutaudaykumarbadnoreEffectSolventsProperties2019_colloidal1</t>
  </si>
  <si>
    <t>27 ¬± 2</t>
  </si>
  <si>
    <t>Horn type ultrasound</t>
  </si>
  <si>
    <t>10.1016/j.apt.2019.03.001</t>
  </si>
  <si>
    <t>amrutaudaykumarbadnoreEffectSolventsProperties2019_colloidal2</t>
  </si>
  <si>
    <t>amrutaudaykumarbadnoreEffectSolventsProperties2019_colloidal3</t>
  </si>
  <si>
    <t>amrutaudaykumarbadnoreEffectSolventsProperties2019_colloidal4</t>
  </si>
  <si>
    <t>stirring</t>
  </si>
  <si>
    <t>fanmingmengControllableSynthesisOptical2013_processA</t>
  </si>
  <si>
    <t>magnetic stirring</t>
  </si>
  <si>
    <t>10.1016/j.jallcom.2012.12.096</t>
  </si>
  <si>
    <t>50 mL Teflon-lined autoclave</t>
  </si>
  <si>
    <t>fanmingmengControllableSynthesisOptical2013_processB</t>
  </si>
  <si>
    <t>fanmingmengControllableSynthesisOptical2013_processC</t>
  </si>
  <si>
    <t>fanmingmengControllableSynthesisOptical2013_processD</t>
  </si>
  <si>
    <t>mixing</t>
  </si>
  <si>
    <t>-120℃～300℃</t>
  </si>
  <si>
    <t>0 - 600</t>
  </si>
  <si>
    <t>Linbel</t>
  </si>
  <si>
    <t>S212-1L</t>
  </si>
  <si>
    <t>https://www.linbel.com/glass-reactor/200l-glass-reactor.html</t>
  </si>
  <si>
    <t>S212-2L</t>
  </si>
  <si>
    <t>S212-5L</t>
  </si>
  <si>
    <t>S212-10L</t>
  </si>
  <si>
    <t>S212-20L</t>
  </si>
  <si>
    <t>S212-30L</t>
  </si>
  <si>
    <t>S212-50L</t>
  </si>
  <si>
    <t>GR100L</t>
  </si>
  <si>
    <t xml:space="preserve">-80℃~350 ℃ </t>
  </si>
  <si>
    <t>0- 500</t>
  </si>
  <si>
    <t>Valuen</t>
  </si>
  <si>
    <t>VJR10S</t>
  </si>
  <si>
    <t>https://www.valuenlab.com/product/300l500ljacketed-stainless-steel-reactor</t>
  </si>
  <si>
    <t>VJR20S</t>
  </si>
  <si>
    <t>0-500</t>
  </si>
  <si>
    <t>VJR30S</t>
  </si>
  <si>
    <t>VJR50S</t>
  </si>
  <si>
    <t>0-150</t>
  </si>
  <si>
    <t>VJR100S</t>
  </si>
  <si>
    <t>VJR200S</t>
  </si>
  <si>
    <t>VJR300S</t>
  </si>
  <si>
    <t>0-120</t>
  </si>
  <si>
    <t>VJR500S</t>
  </si>
  <si>
    <t>VJR1000S</t>
  </si>
  <si>
    <t>https://www.rpmhardware.com/index.php?route=product/product&amp;product_id=37356&amp;gad_source=1&amp;gclid=Cj0KCQjwjY64BhCaARIsAIfc7YYDtQlAwDPTr4t61H9HD1nvgQ7em_iZ9djfGS46A81oeBhS89tb3VEaAqZ9EALw_wcB</t>
  </si>
  <si>
    <t>Buchiglasuster</t>
  </si>
  <si>
    <t>5, miniPilot</t>
  </si>
  <si>
    <t>https://www.buchiglas.com/en-us/glass-reactors-process-equipment/minipilot.html</t>
  </si>
  <si>
    <t>10, miniPilot</t>
  </si>
  <si>
    <t>https://www.buchiglas.com/fileadmin/buchiglas_international/download/dvs/Brochures_and_Flyers/G_Minipilot_Glass_Pilot_Reactor.pdf</t>
  </si>
  <si>
    <t>15, miniPilot</t>
  </si>
  <si>
    <t>TOB NEW ENERGY</t>
  </si>
  <si>
    <t>https://www.tobmachine.com/lab-scale-double-layer-jacketed-glass-chemical-reactor-vessel_p996.html</t>
  </si>
  <si>
    <t>Selected Process Name</t>
  </si>
  <si>
    <t>Power Rating(kW)/kg</t>
  </si>
  <si>
    <t>Time</t>
  </si>
  <si>
    <t>centrifuge</t>
  </si>
  <si>
    <t>by default</t>
  </si>
  <si>
    <t>Known process in literature</t>
  </si>
  <si>
    <t>Netzsch</t>
  </si>
  <si>
    <t>Buhler</t>
  </si>
  <si>
    <t>DYNO-MILL KD</t>
  </si>
  <si>
    <t>Alpha® Lab Zeta® RS</t>
  </si>
  <si>
    <t>Zeta® RS 2</t>
  </si>
  <si>
    <t>Zeta® RS 4</t>
  </si>
  <si>
    <t>Zeta® RS 10</t>
  </si>
  <si>
    <t>Zeta® RS 25</t>
  </si>
  <si>
    <t>Zeta® RS 60</t>
  </si>
  <si>
    <t>Cenomic 1</t>
  </si>
  <si>
    <t>Cenomic 3</t>
  </si>
  <si>
    <t>Cenomic 6</t>
  </si>
  <si>
    <t>Cenomic 15</t>
  </si>
  <si>
    <t>Cenomic 30</t>
  </si>
  <si>
    <t>Centex T4</t>
  </si>
  <si>
    <t>KD 20 B</t>
  </si>
  <si>
    <t>KD 20 BS</t>
  </si>
  <si>
    <t>KD 25</t>
  </si>
  <si>
    <t>KD 25 S</t>
  </si>
  <si>
    <t>KD 45 D</t>
  </si>
  <si>
    <t>K 45 DS</t>
  </si>
  <si>
    <t>KD 60</t>
  </si>
  <si>
    <t>KD 60 S</t>
  </si>
  <si>
    <t>KD 120 A</t>
  </si>
  <si>
    <t>KD 190 A</t>
  </si>
  <si>
    <t>KD 280 A</t>
  </si>
  <si>
    <t>KD 600</t>
  </si>
  <si>
    <t>https://grinding.netzsch.com/_Resources/Persistent/8/8/5/0/8850995966983e5d6a22ba5976981d199112bf0c/NETZSCH_NanoMill_ZETA_RS_EN.pdf</t>
  </si>
  <si>
    <t>https://www.buhlergroup.com/global/en/products/micromedia_high-performancebeadmill.html</t>
  </si>
  <si>
    <t>https://www.wab-group.com/en/products/dyno-mill-kd/</t>
  </si>
  <si>
    <t>Arrow Model A</t>
  </si>
  <si>
    <t>Quadro Ytron® ZCO</t>
  </si>
  <si>
    <t>Quadro Ytron® Z1</t>
  </si>
  <si>
    <t>Quadro Ytron® Z3</t>
  </si>
  <si>
    <t>Quadro Ytron® Z 5</t>
  </si>
  <si>
    <t>Quadro Liquids</t>
  </si>
  <si>
    <t>Carbolite gero</t>
  </si>
  <si>
    <t>https://www.carbolite-gero.com/products/annealing-furnaces/glo/models/</t>
  </si>
  <si>
    <t>Before filling the form, keep the 'required' information ready for each process</t>
  </si>
  <si>
    <t>Process 7</t>
  </si>
  <si>
    <t>Idle Power Consumption(kWh):</t>
  </si>
  <si>
    <t>Cerium(IV) ammonium Sulfate Dihydrate</t>
  </si>
  <si>
    <t>Ce(NH4)4(SO4)4·2H2O</t>
  </si>
  <si>
    <t>Global Warming Potential (kg CO2-eq)/Kg Ceria</t>
  </si>
  <si>
    <t>Energy Use(kWh)/Kg Ceria</t>
  </si>
  <si>
    <t>L</t>
  </si>
  <si>
    <t>Utilized Volume(L):</t>
  </si>
  <si>
    <t>Oxalic acid</t>
  </si>
  <si>
    <t xml:space="preserve">Ravitej Venkataswamy [1], Andrew McDonald [2], Andrew Carswell [2], Douglas Nevers[3],  Alan Rossner [4] and  Jihoon Seo [1*]
[1] Department of Chemical &amp; Biomolecular Engineering, Clarkson University, Potsdam, NY, USA
[2] DRAM CMP, Micron Technology Inc, Boise, ID, USA
[3] NAND CMP, Micron Technology Inc, Boise, ID, USA
[4] Institute for a Sustainable Environment, Clarkson University, Potsdam, NY, USA
</t>
  </si>
  <si>
    <t>Input Cell</t>
  </si>
  <si>
    <t>Delivered Abrasive Loading (wt%)</t>
  </si>
  <si>
    <t>Desired POU Abrasive Concentration (wt%)</t>
  </si>
  <si>
    <t>Target abrasive concentration at point-of-use</t>
  </si>
  <si>
    <t>Volume of slurry used per wafer</t>
  </si>
  <si>
    <t>Dilution Factor</t>
  </si>
  <si>
    <t>Ratio of delivered concentration to final POU concentration</t>
  </si>
  <si>
    <t>Water Consumption(L)/Kg Ceria</t>
  </si>
  <si>
    <t>Process Yield(%)</t>
  </si>
  <si>
    <t>1kg/L</t>
  </si>
  <si>
    <t>grams</t>
  </si>
  <si>
    <t>kg of ceria</t>
  </si>
  <si>
    <t>Lee, Hyunseop, Hyoungjae Kim, and Haedo Jeong. “Approaches to Sustainability in Chemical Mechanical Polishing (CMP): A Review.” International Journal of Precision Engineering and Manufacturing-Green Technology 9, no. 1 (January 2022): 349–67. https://doi.org/10.1007/s40684-021-00406-8.</t>
  </si>
  <si>
    <t>30-50 liter used in CMP process</t>
  </si>
  <si>
    <t>Total Slurry volume(L)/Wafer</t>
  </si>
  <si>
    <t>Slurry volume(liters)</t>
  </si>
  <si>
    <t>slurry density(kg/L)</t>
  </si>
  <si>
    <t>POU slurry density(kg/L)</t>
  </si>
  <si>
    <t>Abrasive Content per liter of POU_slurry(kg/L)</t>
  </si>
  <si>
    <t>Net Manufacturing CO2</t>
  </si>
  <si>
    <t>Net Manufacturing Energy Use</t>
  </si>
  <si>
    <t>Net Manurfacturing water use</t>
  </si>
  <si>
    <t>Due to abrasive use</t>
  </si>
  <si>
    <t>CO2 eq per wafer</t>
  </si>
  <si>
    <t>kg/L = UPW density</t>
  </si>
  <si>
    <t>Water use to Dilute Slurry</t>
  </si>
  <si>
    <t>100 Liter slurry tank obtained from vendor for example</t>
  </si>
  <si>
    <t>Manufacuting water use for abrasive synthesis/Kg Ceria</t>
  </si>
  <si>
    <t>Manufacuting water use for abrasive synthesis/ POU Ceria Quantity</t>
  </si>
  <si>
    <t>Required POU_Slurry volume</t>
  </si>
  <si>
    <t>(0.5wt% Slurry)</t>
  </si>
  <si>
    <t>(5wt% slurry)</t>
  </si>
  <si>
    <t>kg</t>
  </si>
  <si>
    <t>Original Slurry Conc.</t>
  </si>
  <si>
    <t>Required POU_Slurry volume(Conc.)</t>
  </si>
  <si>
    <t>Required abrasive quantity</t>
  </si>
  <si>
    <t>Required Original Slurry</t>
  </si>
  <si>
    <t>Abrasive/L of slurry</t>
  </si>
  <si>
    <t>kg/L</t>
  </si>
  <si>
    <t>Required Water</t>
  </si>
  <si>
    <t xml:space="preserve">Total water required </t>
  </si>
  <si>
    <t>Water/wafer</t>
  </si>
  <si>
    <t>0.2 kg ceria *XX L /kg ceria manufactured</t>
  </si>
  <si>
    <t>Power Rating(kW)/L</t>
  </si>
  <si>
    <t xml:space="preserve">Power rating/L </t>
  </si>
  <si>
    <t>(</t>
  </si>
  <si>
    <t>Weight % of abrasive in delivered slurry tank(adjusted per mixture or percentage)</t>
  </si>
  <si>
    <t>Abrasive Content per slurry tank(kg/L)</t>
  </si>
  <si>
    <t>Abrasive Content per slurry tank(g/L)</t>
  </si>
  <si>
    <t xml:space="preserve"> kg CO2/wafer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</si>
</sst>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43" formatCode="_(* #,##0.00_);_(* \(#,##0.00\);_(* &quot;-&quot;??_);_(@_)"/>
    <numFmt numFmtId="164" formatCode="0.0"/>
    <numFmt numFmtId="165" formatCode="0\ &quot;L&quot;"/>
    <numFmt numFmtId="166" formatCode="0\°\ &quot;C&quot;"/>
    <numFmt numFmtId="167" formatCode="#,##0.0"/>
    <numFmt numFmtId="168" formatCode="#,##0.000"/>
    <numFmt numFmtId="169" formatCode="#,##0.0%"/>
    <numFmt numFmtId="170" formatCode="0.000"/>
  </numFmts>
  <fonts count="111">
    <font>
      <sz val="12"/>
      <color theme="1"/>
      <name val="Aptos Narrow"/>
      <family val="2"/>
      <scheme val="minor"/>
    </font>
    <font>
      <b/>
      <sz val="12"/>
      <color theme="1"/>
      <name val="Aptos Narrow"/>
      <family val="2"/>
      <scheme val="minor"/>
    </font>
    <font>
      <sz val="16"/>
      <color theme="1"/>
      <name val="Arial"/>
      <family val="2"/>
    </font>
    <font>
      <b/>
      <sz val="52"/>
      <color theme="0"/>
      <name val="Arial"/>
      <family val="2"/>
    </font>
    <font>
      <sz val="18"/>
      <color theme="1"/>
      <name val="Aptos Narrow"/>
      <family val="2"/>
      <scheme val="minor"/>
    </font>
    <font>
      <b/>
      <sz val="11"/>
      <color theme="0"/>
      <name val="Lexend Deca"/>
    </font>
    <font>
      <sz val="10"/>
      <color rgb="FF192733"/>
      <name val="Lexend Deca"/>
    </font>
    <font>
      <sz val="16"/>
      <color theme="1"/>
      <name val="Aptos Narrow"/>
      <family val="2"/>
      <scheme val="minor"/>
    </font>
    <font>
      <b/>
      <sz val="16"/>
      <color theme="1"/>
      <name val="Aptos Narrow"/>
      <family val="2"/>
      <scheme val="minor"/>
    </font>
    <font>
      <b/>
      <sz val="16"/>
      <color rgb="FFFF0000"/>
      <name val="Aptos Narrow (Body)"/>
    </font>
    <font>
      <sz val="16"/>
      <color rgb="FFFF0000"/>
      <name val="Aptos Narrow (Body)"/>
    </font>
    <font>
      <i/>
      <sz val="16"/>
      <color theme="1"/>
      <name val="Aptos Narrow"/>
      <family val="2"/>
      <scheme val="minor"/>
    </font>
    <font>
      <sz val="12"/>
      <color theme="1"/>
      <name val="Aptos Narrow"/>
      <family val="2"/>
      <scheme val="minor"/>
    </font>
    <font>
      <sz val="14"/>
      <color rgb="FF192733"/>
      <name val="Lexend Deca"/>
    </font>
    <font>
      <sz val="32"/>
      <color rgb="FF000000"/>
      <name val="Arial"/>
      <family val="2"/>
    </font>
    <font>
      <b/>
      <sz val="32"/>
      <color theme="1"/>
      <name val="Arial"/>
      <family val="2"/>
    </font>
    <font>
      <sz val="30"/>
      <color theme="1"/>
      <name val="Aptos Narrow"/>
      <family val="2"/>
      <scheme val="minor"/>
    </font>
    <font>
      <sz val="18"/>
      <color theme="1"/>
      <name val="Arial"/>
      <family val="2"/>
    </font>
    <font>
      <sz val="16"/>
      <color rgb="FF000000"/>
      <name val="Arial"/>
      <family val="2"/>
    </font>
    <font>
      <u/>
      <sz val="12"/>
      <color theme="10"/>
      <name val="Aptos Narrow"/>
      <family val="2"/>
      <scheme val="minor"/>
    </font>
    <font>
      <sz val="12"/>
      <color theme="1"/>
      <name val="Aptos Narrow"/>
      <family val="2"/>
      <scheme val="minor"/>
    </font>
    <font>
      <sz val="8"/>
      <name val="Aptos Narrow"/>
      <family val="2"/>
      <scheme val="minor"/>
    </font>
    <font>
      <sz val="12"/>
      <color theme="1"/>
      <name val="Aptos Narrow"/>
      <family val="2"/>
    </font>
    <font>
      <sz val="11"/>
      <color theme="1"/>
      <name val="Aptos Narrow"/>
      <family val="2"/>
      <scheme val="minor"/>
    </font>
    <font>
      <b/>
      <sz val="11"/>
      <name val="Calibri"/>
      <family val="2"/>
    </font>
    <font>
      <b/>
      <sz val="12"/>
      <color theme="1"/>
      <name val="Arial"/>
      <family val="2"/>
    </font>
    <font>
      <sz val="11"/>
      <color theme="1"/>
      <name val="Arial"/>
      <family val="2"/>
    </font>
    <font>
      <b/>
      <sz val="8.5"/>
      <color theme="1"/>
      <name val="Arial"/>
      <family val="2"/>
    </font>
    <font>
      <sz val="8.5"/>
      <color theme="1"/>
      <name val="Arial"/>
      <family val="2"/>
    </font>
    <font>
      <b/>
      <sz val="11"/>
      <color theme="1"/>
      <name val="Arial"/>
      <family val="2"/>
    </font>
    <font>
      <sz val="8"/>
      <color theme="1"/>
      <name val="Arial"/>
      <family val="2"/>
    </font>
    <font>
      <sz val="10"/>
      <color rgb="FF000000"/>
      <name val="Tahoma"/>
      <family val="2"/>
    </font>
    <font>
      <b/>
      <sz val="10"/>
      <color rgb="FF000000"/>
      <name val="Tahoma"/>
      <family val="2"/>
    </font>
    <font>
      <sz val="32"/>
      <color theme="1"/>
      <name val="Aptos Narrow"/>
      <family val="2"/>
      <scheme val="minor"/>
    </font>
    <font>
      <sz val="32"/>
      <color theme="1"/>
      <name val="Arial"/>
      <family val="2"/>
    </font>
    <font>
      <b/>
      <sz val="11"/>
      <color theme="0"/>
      <name val="Calibri"/>
      <family val="2"/>
    </font>
    <font>
      <b/>
      <sz val="8.5"/>
      <color theme="0"/>
      <name val="Arial"/>
      <family val="2"/>
    </font>
    <font>
      <b/>
      <vertAlign val="subscript"/>
      <sz val="8.5"/>
      <color theme="0"/>
      <name val="Arial"/>
      <family val="2"/>
    </font>
    <font>
      <sz val="20"/>
      <color rgb="FF555555"/>
      <name val="Helvetica"/>
      <family val="2"/>
    </font>
    <font>
      <sz val="8"/>
      <color rgb="FF555555"/>
      <name val="Helvetica"/>
      <family val="2"/>
    </font>
    <font>
      <sz val="16"/>
      <color rgb="FF1F1F1F"/>
      <name val="Georgia"/>
      <family val="1"/>
    </font>
    <font>
      <sz val="12"/>
      <color rgb="FF1F1F1F"/>
      <name val="Georgia"/>
      <family val="1"/>
    </font>
    <font>
      <sz val="12"/>
      <color rgb="FF000000"/>
      <name val="Aptos Narrow"/>
      <family val="2"/>
    </font>
    <font>
      <b/>
      <sz val="16"/>
      <color theme="1"/>
      <name val="Arial"/>
      <family val="2"/>
    </font>
    <font>
      <b/>
      <u/>
      <sz val="16"/>
      <color theme="1"/>
      <name val="Arial"/>
      <family val="2"/>
    </font>
    <font>
      <b/>
      <sz val="16"/>
      <color theme="0" tint="-0.14999847407452621"/>
      <name val="Arial"/>
      <family val="2"/>
    </font>
    <font>
      <sz val="16"/>
      <color theme="0" tint="-0.14999847407452621"/>
      <name val="Arial"/>
      <family val="2"/>
    </font>
    <font>
      <b/>
      <sz val="16"/>
      <name val="Arial"/>
      <family val="2"/>
    </font>
    <font>
      <sz val="16"/>
      <name val="Arial"/>
      <family val="2"/>
    </font>
    <font>
      <b/>
      <sz val="16"/>
      <color theme="2" tint="-9.9978637043366805E-2"/>
      <name val="Arial"/>
      <family val="2"/>
    </font>
    <font>
      <b/>
      <u/>
      <sz val="16"/>
      <color theme="0" tint="-0.14999847407452621"/>
      <name val="Arial"/>
      <family val="2"/>
    </font>
    <font>
      <b/>
      <sz val="12"/>
      <color rgb="FF000000"/>
      <name val="Aptos Narrow"/>
      <family val="2"/>
    </font>
    <font>
      <sz val="7"/>
      <color rgb="FF000000"/>
      <name val="Aptos Narrow"/>
      <family val="2"/>
    </font>
    <font>
      <sz val="16"/>
      <color rgb="FFFF0000"/>
      <name val="Arial"/>
      <family val="2"/>
    </font>
    <font>
      <sz val="16"/>
      <color theme="0"/>
      <name val="Arial"/>
      <family val="2"/>
    </font>
    <font>
      <b/>
      <sz val="16"/>
      <color rgb="FFFF0000"/>
      <name val="Arial"/>
      <family val="2"/>
    </font>
    <font>
      <u/>
      <sz val="16"/>
      <color theme="10"/>
      <name val="Arial"/>
      <family val="2"/>
    </font>
    <font>
      <sz val="20"/>
      <color theme="1"/>
      <name val="Arial"/>
      <family val="2"/>
    </font>
    <font>
      <b/>
      <sz val="20"/>
      <color theme="0"/>
      <name val="Arial"/>
      <family val="2"/>
    </font>
    <font>
      <sz val="20"/>
      <color theme="0"/>
      <name val="Arial"/>
      <family val="2"/>
    </font>
    <font>
      <sz val="20"/>
      <color rgb="FFFF0000"/>
      <name val="Arial"/>
      <family val="2"/>
    </font>
    <font>
      <b/>
      <sz val="11"/>
      <color theme="0"/>
      <name val="Arial"/>
      <family val="2"/>
    </font>
    <font>
      <sz val="12"/>
      <color theme="3" tint="0.14993743705557422"/>
      <name val="Aptos Narrow"/>
      <family val="2"/>
      <scheme val="minor"/>
    </font>
    <font>
      <sz val="42"/>
      <color theme="1"/>
      <name val="Aptos Display"/>
      <family val="1"/>
      <scheme val="major"/>
    </font>
    <font>
      <sz val="12"/>
      <color theme="3" tint="0.14993743705557422"/>
      <name val="Aptos Display"/>
      <family val="1"/>
      <scheme val="major"/>
    </font>
    <font>
      <sz val="14"/>
      <color theme="1"/>
      <name val="Aptos Narrow"/>
      <family val="2"/>
      <scheme val="minor"/>
    </font>
    <font>
      <sz val="11"/>
      <color theme="3" tint="0.14993743705557422"/>
      <name val="Aptos Narrow"/>
      <family val="2"/>
      <scheme val="minor"/>
    </font>
    <font>
      <b/>
      <sz val="26"/>
      <color theme="1"/>
      <name val="Aptos Narrow"/>
      <family val="2"/>
      <scheme val="minor"/>
    </font>
    <font>
      <b/>
      <sz val="16"/>
      <color theme="1"/>
      <name val="Aptos Narrow"/>
      <family val="2"/>
      <scheme val="minor"/>
    </font>
    <font>
      <b/>
      <sz val="12"/>
      <color theme="1"/>
      <name val="Aptos Narrow"/>
      <family val="2"/>
      <scheme val="minor"/>
    </font>
    <font>
      <sz val="11"/>
      <color rgb="FF9C0006"/>
      <name val="Aptos Narrow"/>
      <family val="2"/>
      <scheme val="minor"/>
    </font>
    <font>
      <sz val="12"/>
      <color rgb="FF9C0006"/>
      <name val="Aptos Narrow"/>
      <family val="2"/>
      <scheme val="minor"/>
    </font>
    <font>
      <sz val="11"/>
      <color rgb="FF006100"/>
      <name val="Aptos Narrow"/>
      <family val="2"/>
      <scheme val="minor"/>
    </font>
    <font>
      <sz val="12"/>
      <color rgb="FF006100"/>
      <name val="Aptos Narrow"/>
      <family val="2"/>
      <scheme val="minor"/>
    </font>
    <font>
      <sz val="11"/>
      <color rgb="FF3F3F76"/>
      <name val="Aptos Narrow"/>
      <family val="2"/>
      <scheme val="minor"/>
    </font>
    <font>
      <sz val="12"/>
      <color rgb="FF3F3F76"/>
      <name val="Aptos Narrow"/>
      <family val="2"/>
      <scheme val="minor"/>
    </font>
    <font>
      <sz val="11"/>
      <color rgb="FF9C5700"/>
      <name val="Aptos Narrow"/>
      <family val="2"/>
      <scheme val="minor"/>
    </font>
    <font>
      <sz val="12"/>
      <color rgb="FF9C5700"/>
      <name val="Aptos Narrow"/>
      <family val="2"/>
      <scheme val="minor"/>
    </font>
    <font>
      <sz val="12"/>
      <name val="Aptos Narrow"/>
      <family val="2"/>
      <scheme val="minor"/>
    </font>
    <font>
      <sz val="12"/>
      <color rgb="FFFF0000"/>
      <name val="Aptos Narrow"/>
      <family val="2"/>
      <scheme val="minor"/>
    </font>
    <font>
      <sz val="12"/>
      <color rgb="FFFF0000"/>
      <name val="Calibri (Body)"/>
    </font>
    <font>
      <vertAlign val="subscript"/>
      <sz val="12"/>
      <color theme="1"/>
      <name val="Aptos Narrow"/>
      <family val="2"/>
      <scheme val="minor"/>
    </font>
    <font>
      <vertAlign val="superscript"/>
      <sz val="12"/>
      <color theme="1"/>
      <name val="Aptos Narrow"/>
      <family val="2"/>
      <scheme val="minor"/>
    </font>
    <font>
      <vertAlign val="subscript"/>
      <sz val="12"/>
      <color rgb="FFFF0000"/>
      <name val="Aptos Narrow"/>
      <family val="2"/>
      <scheme val="minor"/>
    </font>
    <font>
      <vertAlign val="superscript"/>
      <sz val="12"/>
      <color rgb="FFFF0000"/>
      <name val="Aptos Narrow"/>
      <family val="2"/>
      <scheme val="minor"/>
    </font>
    <font>
      <sz val="24"/>
      <color theme="1"/>
      <name val="Arial"/>
      <family val="2"/>
    </font>
    <font>
      <sz val="11"/>
      <color theme="1"/>
      <name val="Aptos Narrow"/>
      <family val="2"/>
      <charset val="204"/>
      <scheme val="minor"/>
    </font>
    <font>
      <b/>
      <sz val="12"/>
      <color rgb="FFFA7D00"/>
      <name val="Aptos Narrow"/>
      <family val="2"/>
      <scheme val="minor"/>
    </font>
    <font>
      <sz val="12"/>
      <color theme="1"/>
      <name val="Aptos Narrow"/>
      <family val="2"/>
    </font>
    <font>
      <b/>
      <sz val="18"/>
      <color theme="1"/>
      <name val="Aptos Narrow"/>
      <family val="2"/>
      <scheme val="minor"/>
    </font>
    <font>
      <sz val="18"/>
      <color theme="1"/>
      <name val="Aptos Narrow"/>
      <family val="2"/>
      <scheme val="minor"/>
    </font>
    <font>
      <b/>
      <sz val="18"/>
      <color theme="1"/>
      <name val="Aptos Narrow"/>
      <family val="2"/>
      <scheme val="minor"/>
    </font>
    <font>
      <sz val="12"/>
      <color theme="1"/>
      <name val="Times New Roman"/>
      <family val="1"/>
    </font>
    <font>
      <sz val="12"/>
      <color rgb="FF000000"/>
      <name val="Times New Roman"/>
      <family val="1"/>
    </font>
    <font>
      <u/>
      <sz val="12"/>
      <color rgb="FF467886"/>
      <name val="Times New Roman"/>
      <family val="1"/>
    </font>
    <font>
      <u/>
      <sz val="12"/>
      <color rgb="FF0000FF"/>
      <name val="Times New Roman"/>
      <family val="1"/>
    </font>
    <font>
      <sz val="12"/>
      <color rgb="FF333333"/>
      <name val="Times New Roman"/>
      <family val="1"/>
    </font>
    <font>
      <u/>
      <sz val="12"/>
      <color rgb="FF000000"/>
      <name val="Times New Roman"/>
      <family val="1"/>
    </font>
    <font>
      <sz val="22"/>
      <color rgb="FF000000"/>
      <name val="Aptos Narrow"/>
    </font>
    <font>
      <sz val="16"/>
      <color theme="0" tint="-0.249977111117893"/>
      <name val="Arial"/>
      <family val="2"/>
    </font>
    <font>
      <b/>
      <sz val="16"/>
      <color theme="0" tint="-0.249977111117893"/>
      <name val="Arial"/>
      <family val="2"/>
    </font>
    <font>
      <sz val="12"/>
      <color rgb="FF000000"/>
      <name val="Helvetica"/>
      <family val="2"/>
    </font>
    <font>
      <sz val="20"/>
      <color theme="0" tint="-0.249977111117893"/>
      <name val="Arial"/>
      <family val="2"/>
    </font>
    <font>
      <sz val="20"/>
      <color rgb="FF0E0E0E"/>
      <name val="Arial"/>
      <family val="2"/>
    </font>
    <font>
      <sz val="20"/>
      <color theme="0" tint="-0.34998626667073579"/>
      <name val="Arial"/>
      <family val="2"/>
    </font>
    <font>
      <sz val="20"/>
      <name val="Arial"/>
      <family val="2"/>
    </font>
    <font>
      <b/>
      <sz val="20"/>
      <color rgb="FFFF0000"/>
      <name val="Arial"/>
      <family val="2"/>
    </font>
    <font>
      <sz val="20"/>
      <color rgb="FF0E0E0E"/>
      <name val=".AppleSystemUIFont"/>
    </font>
    <font>
      <sz val="22"/>
      <color theme="1"/>
      <name val="Arial"/>
      <family val="2"/>
    </font>
    <font>
      <b/>
      <sz val="20"/>
      <color rgb="FF000000"/>
      <name val="Tahoma"/>
      <family val="2"/>
    </font>
    <font>
      <b/>
      <sz val="18"/>
      <color rgb="FF000000"/>
      <name val="Aptos Narrow"/>
      <scheme val="minor"/>
    </font>
  </fonts>
  <fills count="30">
    <fill>
      <patternFill patternType="none"/>
    </fill>
    <fill>
      <patternFill patternType="gray125"/>
    </fill>
    <fill>
      <patternFill patternType="solid">
        <fgColor rgb="FF60CCF3"/>
        <bgColor indexed="64"/>
      </patternFill>
    </fill>
    <fill>
      <patternFill patternType="solid">
        <fgColor rgb="FF004F41"/>
        <bgColor indexed="64"/>
      </patternFill>
    </fill>
    <fill>
      <patternFill patternType="solid">
        <fgColor rgb="FFFFCD00"/>
        <bgColor indexed="64"/>
      </patternFill>
    </fill>
    <fill>
      <patternFill patternType="solid">
        <fgColor theme="0"/>
        <bgColor indexed="64"/>
      </patternFill>
    </fill>
    <fill>
      <patternFill patternType="solid">
        <fgColor rgb="FF192733"/>
        <bgColor indexed="64"/>
      </patternFill>
    </fill>
    <fill>
      <patternFill patternType="solid">
        <fgColor theme="0" tint="-0.249977111117893"/>
        <bgColor indexed="64"/>
      </patternFill>
    </fill>
    <fill>
      <patternFill patternType="solid">
        <fgColor rgb="FF00B0F0"/>
        <bgColor indexed="64"/>
      </patternFill>
    </fill>
    <fill>
      <patternFill patternType="solid">
        <fgColor rgb="FFFFC000"/>
        <bgColor indexed="64"/>
      </patternFill>
    </fill>
    <fill>
      <patternFill patternType="solid">
        <fgColor theme="8" tint="0.59999389629810485"/>
        <bgColor indexed="64"/>
      </patternFill>
    </fill>
    <fill>
      <patternFill patternType="solid">
        <fgColor rgb="FF92D050"/>
        <bgColor indexed="64"/>
      </patternFill>
    </fill>
    <fill>
      <patternFill patternType="solid">
        <fgColor rgb="FFEBF1DE"/>
        <bgColor indexed="64"/>
      </patternFill>
    </fill>
    <fill>
      <patternFill patternType="solid">
        <fgColor rgb="FF004F41"/>
        <bgColor theme="6"/>
      </patternFill>
    </fill>
    <fill>
      <patternFill patternType="solid">
        <fgColor theme="4" tint="0.79998168889431442"/>
        <bgColor indexed="64"/>
      </patternFill>
    </fill>
    <fill>
      <patternFill patternType="solid">
        <fgColor theme="8" tint="0.59999389629810485"/>
        <bgColor theme="4" tint="0.59996337778862885"/>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theme="6" tint="0.79998168889431442"/>
        <bgColor indexed="64"/>
      </patternFill>
    </fill>
    <fill>
      <patternFill patternType="solid">
        <fgColor theme="9" tint="0.59999389629810485"/>
        <bgColor indexed="64"/>
      </patternFill>
    </fill>
    <fill>
      <patternFill patternType="solid">
        <fgColor theme="2" tint="-9.9978637043366805E-2"/>
        <bgColor indexed="64"/>
      </patternFill>
    </fill>
    <fill>
      <patternFill patternType="solid">
        <fgColor theme="2"/>
        <bgColor indexed="64"/>
      </patternFill>
    </fill>
    <fill>
      <patternFill patternType="solid">
        <fgColor rgb="FF00B050"/>
        <bgColor indexed="64"/>
      </patternFill>
    </fill>
    <fill>
      <patternFill patternType="solid">
        <fgColor theme="5"/>
        <bgColor indexed="64"/>
      </patternFill>
    </fill>
    <fill>
      <patternFill patternType="solid">
        <fgColor theme="4" tint="0.59999389629810485"/>
        <bgColor indexed="64"/>
      </patternFill>
    </fill>
    <fill>
      <patternFill patternType="solid">
        <fgColor theme="1" tint="0.34998626667073579"/>
        <bgColor indexed="64"/>
      </patternFill>
    </fill>
    <fill>
      <patternFill patternType="solid">
        <fgColor rgb="FFF2F2F2"/>
      </patternFill>
    </fill>
    <fill>
      <patternFill patternType="solid">
        <fgColor rgb="FFC1E4F5"/>
        <bgColor rgb="FFC1E4F5"/>
      </patternFill>
    </fill>
  </fills>
  <borders count="4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diagonal/>
    </border>
    <border>
      <left style="thin">
        <color rgb="FFDDDDDD"/>
      </left>
      <right style="thin">
        <color rgb="FFDDDDDD"/>
      </right>
      <top style="thin">
        <color rgb="FFDDDDDD"/>
      </top>
      <bottom style="thin">
        <color rgb="FFDDDDDD"/>
      </bottom>
      <diagonal/>
    </border>
    <border>
      <left style="thick">
        <color auto="1"/>
      </left>
      <right style="thin">
        <color indexed="64"/>
      </right>
      <top style="thick">
        <color indexed="64"/>
      </top>
      <bottom style="thin">
        <color indexed="64"/>
      </bottom>
      <diagonal/>
    </border>
    <border>
      <left/>
      <right style="thin">
        <color indexed="64"/>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style="thin">
        <color indexed="64"/>
      </left>
      <right style="thick">
        <color auto="1"/>
      </right>
      <top style="thick">
        <color indexed="64"/>
      </top>
      <bottom style="thin">
        <color indexed="64"/>
      </bottom>
      <diagonal/>
    </border>
    <border>
      <left/>
      <right style="thick">
        <color auto="1"/>
      </right>
      <top/>
      <bottom/>
      <diagonal/>
    </border>
    <border>
      <left/>
      <right style="thin">
        <color indexed="64"/>
      </right>
      <top style="thick">
        <color indexed="64"/>
      </top>
      <bottom style="thick">
        <color indexed="64"/>
      </bottom>
      <diagonal/>
    </border>
    <border>
      <left style="thin">
        <color indexed="64"/>
      </left>
      <right style="thin">
        <color indexed="64"/>
      </right>
      <top style="thick">
        <color indexed="64"/>
      </top>
      <bottom style="thick">
        <color indexed="64"/>
      </bottom>
      <diagonal/>
    </border>
    <border>
      <left style="thin">
        <color indexed="64"/>
      </left>
      <right/>
      <top style="thick">
        <color indexed="64"/>
      </top>
      <bottom style="thick">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bottom style="thin">
        <color indexed="64"/>
      </bottom>
      <diagonal/>
    </border>
    <border>
      <left style="thick">
        <color auto="1"/>
      </left>
      <right style="thin">
        <color indexed="64"/>
      </right>
      <top/>
      <bottom style="thin">
        <color indexed="64"/>
      </bottom>
      <diagonal/>
    </border>
    <border>
      <left style="thin">
        <color indexed="64"/>
      </left>
      <right/>
      <top/>
      <bottom style="thin">
        <color indexed="64"/>
      </bottom>
      <diagonal/>
    </border>
    <border>
      <left style="thick">
        <color indexed="64"/>
      </left>
      <right/>
      <top style="thin">
        <color indexed="64"/>
      </top>
      <bottom/>
      <diagonal/>
    </border>
    <border>
      <left/>
      <right/>
      <top style="thin">
        <color indexed="64"/>
      </top>
      <bottom/>
      <diagonal/>
    </border>
    <border>
      <left style="thick">
        <color indexed="64"/>
      </left>
      <right/>
      <top/>
      <bottom/>
      <diagonal/>
    </border>
    <border>
      <left/>
      <right style="thick">
        <color auto="1"/>
      </right>
      <top style="thin">
        <color indexed="64"/>
      </top>
      <bottom/>
      <diagonal/>
    </border>
    <border>
      <left style="medium">
        <color rgb="FFFF0000"/>
      </left>
      <right style="medium">
        <color rgb="FFFF0000"/>
      </right>
      <top style="medium">
        <color rgb="FFFF0000"/>
      </top>
      <bottom style="thin">
        <color indexed="64"/>
      </bottom>
      <diagonal/>
    </border>
    <border>
      <left style="medium">
        <color rgb="FFFF0000"/>
      </left>
      <right style="medium">
        <color rgb="FFFF0000"/>
      </right>
      <top/>
      <bottom/>
      <diagonal/>
    </border>
    <border>
      <left style="medium">
        <color rgb="FFFF0000"/>
      </left>
      <right style="medium">
        <color rgb="FFFF0000"/>
      </right>
      <top style="medium">
        <color indexed="64"/>
      </top>
      <bottom style="medium">
        <color rgb="FFFF0000"/>
      </bottom>
      <diagonal/>
    </border>
    <border>
      <left style="thin">
        <color rgb="FF7F7F7F"/>
      </left>
      <right style="thin">
        <color rgb="FF7F7F7F"/>
      </right>
      <top style="thin">
        <color rgb="FF7F7F7F"/>
      </top>
      <bottom style="thin">
        <color rgb="FF7F7F7F"/>
      </bottom>
      <diagonal/>
    </border>
    <border>
      <left/>
      <right/>
      <top/>
      <bottom style="thin">
        <color indexed="64"/>
      </bottom>
      <diagonal/>
    </border>
    <border>
      <left/>
      <right style="thin">
        <color indexed="64"/>
      </right>
      <top/>
      <bottom/>
      <diagonal/>
    </border>
    <border>
      <left/>
      <right/>
      <top style="thin">
        <color indexed="64"/>
      </top>
      <bottom style="thin">
        <color indexed="64"/>
      </bottom>
      <diagonal/>
    </border>
    <border>
      <left/>
      <right/>
      <top style="thin">
        <color theme="6"/>
      </top>
      <bottom/>
      <diagonal/>
    </border>
    <border>
      <left style="thin">
        <color theme="6"/>
      </left>
      <right/>
      <top style="thin">
        <color theme="6"/>
      </top>
      <bottom/>
      <diagonal/>
    </border>
    <border>
      <left style="thin">
        <color theme="6"/>
      </left>
      <right/>
      <top style="thin">
        <color theme="6"/>
      </top>
      <bottom style="thin">
        <color theme="6"/>
      </bottom>
      <diagonal/>
    </border>
    <border>
      <left/>
      <right/>
      <top style="thin">
        <color theme="6"/>
      </top>
      <bottom style="thin">
        <color theme="6"/>
      </bottom>
      <diagonal/>
    </border>
    <border>
      <left/>
      <right/>
      <top style="thin">
        <color rgb="FF45B0E1"/>
      </top>
      <bottom/>
      <diagonal/>
    </border>
  </borders>
  <cellStyleXfs count="17">
    <xf numFmtId="0" fontId="0" fillId="0" borderId="0"/>
    <xf numFmtId="0" fontId="19" fillId="0" borderId="0" applyNumberFormat="0" applyFill="0" applyBorder="0" applyAlignment="0" applyProtection="0"/>
    <xf numFmtId="0" fontId="23" fillId="0" borderId="0"/>
    <xf numFmtId="9" fontId="20" fillId="0" borderId="0" applyFont="0" applyFill="0" applyBorder="0" applyAlignment="0" applyProtection="0"/>
    <xf numFmtId="43" fontId="23" fillId="0" borderId="0" applyFont="0" applyFill="0" applyBorder="0" applyAlignment="0" applyProtection="0"/>
    <xf numFmtId="0" fontId="2" fillId="4" borderId="1"/>
    <xf numFmtId="0" fontId="2" fillId="2" borderId="1"/>
    <xf numFmtId="0" fontId="2" fillId="10" borderId="0"/>
    <xf numFmtId="0" fontId="66" fillId="0" borderId="0">
      <alignment vertical="center"/>
    </xf>
    <xf numFmtId="0" fontId="70" fillId="17" borderId="0" applyNumberFormat="0" applyBorder="0" applyAlignment="0" applyProtection="0"/>
    <xf numFmtId="0" fontId="72" fillId="16" borderId="0" applyNumberFormat="0" applyBorder="0" applyAlignment="0" applyProtection="0"/>
    <xf numFmtId="0" fontId="74" fillId="19" borderId="39" applyNumberFormat="0" applyAlignment="0" applyProtection="0"/>
    <xf numFmtId="0" fontId="76" fillId="18" borderId="0" applyNumberFormat="0" applyBorder="0" applyAlignment="0" applyProtection="0"/>
    <xf numFmtId="0" fontId="20" fillId="0" borderId="0"/>
    <xf numFmtId="0" fontId="86" fillId="0" borderId="0"/>
    <xf numFmtId="0" fontId="87" fillId="28" borderId="39" applyNumberFormat="0" applyAlignment="0" applyProtection="0"/>
    <xf numFmtId="9" fontId="12" fillId="0" borderId="0" applyFont="0" applyFill="0" applyBorder="0" applyAlignment="0" applyProtection="0"/>
  </cellStyleXfs>
  <cellXfs count="414">
    <xf numFmtId="0" fontId="0" fillId="0" borderId="0" xfId="0"/>
    <xf numFmtId="0" fontId="2" fillId="0" borderId="0" xfId="0" applyFont="1"/>
    <xf numFmtId="0" fontId="1" fillId="0" borderId="0" xfId="0" applyFont="1"/>
    <xf numFmtId="0" fontId="0" fillId="0" borderId="0" xfId="0" quotePrefix="1"/>
    <xf numFmtId="11" fontId="0" fillId="0" borderId="0" xfId="0" applyNumberFormat="1"/>
    <xf numFmtId="164" fontId="0" fillId="0" borderId="0" xfId="0" applyNumberFormat="1"/>
    <xf numFmtId="0" fontId="0" fillId="4" borderId="0" xfId="0" applyFill="1"/>
    <xf numFmtId="0" fontId="3" fillId="3" borderId="0" xfId="0" applyFont="1" applyFill="1" applyAlignment="1">
      <alignment horizontal="center" vertical="center" wrapText="1" readingOrder="1"/>
    </xf>
    <xf numFmtId="0" fontId="4" fillId="0" borderId="0" xfId="0" applyFont="1" applyAlignment="1">
      <alignment horizontal="center" vertical="top" wrapText="1"/>
    </xf>
    <xf numFmtId="0" fontId="0" fillId="5" borderId="0" xfId="0" applyFill="1"/>
    <xf numFmtId="0" fontId="0" fillId="0" borderId="0" xfId="0" applyAlignment="1">
      <alignment horizontal="center"/>
    </xf>
    <xf numFmtId="0" fontId="0" fillId="7" borderId="0" xfId="0" applyFill="1"/>
    <xf numFmtId="0" fontId="0" fillId="0" borderId="0" xfId="0" applyAlignment="1">
      <alignment horizontal="left"/>
    </xf>
    <xf numFmtId="165" fontId="0" fillId="0" borderId="0" xfId="0" applyNumberFormat="1" applyAlignment="1">
      <alignment horizontal="left"/>
    </xf>
    <xf numFmtId="166" fontId="0" fillId="0" borderId="0" xfId="0" applyNumberFormat="1" applyAlignment="1">
      <alignment horizontal="left"/>
    </xf>
    <xf numFmtId="0" fontId="0" fillId="0" borderId="0" xfId="0" applyAlignment="1">
      <alignment horizontal="left" indent="1"/>
    </xf>
    <xf numFmtId="0" fontId="7" fillId="0" borderId="0" xfId="0" applyFont="1"/>
    <xf numFmtId="0" fontId="8" fillId="0" borderId="0" xfId="0" applyFont="1"/>
    <xf numFmtId="0" fontId="7" fillId="7" borderId="0" xfId="0" applyFont="1" applyFill="1"/>
    <xf numFmtId="0" fontId="7" fillId="5" borderId="0" xfId="0" applyFont="1" applyFill="1"/>
    <xf numFmtId="0" fontId="8" fillId="0" borderId="0" xfId="0" applyFont="1" applyAlignment="1">
      <alignment horizontal="left"/>
    </xf>
    <xf numFmtId="0" fontId="7" fillId="8" borderId="0" xfId="0" applyFont="1" applyFill="1" applyAlignment="1">
      <alignment horizontal="left"/>
    </xf>
    <xf numFmtId="0" fontId="10" fillId="5" borderId="0" xfId="0" applyFont="1" applyFill="1" applyAlignment="1">
      <alignment horizontal="left" vertical="center"/>
    </xf>
    <xf numFmtId="0" fontId="7" fillId="10" borderId="0" xfId="0" applyFont="1" applyFill="1" applyAlignment="1">
      <alignment horizontal="left"/>
    </xf>
    <xf numFmtId="0" fontId="7" fillId="0" borderId="0" xfId="0" applyFont="1" applyAlignment="1">
      <alignment horizontal="center"/>
    </xf>
    <xf numFmtId="164" fontId="7" fillId="0" borderId="0" xfId="0" applyNumberFormat="1" applyFont="1" applyAlignment="1">
      <alignment horizontal="center"/>
    </xf>
    <xf numFmtId="0" fontId="7" fillId="0" borderId="0" xfId="0" applyFont="1" applyAlignment="1">
      <alignment horizontal="left"/>
    </xf>
    <xf numFmtId="0" fontId="11" fillId="5" borderId="0" xfId="0" applyFont="1" applyFill="1" applyAlignment="1">
      <alignment horizontal="left" vertical="center" wrapText="1"/>
    </xf>
    <xf numFmtId="0" fontId="7" fillId="9" borderId="1" xfId="0" applyFont="1" applyFill="1" applyBorder="1"/>
    <xf numFmtId="164" fontId="0" fillId="7" borderId="0" xfId="0" applyNumberFormat="1" applyFill="1"/>
    <xf numFmtId="0" fontId="8" fillId="5" borderId="0" xfId="0" applyFont="1" applyFill="1" applyAlignment="1">
      <alignment vertical="center" wrapText="1"/>
    </xf>
    <xf numFmtId="0" fontId="12" fillId="7" borderId="0" xfId="0" applyFont="1" applyFill="1"/>
    <xf numFmtId="0" fontId="7" fillId="11" borderId="0" xfId="0" applyFont="1" applyFill="1" applyAlignment="1">
      <alignment horizontal="left"/>
    </xf>
    <xf numFmtId="0" fontId="10" fillId="5" borderId="0" xfId="0" applyFont="1" applyFill="1" applyAlignment="1">
      <alignment vertical="center"/>
    </xf>
    <xf numFmtId="0" fontId="0" fillId="7" borderId="0" xfId="0" applyFill="1" applyAlignment="1">
      <alignment vertical="center"/>
    </xf>
    <xf numFmtId="0" fontId="7" fillId="7" borderId="1" xfId="0" applyFont="1" applyFill="1" applyBorder="1" applyAlignment="1">
      <alignment horizontal="center"/>
    </xf>
    <xf numFmtId="0" fontId="0" fillId="0" borderId="0" xfId="0" applyAlignment="1">
      <alignment vertical="center"/>
    </xf>
    <xf numFmtId="0" fontId="7" fillId="7" borderId="2" xfId="0" applyFont="1" applyFill="1" applyBorder="1" applyAlignment="1">
      <alignment horizontal="left" vertical="center" wrapText="1"/>
    </xf>
    <xf numFmtId="0" fontId="5" fillId="6" borderId="3" xfId="0" applyFont="1" applyFill="1" applyBorder="1" applyAlignment="1">
      <alignment vertical="center"/>
    </xf>
    <xf numFmtId="0" fontId="5" fillId="6" borderId="4" xfId="0" applyFont="1" applyFill="1" applyBorder="1" applyAlignment="1">
      <alignment vertical="center"/>
    </xf>
    <xf numFmtId="0" fontId="5" fillId="6" borderId="5" xfId="0" applyFont="1" applyFill="1" applyBorder="1" applyAlignment="1">
      <alignment vertical="center"/>
    </xf>
    <xf numFmtId="0" fontId="14" fillId="0" borderId="0" xfId="0" applyFont="1"/>
    <xf numFmtId="0" fontId="15" fillId="0" borderId="0" xfId="0" applyFont="1"/>
    <xf numFmtId="0" fontId="16" fillId="5" borderId="0" xfId="0" applyFont="1" applyFill="1"/>
    <xf numFmtId="0" fontId="17" fillId="5" borderId="0" xfId="0" applyFont="1" applyFill="1"/>
    <xf numFmtId="164" fontId="0" fillId="0" borderId="0" xfId="0" applyNumberFormat="1" applyAlignment="1">
      <alignment horizontal="left"/>
    </xf>
    <xf numFmtId="0" fontId="8" fillId="5" borderId="0" xfId="0" applyFont="1" applyFill="1" applyAlignment="1">
      <alignment horizontal="center"/>
    </xf>
    <xf numFmtId="0" fontId="8" fillId="5" borderId="0" xfId="0" applyFont="1" applyFill="1" applyAlignment="1">
      <alignment horizontal="center" wrapText="1"/>
    </xf>
    <xf numFmtId="0" fontId="8" fillId="5" borderId="0" xfId="0" applyFont="1" applyFill="1" applyAlignment="1">
      <alignment horizontal="center" vertical="center" wrapText="1"/>
    </xf>
    <xf numFmtId="0" fontId="0" fillId="5" borderId="0" xfId="0" applyFill="1" applyAlignment="1">
      <alignment horizontal="center" vertical="top"/>
    </xf>
    <xf numFmtId="0" fontId="7" fillId="5" borderId="0" xfId="0" applyFont="1" applyFill="1" applyAlignment="1">
      <alignment horizontal="center" vertical="top"/>
    </xf>
    <xf numFmtId="0" fontId="18" fillId="0" borderId="0" xfId="0" applyFont="1"/>
    <xf numFmtId="0" fontId="19" fillId="0" borderId="0" xfId="1"/>
    <xf numFmtId="0" fontId="12" fillId="0" borderId="0" xfId="0" applyFont="1"/>
    <xf numFmtId="0" fontId="24" fillId="0" borderId="0" xfId="2" applyFont="1" applyAlignment="1">
      <alignment horizontal="center" vertical="top"/>
    </xf>
    <xf numFmtId="0" fontId="23" fillId="0" borderId="0" xfId="2"/>
    <xf numFmtId="0" fontId="26" fillId="0" borderId="0" xfId="2" applyFont="1"/>
    <xf numFmtId="0" fontId="20" fillId="0" borderId="0" xfId="2" applyFont="1"/>
    <xf numFmtId="167" fontId="28" fillId="0" borderId="1" xfId="2" applyNumberFormat="1" applyFont="1" applyBorder="1"/>
    <xf numFmtId="168" fontId="28" fillId="0" borderId="1" xfId="2" applyNumberFormat="1" applyFont="1" applyBorder="1"/>
    <xf numFmtId="167" fontId="26" fillId="0" borderId="0" xfId="2" applyNumberFormat="1" applyFont="1"/>
    <xf numFmtId="167" fontId="28" fillId="0" borderId="2" xfId="2" applyNumberFormat="1" applyFont="1" applyBorder="1"/>
    <xf numFmtId="168" fontId="28" fillId="0" borderId="2" xfId="2" applyNumberFormat="1" applyFont="1" applyBorder="1"/>
    <xf numFmtId="0" fontId="27" fillId="0" borderId="21" xfId="2" applyFont="1" applyBorder="1"/>
    <xf numFmtId="167" fontId="27" fillId="0" borderId="22" xfId="2" applyNumberFormat="1" applyFont="1" applyBorder="1"/>
    <xf numFmtId="168" fontId="27" fillId="0" borderId="22" xfId="2" applyNumberFormat="1" applyFont="1" applyBorder="1"/>
    <xf numFmtId="167" fontId="27" fillId="0" borderId="23" xfId="2" applyNumberFormat="1" applyFont="1" applyBorder="1"/>
    <xf numFmtId="167" fontId="26" fillId="0" borderId="5" xfId="2" applyNumberFormat="1" applyFont="1" applyBorder="1"/>
    <xf numFmtId="167" fontId="27" fillId="0" borderId="21" xfId="2" applyNumberFormat="1" applyFont="1" applyBorder="1"/>
    <xf numFmtId="0" fontId="29" fillId="0" borderId="0" xfId="2" applyFont="1"/>
    <xf numFmtId="168" fontId="26" fillId="0" borderId="0" xfId="2" applyNumberFormat="1" applyFont="1"/>
    <xf numFmtId="167" fontId="30" fillId="0" borderId="0" xfId="2" applyNumberFormat="1" applyFont="1" applyAlignment="1">
      <alignment horizontal="right"/>
    </xf>
    <xf numFmtId="14" fontId="30" fillId="0" borderId="0" xfId="2" applyNumberFormat="1" applyFont="1" applyAlignment="1">
      <alignment horizontal="center"/>
    </xf>
    <xf numFmtId="0" fontId="28" fillId="0" borderId="25" xfId="2" applyFont="1" applyBorder="1"/>
    <xf numFmtId="0" fontId="28" fillId="0" borderId="26" xfId="2" applyFont="1" applyBorder="1"/>
    <xf numFmtId="168" fontId="28" fillId="0" borderId="27" xfId="2" applyNumberFormat="1" applyFont="1" applyBorder="1"/>
    <xf numFmtId="168" fontId="28" fillId="0" borderId="28" xfId="2" applyNumberFormat="1" applyFont="1" applyBorder="1"/>
    <xf numFmtId="168" fontId="27" fillId="0" borderId="23" xfId="2" applyNumberFormat="1" applyFont="1" applyBorder="1"/>
    <xf numFmtId="0" fontId="35" fillId="0" borderId="0" xfId="0" applyFont="1" applyAlignment="1">
      <alignment horizontal="center" vertical="top"/>
    </xf>
    <xf numFmtId="0" fontId="24" fillId="0" borderId="0" xfId="2" applyFont="1" applyAlignment="1">
      <alignment horizontal="left" vertical="top"/>
    </xf>
    <xf numFmtId="0" fontId="23" fillId="0" borderId="0" xfId="2" applyAlignment="1">
      <alignment horizontal="center"/>
    </xf>
    <xf numFmtId="0" fontId="36" fillId="3" borderId="29" xfId="2" applyFont="1" applyFill="1" applyBorder="1" applyAlignment="1">
      <alignment vertical="center" wrapText="1"/>
    </xf>
    <xf numFmtId="0" fontId="36" fillId="3" borderId="30" xfId="2" applyFont="1" applyFill="1" applyBorder="1" applyAlignment="1">
      <alignment vertical="center" wrapText="1"/>
    </xf>
    <xf numFmtId="167" fontId="36" fillId="3" borderId="24" xfId="2" applyNumberFormat="1" applyFont="1" applyFill="1" applyBorder="1" applyAlignment="1">
      <alignment horizontal="center" vertical="center" wrapText="1"/>
    </xf>
    <xf numFmtId="168" fontId="36" fillId="3" borderId="24" xfId="2" applyNumberFormat="1" applyFont="1" applyFill="1" applyBorder="1" applyAlignment="1">
      <alignment horizontal="center" vertical="center" wrapText="1"/>
    </xf>
    <xf numFmtId="168" fontId="36" fillId="3" borderId="31" xfId="2" applyNumberFormat="1" applyFont="1" applyFill="1" applyBorder="1" applyAlignment="1">
      <alignment horizontal="center" vertical="center" wrapText="1"/>
    </xf>
    <xf numFmtId="167" fontId="36" fillId="3" borderId="31" xfId="2" applyNumberFormat="1" applyFont="1" applyFill="1" applyBorder="1" applyAlignment="1">
      <alignment horizontal="center" vertical="center" wrapText="1"/>
    </xf>
    <xf numFmtId="167" fontId="28" fillId="0" borderId="27" xfId="2" applyNumberFormat="1" applyFont="1" applyBorder="1"/>
    <xf numFmtId="167" fontId="28" fillId="0" borderId="28" xfId="2" applyNumberFormat="1" applyFont="1" applyBorder="1"/>
    <xf numFmtId="167" fontId="36" fillId="3" borderId="29" xfId="2" applyNumberFormat="1" applyFont="1" applyFill="1" applyBorder="1" applyAlignment="1">
      <alignment horizontal="center" vertical="center" wrapText="1"/>
    </xf>
    <xf numFmtId="167" fontId="36" fillId="0" borderId="36" xfId="2" applyNumberFormat="1" applyFont="1" applyBorder="1" applyAlignment="1">
      <alignment horizontal="center" vertical="center" wrapText="1"/>
    </xf>
    <xf numFmtId="167" fontId="28" fillId="0" borderId="37" xfId="2" applyNumberFormat="1" applyFont="1" applyBorder="1"/>
    <xf numFmtId="167" fontId="28" fillId="0" borderId="38" xfId="2" applyNumberFormat="1" applyFont="1" applyBorder="1"/>
    <xf numFmtId="0" fontId="34" fillId="0" borderId="0" xfId="0" applyFont="1"/>
    <xf numFmtId="0" fontId="33" fillId="0" borderId="0" xfId="0" applyFont="1"/>
    <xf numFmtId="0" fontId="38" fillId="0" borderId="0" xfId="0" applyFont="1"/>
    <xf numFmtId="0" fontId="39" fillId="0" borderId="0" xfId="0" applyFont="1"/>
    <xf numFmtId="0" fontId="40" fillId="0" borderId="0" xfId="0" applyFont="1"/>
    <xf numFmtId="0" fontId="43" fillId="0" borderId="0" xfId="0" applyFont="1"/>
    <xf numFmtId="0" fontId="44" fillId="0" borderId="0" xfId="0" applyFont="1"/>
    <xf numFmtId="0" fontId="2" fillId="0" borderId="1" xfId="0" applyFont="1" applyBorder="1" applyAlignment="1">
      <alignment vertical="top"/>
    </xf>
    <xf numFmtId="0" fontId="2" fillId="0" borderId="0" xfId="0" applyFont="1" applyAlignment="1">
      <alignment vertical="top"/>
    </xf>
    <xf numFmtId="0" fontId="46" fillId="0" borderId="1" xfId="0" applyFont="1" applyBorder="1" applyAlignment="1">
      <alignment vertical="top"/>
    </xf>
    <xf numFmtId="0" fontId="43" fillId="0" borderId="0" xfId="0" applyFont="1" applyAlignment="1">
      <alignment vertical="center" wrapText="1"/>
    </xf>
    <xf numFmtId="0" fontId="2" fillId="0" borderId="0" xfId="0" applyFont="1" applyAlignment="1">
      <alignment vertical="center" wrapText="1"/>
    </xf>
    <xf numFmtId="0" fontId="2" fillId="5" borderId="0" xfId="0" applyFont="1" applyFill="1"/>
    <xf numFmtId="0" fontId="47" fillId="0" borderId="0" xfId="2" applyFont="1" applyAlignment="1">
      <alignment horizontal="center" vertical="top" wrapText="1"/>
    </xf>
    <xf numFmtId="0" fontId="2" fillId="0" borderId="0" xfId="0" applyFont="1" applyAlignment="1">
      <alignment wrapText="1"/>
    </xf>
    <xf numFmtId="0" fontId="48" fillId="0" borderId="0" xfId="0" applyFont="1"/>
    <xf numFmtId="0" fontId="47" fillId="0" borderId="0" xfId="2" applyFont="1" applyAlignment="1">
      <alignment horizontal="center" vertical="top"/>
    </xf>
    <xf numFmtId="0" fontId="2" fillId="2" borderId="1" xfId="0" applyFont="1" applyFill="1" applyBorder="1"/>
    <xf numFmtId="0" fontId="2" fillId="4" borderId="1" xfId="0" applyFont="1" applyFill="1" applyBorder="1"/>
    <xf numFmtId="0" fontId="49" fillId="0" borderId="0" xfId="0" applyFont="1" applyAlignment="1">
      <alignment vertical="top" wrapText="1"/>
    </xf>
    <xf numFmtId="0" fontId="49" fillId="0" borderId="0" xfId="0" applyFont="1" applyAlignment="1">
      <alignment vertical="center" wrapText="1"/>
    </xf>
    <xf numFmtId="0" fontId="49" fillId="0" borderId="0" xfId="2" applyFont="1" applyAlignment="1">
      <alignment horizontal="center" vertical="center" wrapText="1"/>
    </xf>
    <xf numFmtId="0" fontId="2" fillId="2" borderId="1" xfId="6"/>
    <xf numFmtId="0" fontId="2" fillId="2" borderId="2" xfId="6" applyBorder="1"/>
    <xf numFmtId="0" fontId="2" fillId="0" borderId="0" xfId="6" applyFill="1" applyBorder="1"/>
    <xf numFmtId="0" fontId="2" fillId="0" borderId="0" xfId="5" applyFill="1" applyBorder="1"/>
    <xf numFmtId="0" fontId="2" fillId="10" borderId="0" xfId="0" applyFont="1" applyFill="1"/>
    <xf numFmtId="0" fontId="2" fillId="10" borderId="0" xfId="7"/>
    <xf numFmtId="9" fontId="2" fillId="10" borderId="1" xfId="3" applyFont="1" applyFill="1" applyBorder="1"/>
    <xf numFmtId="0" fontId="2" fillId="4" borderId="0" xfId="0" applyFont="1" applyFill="1"/>
    <xf numFmtId="0" fontId="2" fillId="4" borderId="1" xfId="5"/>
    <xf numFmtId="169" fontId="2" fillId="0" borderId="0" xfId="0" applyNumberFormat="1" applyFont="1"/>
    <xf numFmtId="169" fontId="2" fillId="0" borderId="0" xfId="0" applyNumberFormat="1" applyFont="1" applyAlignment="1">
      <alignment wrapText="1"/>
    </xf>
    <xf numFmtId="0" fontId="2" fillId="0" borderId="0" xfId="0" applyFont="1" applyAlignment="1">
      <alignment horizontal="center"/>
    </xf>
    <xf numFmtId="0" fontId="46" fillId="0" borderId="0" xfId="0" applyFont="1" applyAlignment="1">
      <alignment vertical="top"/>
    </xf>
    <xf numFmtId="0" fontId="46" fillId="0" borderId="0" xfId="0" applyFont="1"/>
    <xf numFmtId="169" fontId="46" fillId="0" borderId="0" xfId="0" applyNumberFormat="1" applyFont="1"/>
    <xf numFmtId="169" fontId="46" fillId="0" borderId="0" xfId="0" applyNumberFormat="1" applyFont="1" applyAlignment="1">
      <alignment horizontal="center" vertical="top" wrapText="1"/>
    </xf>
    <xf numFmtId="9" fontId="46" fillId="4" borderId="0" xfId="3" applyFont="1" applyFill="1" applyBorder="1"/>
    <xf numFmtId="0" fontId="46" fillId="10" borderId="0" xfId="0" applyFont="1" applyFill="1"/>
    <xf numFmtId="0" fontId="43" fillId="0" borderId="0" xfId="0" applyFont="1" applyAlignment="1">
      <alignment vertical="top"/>
    </xf>
    <xf numFmtId="0" fontId="45" fillId="0" borderId="0" xfId="0" applyFont="1" applyAlignment="1">
      <alignment vertical="top"/>
    </xf>
    <xf numFmtId="2" fontId="2" fillId="2" borderId="0" xfId="3" applyNumberFormat="1" applyFont="1" applyFill="1" applyBorder="1"/>
    <xf numFmtId="0" fontId="2" fillId="5" borderId="0" xfId="0" applyFont="1" applyFill="1" applyAlignment="1">
      <alignment horizontal="center"/>
    </xf>
    <xf numFmtId="0" fontId="54" fillId="3" borderId="0" xfId="0" applyFont="1" applyFill="1" applyAlignment="1">
      <alignment horizontal="center"/>
    </xf>
    <xf numFmtId="0" fontId="18" fillId="0" borderId="0" xfId="0" applyFont="1" applyAlignment="1">
      <alignment horizontal="center"/>
    </xf>
    <xf numFmtId="0" fontId="18" fillId="9" borderId="0" xfId="0" applyFont="1" applyFill="1" applyAlignment="1">
      <alignment horizontal="center"/>
    </xf>
    <xf numFmtId="0" fontId="55" fillId="0" borderId="0" xfId="0" applyFont="1"/>
    <xf numFmtId="0" fontId="56" fillId="0" borderId="0" xfId="1" applyFont="1" applyFill="1" applyBorder="1"/>
    <xf numFmtId="0" fontId="57" fillId="5" borderId="0" xfId="0" applyFont="1" applyFill="1" applyAlignment="1">
      <alignment vertical="center"/>
    </xf>
    <xf numFmtId="0" fontId="58" fillId="13" borderId="0" xfId="0" applyFont="1" applyFill="1" applyAlignment="1">
      <alignment vertical="center" wrapText="1"/>
    </xf>
    <xf numFmtId="0" fontId="57" fillId="0" borderId="0" xfId="0" applyFont="1" applyAlignment="1">
      <alignment vertical="center"/>
    </xf>
    <xf numFmtId="0" fontId="57" fillId="9" borderId="0" xfId="0" applyFont="1" applyFill="1" applyAlignment="1">
      <alignment horizontal="center" vertical="center"/>
    </xf>
    <xf numFmtId="0" fontId="60" fillId="0" borderId="0" xfId="0" applyFont="1" applyAlignment="1">
      <alignment horizontal="center" vertical="center"/>
    </xf>
    <xf numFmtId="0" fontId="59" fillId="0" borderId="0" xfId="0" applyFont="1" applyAlignment="1">
      <alignment horizontal="center" vertical="center"/>
    </xf>
    <xf numFmtId="0" fontId="53" fillId="0" borderId="0" xfId="0" applyFont="1"/>
    <xf numFmtId="0" fontId="59" fillId="0" borderId="0" xfId="0" applyFont="1" applyAlignment="1">
      <alignment vertical="center"/>
    </xf>
    <xf numFmtId="0" fontId="18" fillId="10" borderId="0" xfId="0" applyFont="1" applyFill="1" applyAlignment="1">
      <alignment horizontal="center"/>
    </xf>
    <xf numFmtId="0" fontId="26" fillId="0" borderId="0" xfId="0" applyFont="1"/>
    <xf numFmtId="0" fontId="26" fillId="0" borderId="0" xfId="0" applyFont="1" applyAlignment="1">
      <alignment horizontal="center"/>
    </xf>
    <xf numFmtId="0" fontId="26" fillId="0" borderId="0" xfId="0" applyFont="1" applyAlignment="1">
      <alignment wrapText="1"/>
    </xf>
    <xf numFmtId="0" fontId="61" fillId="13" borderId="0" xfId="0" applyFont="1" applyFill="1" applyAlignment="1">
      <alignment horizontal="left" wrapText="1"/>
    </xf>
    <xf numFmtId="0" fontId="61" fillId="13" borderId="0" xfId="0" applyFont="1" applyFill="1" applyAlignment="1">
      <alignment horizontal="center" wrapText="1"/>
    </xf>
    <xf numFmtId="165" fontId="61" fillId="13" borderId="0" xfId="0" applyNumberFormat="1" applyFont="1" applyFill="1" applyAlignment="1">
      <alignment horizontal="center" wrapText="1"/>
    </xf>
    <xf numFmtId="166" fontId="61" fillId="13" borderId="0" xfId="0" applyNumberFormat="1" applyFont="1" applyFill="1" applyAlignment="1">
      <alignment horizontal="center" wrapText="1"/>
    </xf>
    <xf numFmtId="0" fontId="61" fillId="13" borderId="0" xfId="0" applyFont="1" applyFill="1" applyAlignment="1">
      <alignment wrapText="1"/>
    </xf>
    <xf numFmtId="0" fontId="26" fillId="5" borderId="0" xfId="0" applyFont="1" applyFill="1"/>
    <xf numFmtId="0" fontId="62" fillId="14" borderId="0" xfId="8" applyFont="1" applyFill="1">
      <alignment vertical="center"/>
    </xf>
    <xf numFmtId="0" fontId="62" fillId="0" borderId="0" xfId="8" applyFont="1">
      <alignment vertical="center"/>
    </xf>
    <xf numFmtId="0" fontId="64" fillId="14" borderId="0" xfId="8" applyFont="1" applyFill="1">
      <alignment vertical="center"/>
    </xf>
    <xf numFmtId="0" fontId="63" fillId="14" borderId="0" xfId="8" applyFont="1" applyFill="1" applyAlignment="1">
      <alignment horizontal="center" vertical="center" wrapText="1"/>
    </xf>
    <xf numFmtId="0" fontId="64" fillId="0" borderId="0" xfId="8" applyFont="1">
      <alignment vertical="center"/>
    </xf>
    <xf numFmtId="0" fontId="65" fillId="14" borderId="0" xfId="8" applyFont="1" applyFill="1" applyAlignment="1">
      <alignment horizontal="center" vertical="center"/>
    </xf>
    <xf numFmtId="0" fontId="57" fillId="0" borderId="0" xfId="0" applyFont="1"/>
    <xf numFmtId="0" fontId="57" fillId="0" borderId="0" xfId="0" applyFont="1" applyAlignment="1">
      <alignment wrapText="1"/>
    </xf>
    <xf numFmtId="0" fontId="57" fillId="15" borderId="0" xfId="0" applyFont="1" applyFill="1" applyAlignment="1">
      <alignment horizontal="left" vertical="center" wrapText="1"/>
    </xf>
    <xf numFmtId="0" fontId="20" fillId="0" borderId="0" xfId="2" applyFont="1" applyAlignment="1">
      <alignment horizontal="left" vertical="top" wrapText="1"/>
    </xf>
    <xf numFmtId="0" fontId="20" fillId="0" borderId="14" xfId="2" applyFont="1" applyBorder="1" applyAlignment="1">
      <alignment horizontal="left" vertical="top" wrapText="1"/>
    </xf>
    <xf numFmtId="1" fontId="20" fillId="0" borderId="0" xfId="2" applyNumberFormat="1" applyFont="1"/>
    <xf numFmtId="0" fontId="20" fillId="0" borderId="0" xfId="2" applyFont="1" applyAlignment="1">
      <alignment horizontal="center"/>
    </xf>
    <xf numFmtId="0" fontId="20" fillId="0" borderId="0" xfId="2" applyFont="1" applyAlignment="1">
      <alignment horizontal="center" vertical="top" wrapText="1"/>
    </xf>
    <xf numFmtId="0" fontId="20" fillId="0" borderId="27" xfId="2" applyFont="1" applyBorder="1" applyAlignment="1">
      <alignment horizontal="center"/>
    </xf>
    <xf numFmtId="0" fontId="20" fillId="0" borderId="25" xfId="2" applyFont="1" applyBorder="1" applyAlignment="1">
      <alignment horizontal="center"/>
    </xf>
    <xf numFmtId="0" fontId="20" fillId="0" borderId="42" xfId="2" applyFont="1" applyBorder="1" applyAlignment="1">
      <alignment horizontal="center"/>
    </xf>
    <xf numFmtId="0" fontId="20" fillId="0" borderId="14" xfId="2" applyFont="1" applyBorder="1"/>
    <xf numFmtId="0" fontId="20" fillId="0" borderId="41" xfId="2" applyFont="1" applyBorder="1"/>
    <xf numFmtId="0" fontId="20" fillId="0" borderId="31" xfId="2" applyFont="1" applyBorder="1"/>
    <xf numFmtId="0" fontId="20" fillId="0" borderId="40" xfId="2" applyFont="1" applyBorder="1"/>
    <xf numFmtId="0" fontId="20" fillId="0" borderId="14" xfId="2" applyFont="1" applyBorder="1" applyAlignment="1">
      <alignment horizontal="center"/>
    </xf>
    <xf numFmtId="0" fontId="20" fillId="0" borderId="41" xfId="2" applyFont="1" applyBorder="1" applyAlignment="1">
      <alignment horizontal="center"/>
    </xf>
    <xf numFmtId="0" fontId="20" fillId="0" borderId="31" xfId="2" applyFont="1" applyBorder="1" applyAlignment="1">
      <alignment horizontal="center"/>
    </xf>
    <xf numFmtId="0" fontId="20" fillId="0" borderId="29" xfId="2" applyFont="1" applyBorder="1" applyAlignment="1">
      <alignment horizontal="center"/>
    </xf>
    <xf numFmtId="0" fontId="20" fillId="0" borderId="40" xfId="2" applyFont="1" applyBorder="1" applyAlignment="1">
      <alignment horizontal="center"/>
    </xf>
    <xf numFmtId="0" fontId="20" fillId="0" borderId="40" xfId="2" applyFont="1" applyBorder="1" applyAlignment="1">
      <alignment horizontal="center" vertical="top" wrapText="1"/>
    </xf>
    <xf numFmtId="0" fontId="71" fillId="17" borderId="1" xfId="9" applyFont="1" applyBorder="1" applyAlignment="1">
      <alignment horizontal="left"/>
    </xf>
    <xf numFmtId="2" fontId="73" fillId="16" borderId="1" xfId="10" applyNumberFormat="1" applyFont="1" applyBorder="1" applyAlignment="1">
      <alignment horizontal="left" vertical="top" wrapText="1"/>
    </xf>
    <xf numFmtId="0" fontId="75" fillId="19" borderId="1" xfId="11" applyFont="1" applyBorder="1" applyAlignment="1">
      <alignment horizontal="left" vertical="top" wrapText="1"/>
    </xf>
    <xf numFmtId="2" fontId="77" fillId="18" borderId="1" xfId="12" applyNumberFormat="1" applyFont="1" applyBorder="1" applyAlignment="1">
      <alignment horizontal="left"/>
    </xf>
    <xf numFmtId="2" fontId="77" fillId="18" borderId="1" xfId="12" applyNumberFormat="1" applyFont="1" applyBorder="1" applyAlignment="1">
      <alignment horizontal="left" vertical="top" wrapText="1"/>
    </xf>
    <xf numFmtId="0" fontId="20" fillId="0" borderId="1" xfId="2" applyFont="1" applyBorder="1" applyAlignment="1">
      <alignment horizontal="left"/>
    </xf>
    <xf numFmtId="0" fontId="20" fillId="24" borderId="1" xfId="2" applyFont="1" applyFill="1" applyBorder="1" applyAlignment="1">
      <alignment horizontal="left" vertical="top" wrapText="1"/>
    </xf>
    <xf numFmtId="0" fontId="20" fillId="24" borderId="1" xfId="2" applyFont="1" applyFill="1" applyBorder="1" applyAlignment="1">
      <alignment horizontal="left"/>
    </xf>
    <xf numFmtId="0" fontId="78" fillId="25" borderId="1" xfId="2" applyFont="1" applyFill="1" applyBorder="1" applyAlignment="1">
      <alignment horizontal="left" vertical="top" wrapText="1"/>
    </xf>
    <xf numFmtId="0" fontId="20" fillId="26" borderId="1" xfId="2" applyFont="1" applyFill="1" applyBorder="1" applyAlignment="1">
      <alignment horizontal="left" vertical="top" wrapText="1"/>
    </xf>
    <xf numFmtId="0" fontId="20" fillId="26" borderId="1" xfId="2" applyFont="1" applyFill="1" applyBorder="1" applyAlignment="1">
      <alignment horizontal="left"/>
    </xf>
    <xf numFmtId="0" fontId="69" fillId="20" borderId="1" xfId="13" applyFont="1" applyFill="1" applyBorder="1" applyAlignment="1">
      <alignment horizontal="center" vertical="center"/>
    </xf>
    <xf numFmtId="0" fontId="20" fillId="0" borderId="28" xfId="13" applyBorder="1"/>
    <xf numFmtId="0" fontId="20" fillId="0" borderId="0" xfId="13"/>
    <xf numFmtId="0" fontId="79" fillId="0" borderId="14" xfId="13" applyFont="1" applyBorder="1"/>
    <xf numFmtId="0" fontId="79" fillId="0" borderId="0" xfId="13" applyFont="1"/>
    <xf numFmtId="0" fontId="20" fillId="0" borderId="14" xfId="13" applyBorder="1"/>
    <xf numFmtId="0" fontId="20" fillId="0" borderId="0" xfId="13" applyAlignment="1">
      <alignment horizontal="left"/>
    </xf>
    <xf numFmtId="0" fontId="20" fillId="0" borderId="41" xfId="13" applyBorder="1" applyAlignment="1">
      <alignment horizontal="left"/>
    </xf>
    <xf numFmtId="0" fontId="20" fillId="0" borderId="29" xfId="2" applyFont="1" applyBorder="1"/>
    <xf numFmtId="164" fontId="79" fillId="0" borderId="0" xfId="13" applyNumberFormat="1" applyFont="1"/>
    <xf numFmtId="164" fontId="20" fillId="0" borderId="0" xfId="13" applyNumberFormat="1"/>
    <xf numFmtId="0" fontId="20" fillId="0" borderId="0" xfId="2" applyFont="1" applyAlignment="1">
      <alignment horizontal="left"/>
    </xf>
    <xf numFmtId="0" fontId="20" fillId="0" borderId="41" xfId="2" applyFont="1" applyBorder="1" applyAlignment="1">
      <alignment horizontal="left"/>
    </xf>
    <xf numFmtId="3" fontId="20" fillId="0" borderId="0" xfId="13" applyNumberFormat="1"/>
    <xf numFmtId="3" fontId="79" fillId="0" borderId="0" xfId="13" applyNumberFormat="1" applyFont="1"/>
    <xf numFmtId="167" fontId="20" fillId="0" borderId="0" xfId="13" applyNumberFormat="1"/>
    <xf numFmtId="167" fontId="79" fillId="0" borderId="0" xfId="13" applyNumberFormat="1" applyFont="1"/>
    <xf numFmtId="0" fontId="79" fillId="0" borderId="14" xfId="2" applyFont="1" applyBorder="1"/>
    <xf numFmtId="167" fontId="79" fillId="0" borderId="0" xfId="2" applyNumberFormat="1" applyFont="1"/>
    <xf numFmtId="0" fontId="79" fillId="0" borderId="0" xfId="2" applyFont="1"/>
    <xf numFmtId="0" fontId="79" fillId="0" borderId="0" xfId="2" applyFont="1" applyAlignment="1">
      <alignment horizontal="left"/>
    </xf>
    <xf numFmtId="0" fontId="79" fillId="0" borderId="41" xfId="2" applyFont="1" applyBorder="1" applyAlignment="1">
      <alignment horizontal="left"/>
    </xf>
    <xf numFmtId="4" fontId="20" fillId="0" borderId="0" xfId="13" applyNumberFormat="1"/>
    <xf numFmtId="4" fontId="79" fillId="0" borderId="0" xfId="13" applyNumberFormat="1" applyFont="1"/>
    <xf numFmtId="4" fontId="20" fillId="0" borderId="0" xfId="2" applyNumberFormat="1" applyFont="1"/>
    <xf numFmtId="0" fontId="20" fillId="0" borderId="41" xfId="13" applyBorder="1"/>
    <xf numFmtId="0" fontId="20" fillId="0" borderId="31" xfId="13" applyBorder="1"/>
    <xf numFmtId="167" fontId="20" fillId="0" borderId="40" xfId="13" applyNumberFormat="1" applyBorder="1"/>
    <xf numFmtId="0" fontId="20" fillId="0" borderId="40" xfId="13" applyBorder="1"/>
    <xf numFmtId="0" fontId="2" fillId="27" borderId="0" xfId="0" applyFont="1" applyFill="1"/>
    <xf numFmtId="0" fontId="2" fillId="27" borderId="0" xfId="0" applyFont="1" applyFill="1" applyAlignment="1">
      <alignment vertical="center" wrapText="1"/>
    </xf>
    <xf numFmtId="0" fontId="2" fillId="27" borderId="0" xfId="0" applyFont="1" applyFill="1" applyAlignment="1">
      <alignment wrapText="1"/>
    </xf>
    <xf numFmtId="9" fontId="2" fillId="0" borderId="0" xfId="3" applyFont="1"/>
    <xf numFmtId="9" fontId="2" fillId="0" borderId="0" xfId="0" applyNumberFormat="1" applyFont="1"/>
    <xf numFmtId="0" fontId="19" fillId="0" borderId="0" xfId="1" applyAlignment="1">
      <alignment horizontal="left"/>
    </xf>
    <xf numFmtId="0" fontId="85" fillId="9" borderId="0" xfId="0" applyFont="1" applyFill="1"/>
    <xf numFmtId="0" fontId="86" fillId="0" borderId="0" xfId="14"/>
    <xf numFmtId="0" fontId="89" fillId="0" borderId="25" xfId="0" applyFont="1" applyBorder="1"/>
    <xf numFmtId="0" fontId="90" fillId="0" borderId="1" xfId="0" applyFont="1" applyBorder="1"/>
    <xf numFmtId="0" fontId="90" fillId="0" borderId="27" xfId="0" applyFont="1" applyBorder="1"/>
    <xf numFmtId="0" fontId="89" fillId="0" borderId="26" xfId="0" applyFont="1" applyBorder="1"/>
    <xf numFmtId="0" fontId="90" fillId="0" borderId="2" xfId="0" applyFont="1" applyBorder="1"/>
    <xf numFmtId="0" fontId="90" fillId="0" borderId="28" xfId="0" applyFont="1" applyBorder="1"/>
    <xf numFmtId="0" fontId="91" fillId="0" borderId="29" xfId="0" applyFont="1" applyBorder="1"/>
    <xf numFmtId="0" fontId="4" fillId="0" borderId="24" xfId="0" applyFont="1" applyBorder="1"/>
    <xf numFmtId="0" fontId="4" fillId="0" borderId="31" xfId="0" applyFont="1" applyBorder="1"/>
    <xf numFmtId="0" fontId="67" fillId="0" borderId="0" xfId="2" applyFont="1"/>
    <xf numFmtId="0" fontId="4" fillId="0" borderId="27" xfId="0" applyFont="1" applyBorder="1"/>
    <xf numFmtId="0" fontId="91" fillId="0" borderId="25" xfId="0" applyFont="1" applyBorder="1"/>
    <xf numFmtId="0" fontId="4" fillId="0" borderId="1" xfId="0" applyFont="1" applyBorder="1"/>
    <xf numFmtId="17" fontId="0" fillId="0" borderId="0" xfId="0" applyNumberFormat="1"/>
    <xf numFmtId="0" fontId="0" fillId="0" borderId="43" xfId="0" applyBorder="1"/>
    <xf numFmtId="0" fontId="0" fillId="0" borderId="43" xfId="0" applyBorder="1" applyAlignment="1">
      <alignment horizontal="left"/>
    </xf>
    <xf numFmtId="0" fontId="0" fillId="0" borderId="46" xfId="0" applyBorder="1" applyAlignment="1">
      <alignment horizontal="left"/>
    </xf>
    <xf numFmtId="14" fontId="0" fillId="0" borderId="0" xfId="0" applyNumberFormat="1" applyAlignment="1">
      <alignment horizontal="left"/>
    </xf>
    <xf numFmtId="0" fontId="12" fillId="0" borderId="0" xfId="0" applyFont="1" applyAlignment="1">
      <alignment horizontal="left"/>
    </xf>
    <xf numFmtId="0" fontId="0" fillId="0" borderId="44" xfId="0" applyBorder="1" applyAlignment="1">
      <alignment horizontal="left"/>
    </xf>
    <xf numFmtId="0" fontId="0" fillId="0" borderId="43" xfId="0" applyBorder="1" applyAlignment="1">
      <alignment horizontal="left" indent="1"/>
    </xf>
    <xf numFmtId="0" fontId="0" fillId="0" borderId="45" xfId="0" applyBorder="1" applyAlignment="1">
      <alignment horizontal="left"/>
    </xf>
    <xf numFmtId="0" fontId="0" fillId="0" borderId="46" xfId="0" applyBorder="1" applyAlignment="1">
      <alignment horizontal="left" indent="1"/>
    </xf>
    <xf numFmtId="0" fontId="87" fillId="28" borderId="39" xfId="15" applyAlignment="1">
      <alignment horizontal="left"/>
    </xf>
    <xf numFmtId="0" fontId="88" fillId="0" borderId="0" xfId="0" applyFont="1" applyAlignment="1">
      <alignment horizontal="left"/>
    </xf>
    <xf numFmtId="165" fontId="92" fillId="0" borderId="0" xfId="0" applyNumberFormat="1" applyFont="1" applyAlignment="1">
      <alignment horizontal="left"/>
    </xf>
    <xf numFmtId="165" fontId="0" fillId="0" borderId="43" xfId="0" applyNumberFormat="1" applyBorder="1" applyAlignment="1">
      <alignment horizontal="left"/>
    </xf>
    <xf numFmtId="165" fontId="96" fillId="0" borderId="0" xfId="0" applyNumberFormat="1" applyFont="1" applyAlignment="1">
      <alignment horizontal="left"/>
    </xf>
    <xf numFmtId="166" fontId="92" fillId="0" borderId="0" xfId="0" applyNumberFormat="1" applyFont="1" applyAlignment="1">
      <alignment horizontal="left"/>
    </xf>
    <xf numFmtId="166" fontId="0" fillId="0" borderId="43" xfId="0" applyNumberFormat="1" applyBorder="1" applyAlignment="1">
      <alignment horizontal="left"/>
    </xf>
    <xf numFmtId="166" fontId="93" fillId="0" borderId="0" xfId="0" applyNumberFormat="1" applyFont="1" applyAlignment="1">
      <alignment horizontal="left"/>
    </xf>
    <xf numFmtId="166" fontId="0" fillId="0" borderId="46" xfId="0" applyNumberFormat="1" applyBorder="1" applyAlignment="1">
      <alignment horizontal="left"/>
    </xf>
    <xf numFmtId="0" fontId="92" fillId="0" borderId="0" xfId="0" applyFont="1" applyAlignment="1">
      <alignment horizontal="left" indent="1"/>
    </xf>
    <xf numFmtId="0" fontId="93" fillId="0" borderId="0" xfId="0" applyFont="1" applyAlignment="1">
      <alignment horizontal="left" indent="1"/>
    </xf>
    <xf numFmtId="0" fontId="96" fillId="0" borderId="0" xfId="0" applyFont="1" applyAlignment="1">
      <alignment horizontal="left" indent="1"/>
    </xf>
    <xf numFmtId="0" fontId="92" fillId="0" borderId="0" xfId="0" applyFont="1"/>
    <xf numFmtId="0" fontId="12" fillId="0" borderId="43" xfId="0" applyFont="1" applyBorder="1"/>
    <xf numFmtId="0" fontId="96" fillId="0" borderId="0" xfId="0" applyFont="1" applyAlignment="1">
      <alignment vertical="top"/>
    </xf>
    <xf numFmtId="0" fontId="92" fillId="0" borderId="0" xfId="0" applyFont="1" applyAlignment="1">
      <alignment horizontal="right"/>
    </xf>
    <xf numFmtId="0" fontId="96" fillId="0" borderId="0" xfId="0" applyFont="1" applyAlignment="1">
      <alignment horizontal="right" vertical="top"/>
    </xf>
    <xf numFmtId="0" fontId="95" fillId="0" borderId="0" xfId="0" applyFont="1" applyAlignment="1">
      <alignment horizontal="left"/>
    </xf>
    <xf numFmtId="0" fontId="92" fillId="0" borderId="0" xfId="0" applyFont="1" applyAlignment="1">
      <alignment horizontal="left"/>
    </xf>
    <xf numFmtId="0" fontId="94" fillId="0" borderId="0" xfId="0" applyFont="1" applyAlignment="1">
      <alignment horizontal="left"/>
    </xf>
    <xf numFmtId="0" fontId="97" fillId="0" borderId="0" xfId="0" applyFont="1" applyAlignment="1">
      <alignment horizontal="left"/>
    </xf>
    <xf numFmtId="0" fontId="20" fillId="0" borderId="0" xfId="0" applyFont="1"/>
    <xf numFmtId="0" fontId="12" fillId="0" borderId="43" xfId="0" applyFont="1" applyBorder="1" applyAlignment="1">
      <alignment horizontal="left"/>
    </xf>
    <xf numFmtId="0" fontId="20" fillId="0" borderId="43" xfId="0" applyFont="1" applyBorder="1"/>
    <xf numFmtId="0" fontId="12" fillId="0" borderId="15" xfId="0" applyFont="1" applyBorder="1"/>
    <xf numFmtId="0" fontId="0" fillId="0" borderId="43" xfId="0" applyBorder="1" applyAlignment="1">
      <alignment horizontal="center"/>
    </xf>
    <xf numFmtId="0" fontId="20" fillId="0" borderId="43" xfId="0" applyFont="1" applyBorder="1" applyAlignment="1">
      <alignment horizontal="center"/>
    </xf>
    <xf numFmtId="0" fontId="20" fillId="0" borderId="15" xfId="0" applyFont="1" applyBorder="1" applyAlignment="1">
      <alignment horizontal="center"/>
    </xf>
    <xf numFmtId="3" fontId="22" fillId="0" borderId="0" xfId="0" applyNumberFormat="1" applyFont="1"/>
    <xf numFmtId="0" fontId="22" fillId="0" borderId="0" xfId="0" applyFont="1"/>
    <xf numFmtId="0" fontId="22" fillId="29" borderId="47" xfId="0" applyFont="1" applyFill="1" applyBorder="1" applyAlignment="1">
      <alignment horizontal="right"/>
    </xf>
    <xf numFmtId="0" fontId="2" fillId="0" borderId="0" xfId="7" applyFill="1"/>
    <xf numFmtId="0" fontId="99" fillId="0" borderId="0" xfId="0" applyFont="1"/>
    <xf numFmtId="0" fontId="99" fillId="0" borderId="0" xfId="0" applyFont="1" applyAlignment="1">
      <alignment vertical="top"/>
    </xf>
    <xf numFmtId="2" fontId="99" fillId="0" borderId="0" xfId="0" applyNumberFormat="1" applyFont="1"/>
    <xf numFmtId="2" fontId="99" fillId="2" borderId="0" xfId="3" applyNumberFormat="1" applyFont="1" applyFill="1" applyBorder="1"/>
    <xf numFmtId="0" fontId="100" fillId="0" borderId="0" xfId="0" applyFont="1" applyAlignment="1">
      <alignment vertical="center" wrapText="1"/>
    </xf>
    <xf numFmtId="0" fontId="100" fillId="0" borderId="2" xfId="0" applyFont="1" applyBorder="1" applyAlignment="1">
      <alignment vertical="center" wrapText="1"/>
    </xf>
    <xf numFmtId="0" fontId="99" fillId="0" borderId="0" xfId="0" applyFont="1" applyAlignment="1">
      <alignment vertical="center" wrapText="1"/>
    </xf>
    <xf numFmtId="0" fontId="99" fillId="10" borderId="0" xfId="7" applyFont="1"/>
    <xf numFmtId="2" fontId="99" fillId="4" borderId="0" xfId="3" applyNumberFormat="1" applyFont="1" applyFill="1" applyBorder="1"/>
    <xf numFmtId="9" fontId="99" fillId="10" borderId="0" xfId="3" applyFont="1" applyFill="1"/>
    <xf numFmtId="0" fontId="99" fillId="10" borderId="0" xfId="0" applyFont="1" applyFill="1"/>
    <xf numFmtId="0" fontId="101" fillId="0" borderId="0" xfId="0" applyFont="1"/>
    <xf numFmtId="0" fontId="102" fillId="0" borderId="0" xfId="0" applyFont="1"/>
    <xf numFmtId="2" fontId="57" fillId="0" borderId="0" xfId="0" applyNumberFormat="1" applyFont="1"/>
    <xf numFmtId="2" fontId="2" fillId="0" borderId="0" xfId="0" applyNumberFormat="1" applyFont="1"/>
    <xf numFmtId="164" fontId="2" fillId="0" borderId="0" xfId="0" applyNumberFormat="1" applyFont="1"/>
    <xf numFmtId="164" fontId="2" fillId="0" borderId="0" xfId="0" applyNumberFormat="1" applyFont="1" applyAlignment="1">
      <alignment wrapText="1"/>
    </xf>
    <xf numFmtId="2" fontId="2" fillId="0" borderId="0" xfId="0" applyNumberFormat="1" applyFont="1" applyAlignment="1">
      <alignment wrapText="1"/>
    </xf>
    <xf numFmtId="170" fontId="0" fillId="0" borderId="0" xfId="0" applyNumberFormat="1" applyAlignment="1">
      <alignment horizontal="left"/>
    </xf>
    <xf numFmtId="170" fontId="92" fillId="0" borderId="0" xfId="0" applyNumberFormat="1" applyFont="1" applyAlignment="1">
      <alignment horizontal="left"/>
    </xf>
    <xf numFmtId="170" fontId="0" fillId="0" borderId="43" xfId="0" applyNumberFormat="1" applyBorder="1" applyAlignment="1">
      <alignment horizontal="left"/>
    </xf>
    <xf numFmtId="170" fontId="0" fillId="0" borderId="46" xfId="0" applyNumberFormat="1" applyBorder="1" applyAlignment="1">
      <alignment horizontal="left"/>
    </xf>
    <xf numFmtId="0" fontId="13" fillId="0" borderId="6" xfId="0" applyFont="1" applyBorder="1" applyAlignment="1">
      <alignment horizontal="center" vertical="center" wrapText="1"/>
    </xf>
    <xf numFmtId="0" fontId="13" fillId="0" borderId="7" xfId="0" applyFont="1" applyBorder="1" applyAlignment="1">
      <alignment horizontal="center" vertical="center" wrapText="1"/>
    </xf>
    <xf numFmtId="0" fontId="13" fillId="0" borderId="8" xfId="0" applyFont="1" applyBorder="1" applyAlignment="1">
      <alignment horizontal="center" vertical="center" wrapText="1"/>
    </xf>
    <xf numFmtId="0" fontId="13" fillId="0" borderId="9" xfId="0" applyFont="1" applyBorder="1" applyAlignment="1">
      <alignment horizontal="center" vertical="center" wrapText="1"/>
    </xf>
    <xf numFmtId="0" fontId="13" fillId="0" borderId="0" xfId="0" applyFont="1" applyAlignment="1">
      <alignment horizontal="center" vertical="center" wrapText="1"/>
    </xf>
    <xf numFmtId="0" fontId="13" fillId="0" borderId="10" xfId="0" applyFont="1" applyBorder="1" applyAlignment="1">
      <alignment horizontal="center" vertical="center" wrapText="1"/>
    </xf>
    <xf numFmtId="0" fontId="13" fillId="0" borderId="11" xfId="0" applyFont="1" applyBorder="1" applyAlignment="1">
      <alignment horizontal="center" vertical="center" wrapText="1"/>
    </xf>
    <xf numFmtId="0" fontId="13" fillId="0" borderId="12" xfId="0" applyFont="1" applyBorder="1" applyAlignment="1">
      <alignment horizontal="center" vertical="center" wrapText="1"/>
    </xf>
    <xf numFmtId="0" fontId="13" fillId="0" borderId="13" xfId="0" applyFont="1" applyBorder="1" applyAlignment="1">
      <alignment horizontal="center" vertical="center" wrapText="1"/>
    </xf>
    <xf numFmtId="0" fontId="67" fillId="21" borderId="6" xfId="2" applyFont="1" applyFill="1" applyBorder="1" applyAlignment="1">
      <alignment horizontal="center"/>
    </xf>
    <xf numFmtId="0" fontId="67" fillId="21" borderId="7" xfId="2" applyFont="1" applyFill="1" applyBorder="1" applyAlignment="1">
      <alignment horizontal="center"/>
    </xf>
    <xf numFmtId="0" fontId="67" fillId="21" borderId="8" xfId="2" applyFont="1" applyFill="1" applyBorder="1" applyAlignment="1">
      <alignment horizontal="center"/>
    </xf>
    <xf numFmtId="0" fontId="67" fillId="21" borderId="11" xfId="2" applyFont="1" applyFill="1" applyBorder="1" applyAlignment="1">
      <alignment horizontal="center"/>
    </xf>
    <xf numFmtId="0" fontId="67" fillId="21" borderId="12" xfId="2" applyFont="1" applyFill="1" applyBorder="1" applyAlignment="1">
      <alignment horizontal="center"/>
    </xf>
    <xf numFmtId="0" fontId="67" fillId="21" borderId="13" xfId="2" applyFont="1" applyFill="1" applyBorder="1" applyAlignment="1">
      <alignment horizontal="center"/>
    </xf>
    <xf numFmtId="169" fontId="50" fillId="0" borderId="0" xfId="0" applyNumberFormat="1" applyFont="1" applyAlignment="1">
      <alignment horizontal="center"/>
    </xf>
    <xf numFmtId="0" fontId="69" fillId="23" borderId="28" xfId="2" applyFont="1" applyFill="1" applyBorder="1" applyAlignment="1">
      <alignment horizontal="center" vertical="center"/>
    </xf>
    <xf numFmtId="0" fontId="69" fillId="23" borderId="26" xfId="2" applyFont="1" applyFill="1" applyBorder="1" applyAlignment="1">
      <alignment horizontal="center" vertical="center"/>
    </xf>
    <xf numFmtId="0" fontId="69" fillId="23" borderId="14" xfId="2" applyFont="1" applyFill="1" applyBorder="1" applyAlignment="1">
      <alignment horizontal="center" vertical="center"/>
    </xf>
    <xf numFmtId="0" fontId="69" fillId="23" borderId="41" xfId="2" applyFont="1" applyFill="1" applyBorder="1" applyAlignment="1">
      <alignment horizontal="center" vertical="center"/>
    </xf>
    <xf numFmtId="0" fontId="69" fillId="23" borderId="31" xfId="2" applyFont="1" applyFill="1" applyBorder="1" applyAlignment="1">
      <alignment horizontal="center" vertical="center"/>
    </xf>
    <xf numFmtId="0" fontId="69" fillId="23" borderId="29" xfId="2" applyFont="1" applyFill="1" applyBorder="1" applyAlignment="1">
      <alignment horizontal="center" vertical="center"/>
    </xf>
    <xf numFmtId="0" fontId="20" fillId="0" borderId="28" xfId="2" applyFont="1" applyBorder="1" applyAlignment="1">
      <alignment horizontal="left" vertical="top" wrapText="1"/>
    </xf>
    <xf numFmtId="0" fontId="20" fillId="0" borderId="33" xfId="2" applyFont="1" applyBorder="1" applyAlignment="1">
      <alignment horizontal="left" vertical="top" wrapText="1"/>
    </xf>
    <xf numFmtId="0" fontId="20" fillId="0" borderId="26" xfId="2" applyFont="1" applyBorder="1" applyAlignment="1">
      <alignment horizontal="left" vertical="top" wrapText="1"/>
    </xf>
    <xf numFmtId="0" fontId="20" fillId="0" borderId="14" xfId="2" applyFont="1" applyBorder="1" applyAlignment="1">
      <alignment horizontal="left" vertical="top" wrapText="1"/>
    </xf>
    <xf numFmtId="0" fontId="20" fillId="0" borderId="0" xfId="2" applyFont="1" applyAlignment="1">
      <alignment horizontal="left" vertical="top" wrapText="1"/>
    </xf>
    <xf numFmtId="0" fontId="20" fillId="0" borderId="41" xfId="2" applyFont="1" applyBorder="1" applyAlignment="1">
      <alignment horizontal="left" vertical="top" wrapText="1"/>
    </xf>
    <xf numFmtId="0" fontId="20" fillId="0" borderId="31" xfId="2" applyFont="1" applyBorder="1" applyAlignment="1">
      <alignment horizontal="left" vertical="top" wrapText="1"/>
    </xf>
    <xf numFmtId="0" fontId="20" fillId="0" borderId="40" xfId="2" applyFont="1" applyBorder="1" applyAlignment="1">
      <alignment horizontal="left" vertical="top" wrapText="1"/>
    </xf>
    <xf numFmtId="0" fontId="20" fillId="0" borderId="29" xfId="2" applyFont="1" applyBorder="1" applyAlignment="1">
      <alignment horizontal="left" vertical="top" wrapText="1"/>
    </xf>
    <xf numFmtId="0" fontId="20" fillId="0" borderId="28" xfId="2" applyFont="1" applyBorder="1" applyAlignment="1">
      <alignment horizontal="center" wrapText="1"/>
    </xf>
    <xf numFmtId="0" fontId="20" fillId="0" borderId="33" xfId="2" applyFont="1" applyBorder="1" applyAlignment="1">
      <alignment horizontal="center" wrapText="1"/>
    </xf>
    <xf numFmtId="0" fontId="20" fillId="0" borderId="26" xfId="2" applyFont="1" applyBorder="1" applyAlignment="1">
      <alignment horizontal="center" wrapText="1"/>
    </xf>
    <xf numFmtId="0" fontId="20" fillId="0" borderId="31" xfId="2" applyFont="1" applyBorder="1" applyAlignment="1">
      <alignment horizontal="center" wrapText="1"/>
    </xf>
    <xf numFmtId="0" fontId="20" fillId="0" borderId="40" xfId="2" applyFont="1" applyBorder="1" applyAlignment="1">
      <alignment horizontal="center" wrapText="1"/>
    </xf>
    <xf numFmtId="0" fontId="20" fillId="0" borderId="29" xfId="2" applyFont="1" applyBorder="1" applyAlignment="1">
      <alignment horizontal="center" wrapText="1"/>
    </xf>
    <xf numFmtId="0" fontId="68" fillId="22" borderId="6" xfId="2" applyFont="1" applyFill="1" applyBorder="1" applyAlignment="1">
      <alignment horizontal="center" vertical="center"/>
    </xf>
    <xf numFmtId="0" fontId="68" fillId="22" borderId="7" xfId="2" applyFont="1" applyFill="1" applyBorder="1" applyAlignment="1">
      <alignment horizontal="center" vertical="center"/>
    </xf>
    <xf numFmtId="0" fontId="68" fillId="22" borderId="8" xfId="2" applyFont="1" applyFill="1" applyBorder="1" applyAlignment="1">
      <alignment horizontal="center" vertical="center"/>
    </xf>
    <xf numFmtId="0" fontId="68" fillId="22" borderId="11" xfId="2" applyFont="1" applyFill="1" applyBorder="1" applyAlignment="1">
      <alignment horizontal="center" vertical="center"/>
    </xf>
    <xf numFmtId="0" fontId="68" fillId="22" borderId="12" xfId="2" applyFont="1" applyFill="1" applyBorder="1" applyAlignment="1">
      <alignment horizontal="center" vertical="center"/>
    </xf>
    <xf numFmtId="0" fontId="68" fillId="22" borderId="13" xfId="2" applyFont="1" applyFill="1" applyBorder="1" applyAlignment="1">
      <alignment horizontal="center" vertical="center"/>
    </xf>
    <xf numFmtId="0" fontId="20" fillId="0" borderId="27" xfId="2" applyFont="1" applyBorder="1" applyAlignment="1">
      <alignment horizontal="center"/>
    </xf>
    <xf numFmtId="0" fontId="20" fillId="0" borderId="25" xfId="2" applyFont="1" applyBorder="1" applyAlignment="1">
      <alignment horizontal="center"/>
    </xf>
    <xf numFmtId="0" fontId="20" fillId="0" borderId="31" xfId="2" applyFont="1" applyBorder="1" applyAlignment="1">
      <alignment horizontal="center"/>
    </xf>
    <xf numFmtId="0" fontId="20" fillId="0" borderId="29" xfId="2" applyFont="1" applyBorder="1" applyAlignment="1">
      <alignment horizontal="center"/>
    </xf>
    <xf numFmtId="0" fontId="20" fillId="0" borderId="14" xfId="2" applyFont="1" applyBorder="1" applyAlignment="1">
      <alignment horizontal="center" vertical="top" wrapText="1"/>
    </xf>
    <xf numFmtId="0" fontId="20" fillId="0" borderId="0" xfId="2" applyFont="1" applyAlignment="1">
      <alignment horizontal="center" vertical="top" wrapText="1"/>
    </xf>
    <xf numFmtId="0" fontId="20" fillId="0" borderId="41" xfId="2" applyFont="1" applyBorder="1" applyAlignment="1">
      <alignment horizontal="center" vertical="top" wrapText="1"/>
    </xf>
    <xf numFmtId="0" fontId="20" fillId="0" borderId="2" xfId="2" applyFont="1" applyBorder="1" applyAlignment="1">
      <alignment horizontal="center" vertical="top" wrapText="1"/>
    </xf>
    <xf numFmtId="0" fontId="20" fillId="0" borderId="24" xfId="2" applyFont="1" applyBorder="1" applyAlignment="1">
      <alignment horizontal="center" vertical="top" wrapText="1"/>
    </xf>
    <xf numFmtId="0" fontId="20" fillId="0" borderId="0" xfId="13" applyAlignment="1">
      <alignment horizontal="left"/>
    </xf>
    <xf numFmtId="0" fontId="20" fillId="0" borderId="41" xfId="13" applyBorder="1" applyAlignment="1">
      <alignment horizontal="left"/>
    </xf>
    <xf numFmtId="0" fontId="69" fillId="20" borderId="1" xfId="13" applyFont="1" applyFill="1" applyBorder="1" applyAlignment="1">
      <alignment horizontal="center" vertical="center"/>
    </xf>
    <xf numFmtId="0" fontId="20" fillId="0" borderId="33" xfId="13" applyBorder="1" applyAlignment="1">
      <alignment horizontal="left"/>
    </xf>
    <xf numFmtId="0" fontId="20" fillId="0" borderId="26" xfId="13" applyBorder="1" applyAlignment="1">
      <alignment horizontal="left"/>
    </xf>
    <xf numFmtId="0" fontId="79" fillId="0" borderId="0" xfId="13" applyFont="1" applyAlignment="1">
      <alignment horizontal="left"/>
    </xf>
    <xf numFmtId="0" fontId="79" fillId="0" borderId="41" xfId="13" applyFont="1" applyBorder="1" applyAlignment="1">
      <alignment horizontal="left"/>
    </xf>
    <xf numFmtId="0" fontId="20" fillId="0" borderId="40" xfId="13" applyBorder="1" applyAlignment="1">
      <alignment horizontal="left"/>
    </xf>
    <xf numFmtId="0" fontId="20" fillId="0" borderId="29" xfId="13" applyBorder="1" applyAlignment="1">
      <alignment horizontal="left"/>
    </xf>
    <xf numFmtId="0" fontId="27" fillId="12" borderId="32" xfId="2" applyFont="1" applyFill="1" applyBorder="1" applyAlignment="1">
      <alignment horizontal="center" vertical="center" wrapText="1"/>
    </xf>
    <xf numFmtId="0" fontId="27" fillId="12" borderId="33" xfId="2" applyFont="1" applyFill="1" applyBorder="1" applyAlignment="1">
      <alignment horizontal="center" vertical="center" wrapText="1"/>
    </xf>
    <xf numFmtId="0" fontId="27" fillId="12" borderId="35" xfId="2" applyFont="1" applyFill="1" applyBorder="1" applyAlignment="1">
      <alignment horizontal="center" vertical="center" wrapText="1"/>
    </xf>
    <xf numFmtId="0" fontId="27" fillId="12" borderId="34" xfId="2" applyFont="1" applyFill="1" applyBorder="1" applyAlignment="1">
      <alignment horizontal="center" vertical="center" wrapText="1"/>
    </xf>
    <xf numFmtId="0" fontId="27" fillId="12" borderId="0" xfId="2" applyFont="1" applyFill="1" applyAlignment="1">
      <alignment horizontal="center" vertical="center" wrapText="1"/>
    </xf>
    <xf numFmtId="0" fontId="27" fillId="12" borderId="20" xfId="2" applyFont="1" applyFill="1" applyBorder="1" applyAlignment="1">
      <alignment horizontal="center" vertical="center" wrapText="1"/>
    </xf>
    <xf numFmtId="0" fontId="25" fillId="0" borderId="16" xfId="2" applyFont="1" applyBorder="1" applyAlignment="1">
      <alignment horizontal="center" vertical="center" wrapText="1"/>
    </xf>
    <xf numFmtId="0" fontId="25" fillId="0" borderId="17" xfId="2" applyFont="1" applyBorder="1" applyAlignment="1">
      <alignment horizontal="center" vertical="center" wrapText="1"/>
    </xf>
    <xf numFmtId="0" fontId="25" fillId="0" borderId="18" xfId="2" applyFont="1" applyBorder="1" applyAlignment="1">
      <alignment horizontal="center" vertical="center" wrapText="1"/>
    </xf>
    <xf numFmtId="0" fontId="25" fillId="0" borderId="19" xfId="2" applyFont="1" applyBorder="1" applyAlignment="1">
      <alignment horizontal="center" vertical="center" wrapText="1"/>
    </xf>
    <xf numFmtId="0" fontId="5" fillId="5" borderId="0" xfId="0" applyFont="1" applyFill="1" applyAlignment="1">
      <alignment horizontal="left" vertical="center"/>
    </xf>
    <xf numFmtId="0" fontId="6" fillId="5" borderId="0" xfId="0" applyFont="1" applyFill="1" applyAlignment="1">
      <alignment horizontal="left" vertical="center" wrapText="1"/>
    </xf>
    <xf numFmtId="0" fontId="0" fillId="0" borderId="0" xfId="0" applyAlignment="1">
      <alignment horizontal="left"/>
    </xf>
    <xf numFmtId="0" fontId="7" fillId="0" borderId="0" xfId="0" applyFont="1" applyAlignment="1">
      <alignment horizontal="center" vertical="center"/>
    </xf>
    <xf numFmtId="0" fontId="11" fillId="9" borderId="14" xfId="0" applyFont="1" applyFill="1" applyBorder="1" applyAlignment="1">
      <alignment horizontal="left"/>
    </xf>
    <xf numFmtId="0" fontId="11" fillId="9" borderId="0" xfId="0" applyFont="1" applyFill="1" applyAlignment="1">
      <alignment horizontal="left"/>
    </xf>
    <xf numFmtId="0" fontId="11" fillId="7" borderId="14" xfId="0" applyFont="1" applyFill="1" applyBorder="1" applyAlignment="1">
      <alignment vertical="center" wrapText="1"/>
    </xf>
    <xf numFmtId="0" fontId="11" fillId="7" borderId="0" xfId="0" applyFont="1" applyFill="1" applyAlignment="1">
      <alignment vertical="center" wrapText="1"/>
    </xf>
    <xf numFmtId="0" fontId="103" fillId="0" borderId="0" xfId="0" applyFont="1"/>
    <xf numFmtId="0" fontId="57" fillId="4" borderId="0" xfId="5" applyFont="1" applyBorder="1" applyAlignment="1">
      <alignment wrapText="1"/>
    </xf>
    <xf numFmtId="0" fontId="57" fillId="9" borderId="0" xfId="5" applyFont="1" applyFill="1" applyBorder="1" applyAlignment="1">
      <alignment wrapText="1"/>
    </xf>
    <xf numFmtId="0" fontId="103" fillId="0" borderId="0" xfId="0" applyFont="1" applyAlignment="1">
      <alignment wrapText="1"/>
    </xf>
    <xf numFmtId="0" fontId="60" fillId="0" borderId="0" xfId="0" applyFont="1"/>
    <xf numFmtId="9" fontId="57" fillId="0" borderId="0" xfId="3" applyFont="1"/>
    <xf numFmtId="0" fontId="104" fillId="15" borderId="0" xfId="0" applyFont="1" applyFill="1" applyAlignment="1">
      <alignment horizontal="left" vertical="center" wrapText="1"/>
    </xf>
    <xf numFmtId="0" fontId="104" fillId="0" borderId="0" xfId="0" applyFont="1"/>
    <xf numFmtId="0" fontId="105" fillId="0" borderId="1" xfId="0" applyFont="1" applyFill="1" applyBorder="1" applyAlignment="1">
      <alignment wrapText="1"/>
    </xf>
    <xf numFmtId="0" fontId="105" fillId="5" borderId="1" xfId="0" applyFont="1" applyFill="1" applyBorder="1" applyAlignment="1">
      <alignment wrapText="1"/>
    </xf>
    <xf numFmtId="3" fontId="106" fillId="0" borderId="0" xfId="0" applyNumberFormat="1" applyFont="1"/>
    <xf numFmtId="0" fontId="57" fillId="4" borderId="1" xfId="5" applyFont="1"/>
    <xf numFmtId="0" fontId="57" fillId="10" borderId="0" xfId="7" applyFont="1"/>
    <xf numFmtId="0" fontId="107" fillId="0" borderId="0" xfId="0" applyFont="1"/>
    <xf numFmtId="0" fontId="57" fillId="5" borderId="0" xfId="7" applyFont="1" applyFill="1"/>
    <xf numFmtId="0" fontId="108" fillId="10" borderId="0" xfId="7" applyFont="1"/>
    <xf numFmtId="9" fontId="2" fillId="0" borderId="0" xfId="16" applyFont="1"/>
    <xf numFmtId="9" fontId="2" fillId="10" borderId="1" xfId="16" applyFont="1" applyFill="1" applyBorder="1"/>
    <xf numFmtId="9" fontId="46" fillId="4" borderId="0" xfId="16" applyFont="1" applyFill="1" applyBorder="1"/>
    <xf numFmtId="2" fontId="99" fillId="4" borderId="0" xfId="16" applyNumberFormat="1" applyFont="1" applyFill="1" applyBorder="1"/>
    <xf numFmtId="9" fontId="99" fillId="10" borderId="0" xfId="16" applyFont="1" applyFill="1"/>
    <xf numFmtId="2" fontId="99" fillId="2" borderId="0" xfId="16" applyNumberFormat="1" applyFont="1" applyFill="1" applyBorder="1"/>
    <xf numFmtId="2" fontId="2" fillId="2" borderId="0" xfId="16" applyNumberFormat="1" applyFont="1" applyFill="1" applyBorder="1"/>
  </cellXfs>
  <cellStyles count="17">
    <cellStyle name="Bad 2" xfId="9" xr:uid="{39473496-D9A2-D44B-98FA-D4C692E01814}"/>
    <cellStyle name="Calculated" xfId="7" xr:uid="{93ABDDA0-C8D2-EE48-91C8-E23455F116DB}"/>
    <cellStyle name="Calculation" xfId="15" builtinId="22"/>
    <cellStyle name="Comma 2" xfId="4" xr:uid="{7E1F7FBE-24AC-3948-924C-E21CFE4ACA1E}"/>
    <cellStyle name="Good 2" xfId="10" xr:uid="{860232F3-25B9-8241-8186-2B11044D994C}"/>
    <cellStyle name="Hyperlink" xfId="1" builtinId="8"/>
    <cellStyle name="Input 2" xfId="11" xr:uid="{7F37BC18-1AF4-C74A-98AA-4BF34F09EC99}"/>
    <cellStyle name="Mandatory" xfId="5" xr:uid="{3021ABC2-4AAE-0646-A532-98D6A6DA5C7C}"/>
    <cellStyle name="Neutral 2" xfId="12" xr:uid="{A21ED712-833C-ED45-B105-E4D987904A7E}"/>
    <cellStyle name="Normal" xfId="0" builtinId="0"/>
    <cellStyle name="Normal 2" xfId="2" xr:uid="{8CBD5F11-619E-524C-AECE-DD4025D318E8}"/>
    <cellStyle name="Normal 2 2" xfId="13" xr:uid="{76E05730-D483-1C41-88BD-CA76E72BC009}"/>
    <cellStyle name="Normal 3" xfId="8" xr:uid="{1CD177C4-E036-A848-AA52-D4EA9B61014B}"/>
    <cellStyle name="Normal 4" xfId="14" xr:uid="{B658B612-99B4-5E42-97E1-8B231E33437E}"/>
    <cellStyle name="Optional" xfId="6" xr:uid="{3396E276-C836-FC40-B78A-1787C2D06021}"/>
    <cellStyle name="Percent" xfId="3" builtinId="5"/>
    <cellStyle name="Percent 2" xfId="16" xr:uid="{BB6FEAF6-FD78-9E45-868D-5C0B83117456}"/>
  </cellStyles>
  <dxfs count="98">
    <dxf>
      <numFmt numFmtId="171" formatCode=";;;"/>
    </dxf>
    <dxf>
      <numFmt numFmtId="171" formatCode=";;;"/>
    </dxf>
    <dxf>
      <numFmt numFmtId="171" formatCode=";;;"/>
    </dxf>
    <dxf>
      <numFmt numFmtId="171" formatCode=";;;"/>
    </dxf>
    <dxf>
      <numFmt numFmtId="171" formatCode=";;;"/>
    </dxf>
    <dxf>
      <numFmt numFmtId="171" formatCode=";;;"/>
    </dxf>
    <dxf>
      <numFmt numFmtId="171" formatCode=";;;"/>
    </dxf>
    <dxf>
      <fill>
        <patternFill>
          <bgColor rgb="FFFFCD00"/>
        </patternFill>
      </fill>
    </dxf>
    <dxf>
      <alignment horizontal="center" textRotation="0" wrapText="0" indent="0" justifyLastLine="0" shrinkToFit="0" readingOrder="0"/>
    </dxf>
    <dxf>
      <font>
        <b/>
        <i val="0"/>
        <strike val="0"/>
        <condense val="0"/>
        <extend val="0"/>
        <outline val="0"/>
        <shadow val="0"/>
        <u val="none"/>
        <vertAlign val="baseline"/>
        <sz val="11"/>
        <color theme="0"/>
        <name val="Calibri"/>
        <family val="2"/>
        <scheme val="none"/>
      </font>
      <alignment horizontal="center" vertical="top" textRotation="0" wrapText="0" indent="0" justifyLastLine="0" shrinkToFit="0" readingOrder="0"/>
    </dxf>
    <dxf>
      <font>
        <b val="0"/>
        <i val="0"/>
        <strike val="0"/>
        <condense val="0"/>
        <extend val="0"/>
        <outline val="0"/>
        <shadow val="0"/>
        <u val="none"/>
        <vertAlign val="baseline"/>
        <sz val="32"/>
        <color theme="1"/>
        <name val="Aptos Narrow"/>
        <family val="2"/>
        <scheme val="minor"/>
      </font>
      <numFmt numFmtId="0" formatCode="General"/>
      <fill>
        <patternFill patternType="none">
          <fgColor indexed="64"/>
          <bgColor auto="1"/>
        </patternFill>
      </fill>
    </dxf>
    <dxf>
      <font>
        <b val="0"/>
        <i val="0"/>
        <strike val="0"/>
        <condense val="0"/>
        <extend val="0"/>
        <outline val="0"/>
        <shadow val="0"/>
        <u val="none"/>
        <vertAlign val="baseline"/>
        <sz val="32"/>
        <color theme="1"/>
        <name val="Aptos Narrow"/>
        <family val="2"/>
        <scheme val="minor"/>
      </font>
      <fill>
        <patternFill patternType="none">
          <fgColor indexed="64"/>
          <bgColor auto="1"/>
        </patternFill>
      </fill>
    </dxf>
    <dxf>
      <font>
        <b val="0"/>
        <i val="0"/>
        <strike val="0"/>
        <condense val="0"/>
        <extend val="0"/>
        <outline val="0"/>
        <shadow val="0"/>
        <u val="none"/>
        <vertAlign val="baseline"/>
        <sz val="32"/>
        <color theme="1"/>
        <name val="Arial"/>
        <family val="2"/>
        <scheme val="none"/>
      </font>
      <fill>
        <patternFill patternType="none">
          <fgColor indexed="64"/>
          <bgColor auto="1"/>
        </patternFill>
      </fill>
    </dxf>
    <dxf>
      <font>
        <b val="0"/>
        <i val="0"/>
        <strike val="0"/>
        <condense val="0"/>
        <extend val="0"/>
        <outline val="0"/>
        <shadow val="0"/>
        <u val="none"/>
        <vertAlign val="baseline"/>
        <sz val="32"/>
        <color theme="1"/>
        <name val="Arial"/>
        <family val="2"/>
        <scheme val="none"/>
      </font>
      <fill>
        <patternFill patternType="none">
          <fgColor indexed="64"/>
          <bgColor auto="1"/>
        </patternFill>
      </fill>
    </dxf>
    <dxf>
      <font>
        <b val="0"/>
        <i val="0"/>
        <strike val="0"/>
        <condense val="0"/>
        <extend val="0"/>
        <outline val="0"/>
        <shadow val="0"/>
        <u val="none"/>
        <vertAlign val="baseline"/>
        <sz val="32"/>
        <color theme="1"/>
        <name val="Arial"/>
        <family val="2"/>
        <scheme val="none"/>
      </font>
      <fill>
        <patternFill patternType="none">
          <fgColor indexed="64"/>
          <bgColor auto="1"/>
        </patternFill>
      </fill>
    </dxf>
    <dxf>
      <font>
        <b val="0"/>
        <i val="0"/>
        <strike val="0"/>
        <condense val="0"/>
        <extend val="0"/>
        <outline val="0"/>
        <shadow val="0"/>
        <u val="none"/>
        <vertAlign val="baseline"/>
        <sz val="32"/>
        <color theme="1"/>
        <name val="Arial"/>
        <family val="2"/>
        <scheme val="none"/>
      </font>
      <fill>
        <patternFill patternType="none">
          <fgColor indexed="64"/>
          <bgColor auto="1"/>
        </patternFill>
      </fill>
    </dxf>
    <dxf>
      <font>
        <b val="0"/>
        <i val="0"/>
        <strike val="0"/>
        <condense val="0"/>
        <extend val="0"/>
        <outline val="0"/>
        <shadow val="0"/>
        <u val="none"/>
        <vertAlign val="baseline"/>
        <sz val="32"/>
        <color theme="1"/>
        <name val="Arial"/>
        <family val="2"/>
        <scheme val="none"/>
      </font>
      <fill>
        <patternFill patternType="none">
          <fgColor indexed="64"/>
          <bgColor auto="1"/>
        </patternFill>
      </fill>
    </dxf>
    <dxf>
      <font>
        <b val="0"/>
        <i val="0"/>
        <strike val="0"/>
        <condense val="0"/>
        <extend val="0"/>
        <outline val="0"/>
        <shadow val="0"/>
        <u val="none"/>
        <vertAlign val="baseline"/>
        <sz val="32"/>
        <color theme="1"/>
        <name val="Arial"/>
        <family val="2"/>
        <scheme val="none"/>
      </font>
      <fill>
        <patternFill patternType="none">
          <fgColor indexed="64"/>
          <bgColor auto="1"/>
        </patternFill>
      </fill>
    </dxf>
    <dxf>
      <font>
        <b val="0"/>
        <i val="0"/>
        <strike val="0"/>
        <condense val="0"/>
        <extend val="0"/>
        <outline val="0"/>
        <shadow val="0"/>
        <u val="none"/>
        <vertAlign val="baseline"/>
        <sz val="32"/>
        <color theme="1"/>
        <name val="Arial"/>
        <family val="2"/>
        <scheme val="none"/>
      </font>
      <fill>
        <patternFill patternType="none">
          <fgColor indexed="64"/>
          <bgColor auto="1"/>
        </patternFill>
      </fill>
    </dxf>
    <dxf>
      <font>
        <b val="0"/>
        <i val="0"/>
        <strike val="0"/>
        <condense val="0"/>
        <extend val="0"/>
        <outline val="0"/>
        <shadow val="0"/>
        <u val="none"/>
        <vertAlign val="baseline"/>
        <sz val="32"/>
        <color theme="1"/>
        <name val="Arial"/>
        <family val="2"/>
        <scheme val="none"/>
      </font>
      <fill>
        <patternFill patternType="none">
          <fgColor indexed="64"/>
          <bgColor auto="1"/>
        </patternFill>
      </fill>
    </dxf>
    <dxf>
      <font>
        <b val="0"/>
        <i val="0"/>
        <strike val="0"/>
        <condense val="0"/>
        <extend val="0"/>
        <outline val="0"/>
        <shadow val="0"/>
        <u val="none"/>
        <vertAlign val="baseline"/>
        <sz val="32"/>
        <color theme="1"/>
        <name val="Arial"/>
        <family val="2"/>
        <scheme val="none"/>
      </font>
      <fill>
        <patternFill patternType="none">
          <fgColor indexed="64"/>
          <bgColor auto="1"/>
        </patternFill>
      </fill>
    </dxf>
    <dxf>
      <font>
        <b val="0"/>
        <i val="0"/>
        <strike val="0"/>
        <condense val="0"/>
        <extend val="0"/>
        <outline val="0"/>
        <shadow val="0"/>
        <u val="none"/>
        <vertAlign val="baseline"/>
        <sz val="32"/>
        <color theme="1"/>
        <name val="Arial"/>
        <family val="2"/>
        <scheme val="none"/>
      </font>
      <fill>
        <patternFill patternType="none">
          <fgColor indexed="64"/>
          <bgColor auto="1"/>
        </patternFill>
      </fill>
    </dxf>
    <dxf>
      <font>
        <b val="0"/>
        <i val="0"/>
        <strike val="0"/>
        <condense val="0"/>
        <extend val="0"/>
        <outline val="0"/>
        <shadow val="0"/>
        <u val="none"/>
        <vertAlign val="baseline"/>
        <sz val="32"/>
        <color theme="1"/>
        <name val="Aptos Narrow"/>
        <family val="2"/>
        <scheme val="minor"/>
      </font>
      <fill>
        <patternFill patternType="none">
          <fgColor indexed="64"/>
          <bgColor auto="1"/>
        </patternFill>
      </fill>
    </dxf>
    <dxf>
      <font>
        <b/>
        <i val="0"/>
        <strike val="0"/>
        <condense val="0"/>
        <extend val="0"/>
        <outline val="0"/>
        <shadow val="0"/>
        <u val="none"/>
        <vertAlign val="baseline"/>
        <sz val="32"/>
        <color theme="1"/>
        <name val="Arial"/>
        <family val="2"/>
        <scheme val="none"/>
      </font>
      <fill>
        <patternFill patternType="none">
          <fgColor indexed="64"/>
          <bgColor auto="1"/>
        </patternFill>
      </fill>
    </dxf>
    <dxf>
      <font>
        <b val="0"/>
        <i val="0"/>
        <strike val="0"/>
        <condense val="0"/>
        <extend val="0"/>
        <outline val="0"/>
        <shadow val="0"/>
        <u val="none"/>
        <vertAlign val="baseline"/>
        <sz val="32"/>
        <color rgb="FF000000"/>
        <name val="Arial"/>
        <family val="2"/>
        <scheme val="none"/>
      </font>
    </dxf>
    <dxf>
      <font>
        <b val="0"/>
        <i val="0"/>
        <strike val="0"/>
        <condense val="0"/>
        <extend val="0"/>
        <outline val="0"/>
        <shadow val="0"/>
        <u val="none"/>
        <vertAlign val="baseline"/>
        <sz val="32"/>
        <color rgb="FF000000"/>
        <name val="Arial"/>
        <family val="2"/>
        <scheme val="none"/>
      </font>
    </dxf>
    <dxf>
      <font>
        <b val="0"/>
        <i val="0"/>
        <strike val="0"/>
        <condense val="0"/>
        <extend val="0"/>
        <outline val="0"/>
        <shadow val="0"/>
        <u val="none"/>
        <vertAlign val="baseline"/>
        <sz val="32"/>
        <color rgb="FF000000"/>
        <name val="Arial"/>
        <family val="2"/>
        <scheme val="none"/>
      </font>
    </dxf>
    <dxf>
      <font>
        <b/>
        <i val="0"/>
        <strike val="0"/>
        <condense val="0"/>
        <extend val="0"/>
        <outline val="0"/>
        <shadow val="0"/>
        <u val="none"/>
        <vertAlign val="baseline"/>
        <sz val="32"/>
        <color theme="1"/>
        <name val="Arial"/>
        <family val="2"/>
        <scheme val="none"/>
      </font>
    </dxf>
    <dxf>
      <font>
        <strike val="0"/>
        <outline val="0"/>
        <shadow val="0"/>
        <u val="none"/>
        <vertAlign val="baseline"/>
        <color theme="1"/>
      </font>
      <alignment horizontal="left" vertical="bottom" textRotation="0" wrapText="0" indent="0" justifyLastLine="0" shrinkToFit="0" readingOrder="0"/>
    </dxf>
    <dxf>
      <font>
        <strike val="0"/>
        <outline val="0"/>
        <shadow val="0"/>
        <u val="none"/>
        <vertAlign val="baseline"/>
        <color theme="1"/>
      </font>
      <numFmt numFmtId="0" formatCode="General"/>
      <alignment horizontal="left" vertical="bottom" textRotation="0" wrapText="0" indent="0" justifyLastLine="0" shrinkToFit="0" readingOrder="0"/>
    </dxf>
    <dxf>
      <font>
        <strike val="0"/>
        <outline val="0"/>
        <shadow val="0"/>
        <u val="none"/>
        <vertAlign val="baseline"/>
        <color theme="1"/>
      </font>
      <fill>
        <patternFill patternType="none">
          <fgColor indexed="64"/>
          <bgColor indexed="65"/>
        </patternFill>
      </fill>
    </dxf>
    <dxf>
      <font>
        <strike val="0"/>
        <outline val="0"/>
        <shadow val="0"/>
        <u val="none"/>
        <vertAlign val="baseline"/>
        <color theme="1"/>
      </font>
      <fill>
        <patternFill patternType="none">
          <fgColor indexed="64"/>
          <bgColor indexed="65"/>
        </patternFill>
      </fill>
    </dxf>
    <dxf>
      <font>
        <strike val="0"/>
        <outline val="0"/>
        <shadow val="0"/>
        <u val="none"/>
        <vertAlign val="baseline"/>
        <color theme="1"/>
      </font>
    </dxf>
    <dxf>
      <font>
        <b val="0"/>
        <i val="0"/>
        <strike val="0"/>
        <condense val="0"/>
        <extend val="0"/>
        <outline val="0"/>
        <shadow val="0"/>
        <u val="none"/>
        <vertAlign val="baseline"/>
        <sz val="12"/>
        <color theme="1"/>
        <name val="Aptos Narrow"/>
        <scheme val="minor"/>
      </font>
    </dxf>
    <dxf>
      <font>
        <b val="0"/>
        <i val="0"/>
        <strike val="0"/>
        <condense val="0"/>
        <extend val="0"/>
        <outline val="0"/>
        <shadow val="0"/>
        <u val="none"/>
        <vertAlign val="baseline"/>
        <sz val="12"/>
        <color theme="1"/>
        <name val="Aptos Narrow"/>
        <scheme val="minor"/>
      </font>
    </dxf>
    <dxf>
      <font>
        <strike val="0"/>
        <outline val="0"/>
        <shadow val="0"/>
        <u val="none"/>
        <vertAlign val="baseline"/>
        <color theme="1"/>
      </font>
      <alignment horizontal="left" vertical="bottom" textRotation="0" wrapText="0" indent="1" justifyLastLine="0" shrinkToFit="0" readingOrder="0"/>
    </dxf>
    <dxf>
      <font>
        <strike val="0"/>
        <outline val="0"/>
        <shadow val="0"/>
        <u val="none"/>
        <vertAlign val="baseline"/>
        <color theme="1"/>
      </font>
      <alignment horizontal="left" vertical="bottom" textRotation="0" wrapText="0" indent="1" justifyLastLine="0" shrinkToFit="0" readingOrder="0"/>
    </dxf>
    <dxf>
      <font>
        <strike val="0"/>
        <outline val="0"/>
        <shadow val="0"/>
        <u val="none"/>
        <vertAlign val="baseline"/>
        <color theme="1"/>
      </font>
      <numFmt numFmtId="166" formatCode="0\°\ &quot;C&quot;"/>
      <alignment horizontal="left" vertical="bottom" textRotation="0" wrapText="0" indent="0" justifyLastLine="0" shrinkToFit="0" readingOrder="0"/>
    </dxf>
    <dxf>
      <font>
        <strike val="0"/>
        <outline val="0"/>
        <shadow val="0"/>
        <u val="none"/>
        <vertAlign val="baseline"/>
        <color theme="1"/>
      </font>
      <numFmt numFmtId="165" formatCode="0\ &quot;L&quot;"/>
      <alignment horizontal="left" vertical="bottom" textRotation="0" wrapText="0" indent="0" justifyLastLine="0" shrinkToFit="0" readingOrder="0"/>
    </dxf>
    <dxf>
      <font>
        <strike val="0"/>
        <outline val="0"/>
        <shadow val="0"/>
        <u val="none"/>
        <vertAlign val="baseline"/>
        <color theme="1"/>
      </font>
      <alignment horizontal="left" vertical="bottom" textRotation="0" wrapText="0" indent="0" justifyLastLine="0" shrinkToFit="0" readingOrder="0"/>
    </dxf>
    <dxf>
      <font>
        <strike val="0"/>
        <outline val="0"/>
        <shadow val="0"/>
        <u val="none"/>
        <vertAlign val="baseline"/>
        <color theme="1"/>
      </font>
      <alignment horizontal="left" vertical="bottom" textRotation="0" wrapText="0" indent="0" justifyLastLine="0" shrinkToFit="0" readingOrder="0"/>
    </dxf>
    <dxf>
      <font>
        <strike val="0"/>
        <outline val="0"/>
        <shadow val="0"/>
        <u val="none"/>
        <vertAlign val="baseline"/>
        <color theme="1"/>
      </font>
      <alignment horizontal="left" vertical="bottom" textRotation="0" wrapText="0" indent="0" justifyLastLine="0" shrinkToFit="0" readingOrder="0"/>
    </dxf>
    <dxf>
      <font>
        <strike val="0"/>
        <outline val="0"/>
        <shadow val="0"/>
        <u val="none"/>
        <vertAlign val="baseline"/>
        <color theme="1"/>
      </font>
      <alignment horizontal="left" vertical="bottom" textRotation="0" wrapText="0" indent="0" justifyLastLine="0" shrinkToFit="0" readingOrder="0"/>
    </dxf>
    <dxf>
      <font>
        <strike val="0"/>
        <outline val="0"/>
        <shadow val="0"/>
        <u val="none"/>
        <vertAlign val="baseline"/>
        <color theme="1"/>
      </font>
      <alignment horizontal="left" vertical="bottom" textRotation="0" wrapText="0" indent="0" justifyLastLine="0" shrinkToFit="0" readingOrder="0"/>
    </dxf>
    <dxf>
      <alignment horizontal="left" vertical="bottom" textRotation="0" wrapText="0" indent="0" justifyLastLine="0" shrinkToFit="0" readingOrder="0"/>
    </dxf>
    <dxf>
      <fill>
        <patternFill patternType="none">
          <bgColor auto="1"/>
        </patternFill>
      </fill>
      <alignment horizontal="left" vertical="bottom" textRotation="0" wrapText="0" indent="0" justifyLastLine="0" shrinkToFit="0" readingOrder="0"/>
    </dxf>
    <dxf>
      <numFmt numFmtId="170" formatCode="0.000"/>
      <fill>
        <patternFill patternType="none">
          <bgColor auto="1"/>
        </patternFill>
      </fill>
      <alignment horizontal="left" vertical="bottom" textRotation="0" wrapText="0" indent="0" justifyLastLine="0" shrinkToFit="0" readingOrder="0"/>
    </dxf>
    <dxf>
      <fill>
        <patternFill patternType="none">
          <fgColor indexed="64"/>
          <bgColor auto="1"/>
        </patternFill>
      </fill>
    </dxf>
    <dxf>
      <fill>
        <patternFill patternType="none">
          <fgColor indexed="64"/>
          <bgColor auto="1"/>
        </patternFill>
      </fill>
    </dxf>
    <dxf>
      <fill>
        <patternFill patternType="none">
          <bgColor auto="1"/>
        </patternFill>
      </fill>
    </dxf>
    <dxf>
      <font>
        <b val="0"/>
        <i val="0"/>
        <strike val="0"/>
        <condense val="0"/>
        <extend val="0"/>
        <outline val="0"/>
        <shadow val="0"/>
        <u val="none"/>
        <vertAlign val="baseline"/>
        <sz val="12"/>
        <color theme="1"/>
        <name val="Aptos Narrow"/>
        <scheme val="minor"/>
      </font>
      <fill>
        <patternFill patternType="none">
          <bgColor auto="1"/>
        </patternFill>
      </fill>
    </dxf>
    <dxf>
      <font>
        <b val="0"/>
        <i val="0"/>
        <strike val="0"/>
        <condense val="0"/>
        <extend val="0"/>
        <outline val="0"/>
        <shadow val="0"/>
        <u val="none"/>
        <vertAlign val="baseline"/>
        <sz val="12"/>
        <color theme="1"/>
        <name val="Aptos Narrow"/>
        <scheme val="minor"/>
      </font>
      <fill>
        <patternFill patternType="none">
          <bgColor auto="1"/>
        </patternFill>
      </fill>
    </dxf>
    <dxf>
      <fill>
        <patternFill patternType="none">
          <bgColor auto="1"/>
        </patternFill>
      </fill>
      <alignment horizontal="left" vertical="bottom" textRotation="0" wrapText="0" indent="1" justifyLastLine="0" shrinkToFit="0" readingOrder="0"/>
    </dxf>
    <dxf>
      <fill>
        <patternFill patternType="none">
          <bgColor auto="1"/>
        </patternFill>
      </fill>
      <alignment horizontal="left" vertical="bottom" textRotation="0" wrapText="0" indent="1" justifyLastLine="0" shrinkToFit="0" readingOrder="0"/>
    </dxf>
    <dxf>
      <numFmt numFmtId="166" formatCode="0\°\ &quot;C&quot;"/>
      <fill>
        <patternFill patternType="none">
          <bgColor auto="1"/>
        </patternFill>
      </fill>
      <alignment horizontal="left" vertical="bottom" textRotation="0" wrapText="0" indent="0" justifyLastLine="0" shrinkToFit="0" readingOrder="0"/>
    </dxf>
    <dxf>
      <numFmt numFmtId="165" formatCode="0\ &quot;L&quot;"/>
      <fill>
        <patternFill patternType="none">
          <bgColor auto="1"/>
        </patternFill>
      </fill>
      <alignment horizontal="left" vertical="bottom" textRotation="0" wrapText="0" indent="0" justifyLastLine="0" shrinkToFit="0" readingOrder="0"/>
    </dxf>
    <dxf>
      <fill>
        <patternFill patternType="none">
          <bgColor auto="1"/>
        </patternFill>
      </fill>
      <alignment horizontal="left" vertical="bottom" textRotation="0" wrapText="0" indent="0" justifyLastLine="0" shrinkToFit="0" readingOrder="0"/>
    </dxf>
    <dxf>
      <fill>
        <patternFill patternType="none">
          <bgColor auto="1"/>
        </patternFill>
      </fill>
      <alignment horizontal="left" vertical="bottom" textRotation="0" wrapText="0" indent="0" justifyLastLine="0" shrinkToFit="0" readingOrder="0"/>
    </dxf>
    <dxf>
      <fill>
        <patternFill patternType="none">
          <bgColor auto="1"/>
        </patternFill>
      </fill>
      <alignment horizontal="left" vertical="bottom" textRotation="0" wrapText="0" indent="0" justifyLastLine="0" shrinkToFit="0" readingOrder="0"/>
    </dxf>
    <dxf>
      <fill>
        <patternFill patternType="none">
          <bgColor auto="1"/>
        </patternFill>
      </fill>
      <alignment horizontal="left" vertical="bottom" textRotation="0" wrapText="0" indent="0" justifyLastLine="0" shrinkToFit="0" readingOrder="0"/>
    </dxf>
    <dxf>
      <fill>
        <patternFill patternType="none">
          <bgColor auto="1"/>
        </patternFill>
      </fill>
      <alignment horizontal="left" vertical="bottom" textRotation="0" wrapText="0" indent="0" justifyLastLine="0" shrinkToFit="0" readingOrder="0"/>
    </dxf>
    <dxf>
      <alignment horizontal="left" vertical="bottom" textRotation="0" wrapText="0" indent="0" justifyLastLine="0" shrinkToFit="0" readingOrder="0"/>
    </dxf>
    <dxf>
      <font>
        <b val="0"/>
        <i val="0"/>
        <strike val="0"/>
        <condense val="0"/>
        <extend val="0"/>
        <outline val="0"/>
        <shadow val="0"/>
        <u val="none"/>
        <vertAlign val="baseline"/>
        <sz val="8.5"/>
        <color theme="1"/>
        <name val="Arial"/>
        <family val="2"/>
        <scheme val="none"/>
      </font>
      <numFmt numFmtId="168" formatCode="#,##0.000"/>
      <border diagonalUp="0" diagonalDown="0">
        <left style="thin">
          <color indexed="64"/>
        </left>
        <right/>
        <top style="thin">
          <color indexed="64"/>
        </top>
        <bottom/>
        <vertical/>
        <horizontal/>
      </border>
    </dxf>
    <dxf>
      <font>
        <b val="0"/>
        <i val="0"/>
        <strike val="0"/>
        <condense val="0"/>
        <extend val="0"/>
        <outline val="0"/>
        <shadow val="0"/>
        <u val="none"/>
        <vertAlign val="baseline"/>
        <sz val="8.5"/>
        <color theme="1"/>
        <name val="Arial"/>
        <family val="2"/>
        <scheme val="none"/>
      </font>
      <numFmt numFmtId="167" formatCode="#,##0.0"/>
      <border diagonalUp="0" diagonalDown="0">
        <left style="thin">
          <color indexed="64"/>
        </left>
        <right style="thin">
          <color indexed="64"/>
        </right>
        <top style="thin">
          <color indexed="64"/>
        </top>
        <bottom/>
        <vertical/>
        <horizontal/>
      </border>
    </dxf>
    <dxf>
      <font>
        <b val="0"/>
        <i val="0"/>
        <strike val="0"/>
        <condense val="0"/>
        <extend val="0"/>
        <outline val="0"/>
        <shadow val="0"/>
        <u val="none"/>
        <vertAlign val="baseline"/>
        <sz val="8.5"/>
        <color theme="1"/>
        <name val="Arial"/>
        <family val="2"/>
        <scheme val="none"/>
      </font>
      <numFmt numFmtId="167" formatCode="#,##0.0"/>
      <border diagonalUp="0" diagonalDown="0">
        <left style="thin">
          <color indexed="64"/>
        </left>
        <right style="thin">
          <color indexed="64"/>
        </right>
        <top style="thin">
          <color indexed="64"/>
        </top>
        <bottom/>
        <vertical/>
        <horizontal/>
      </border>
    </dxf>
    <dxf>
      <font>
        <b val="0"/>
        <i val="0"/>
        <strike val="0"/>
        <condense val="0"/>
        <extend val="0"/>
        <outline val="0"/>
        <shadow val="0"/>
        <u val="none"/>
        <vertAlign val="baseline"/>
        <sz val="11"/>
        <color theme="1"/>
        <name val="Arial"/>
        <family val="2"/>
        <scheme val="none"/>
      </font>
      <numFmt numFmtId="167" formatCode="#,##0.0"/>
    </dxf>
    <dxf>
      <font>
        <b val="0"/>
        <i val="0"/>
        <strike val="0"/>
        <condense val="0"/>
        <extend val="0"/>
        <outline val="0"/>
        <shadow val="0"/>
        <u val="none"/>
        <vertAlign val="baseline"/>
        <sz val="8.5"/>
        <color theme="1"/>
        <name val="Arial"/>
        <family val="2"/>
        <scheme val="none"/>
      </font>
      <numFmt numFmtId="167" formatCode="#,##0.0"/>
      <fill>
        <patternFill patternType="none">
          <fgColor indexed="64"/>
          <bgColor auto="1"/>
        </patternFill>
      </fill>
      <border diagonalUp="0" diagonalDown="0">
        <left style="medium">
          <color rgb="FFFF0000"/>
        </left>
        <right style="medium">
          <color rgb="FFFF0000"/>
        </right>
        <vertical/>
      </border>
    </dxf>
    <dxf>
      <font>
        <b val="0"/>
        <i val="0"/>
        <strike val="0"/>
        <condense val="0"/>
        <extend val="0"/>
        <outline val="0"/>
        <shadow val="0"/>
        <u val="none"/>
        <vertAlign val="baseline"/>
        <sz val="8.5"/>
        <color theme="1"/>
        <name val="Arial"/>
        <family val="2"/>
        <scheme val="none"/>
      </font>
      <numFmt numFmtId="167" formatCode="#,##0.0"/>
      <border diagonalUp="0" diagonalDown="0">
        <left style="thin">
          <color indexed="64"/>
        </left>
        <right style="thin">
          <color indexed="64"/>
        </right>
        <top style="thin">
          <color indexed="64"/>
        </top>
        <bottom/>
        <vertical/>
        <horizontal/>
      </border>
    </dxf>
    <dxf>
      <font>
        <b val="0"/>
        <i val="0"/>
        <strike val="0"/>
        <condense val="0"/>
        <extend val="0"/>
        <outline val="0"/>
        <shadow val="0"/>
        <u val="none"/>
        <vertAlign val="baseline"/>
        <sz val="8.5"/>
        <color theme="1"/>
        <name val="Arial"/>
        <family val="2"/>
        <scheme val="none"/>
      </font>
      <numFmt numFmtId="168" formatCode="#,##0.000"/>
      <border diagonalUp="0" diagonalDown="0">
        <left style="thin">
          <color indexed="64"/>
        </left>
        <right style="thin">
          <color indexed="64"/>
        </right>
        <top style="thin">
          <color indexed="64"/>
        </top>
        <bottom/>
        <vertical/>
        <horizontal/>
      </border>
    </dxf>
    <dxf>
      <font>
        <b val="0"/>
        <i val="0"/>
        <strike val="0"/>
        <condense val="0"/>
        <extend val="0"/>
        <outline val="0"/>
        <shadow val="0"/>
        <u val="none"/>
        <vertAlign val="baseline"/>
        <sz val="8.5"/>
        <color theme="1"/>
        <name val="Arial"/>
        <family val="2"/>
        <scheme val="none"/>
      </font>
      <numFmt numFmtId="168" formatCode="#,##0.000"/>
      <border diagonalUp="0" diagonalDown="0">
        <left style="thin">
          <color indexed="64"/>
        </left>
        <right style="thin">
          <color indexed="64"/>
        </right>
        <top style="thin">
          <color indexed="64"/>
        </top>
        <bottom/>
        <vertical/>
        <horizontal/>
      </border>
    </dxf>
    <dxf>
      <font>
        <b val="0"/>
        <i val="0"/>
        <strike val="0"/>
        <condense val="0"/>
        <extend val="0"/>
        <outline val="0"/>
        <shadow val="0"/>
        <u val="none"/>
        <vertAlign val="baseline"/>
        <sz val="8.5"/>
        <color theme="1"/>
        <name val="Arial"/>
        <family val="2"/>
        <scheme val="none"/>
      </font>
      <numFmt numFmtId="167" formatCode="#,##0.0"/>
      <border diagonalUp="0" diagonalDown="0">
        <left style="thin">
          <color indexed="64"/>
        </left>
        <right style="thin">
          <color indexed="64"/>
        </right>
        <top style="thin">
          <color indexed="64"/>
        </top>
        <bottom/>
        <vertical/>
        <horizontal/>
      </border>
    </dxf>
    <dxf>
      <font>
        <b val="0"/>
        <i val="0"/>
        <strike val="0"/>
        <condense val="0"/>
        <extend val="0"/>
        <outline val="0"/>
        <shadow val="0"/>
        <u val="none"/>
        <vertAlign val="baseline"/>
        <sz val="12"/>
        <color theme="1"/>
        <name val="Aptos Narrow"/>
        <family val="2"/>
        <scheme val="minor"/>
      </font>
    </dxf>
    <dxf>
      <font>
        <b val="0"/>
        <i val="0"/>
        <strike val="0"/>
        <condense val="0"/>
        <extend val="0"/>
        <outline val="0"/>
        <shadow val="0"/>
        <u val="none"/>
        <vertAlign val="baseline"/>
        <sz val="8.5"/>
        <color theme="1"/>
        <name val="Arial"/>
        <family val="2"/>
        <scheme val="none"/>
      </font>
      <border diagonalUp="0" diagonalDown="0">
        <left/>
        <right style="thin">
          <color indexed="64"/>
        </right>
        <top style="thin">
          <color indexed="64"/>
        </top>
        <bottom/>
        <vertical/>
        <horizontal/>
      </border>
    </dxf>
    <dxf>
      <border outline="0">
        <left style="thick">
          <color indexed="64"/>
        </left>
        <right style="thick">
          <color auto="1"/>
        </right>
        <top style="thin">
          <color indexed="64"/>
        </top>
      </border>
    </dxf>
    <dxf>
      <border outline="0">
        <bottom style="thin">
          <color indexed="64"/>
        </bottom>
      </border>
    </dxf>
    <dxf>
      <font>
        <b/>
        <i val="0"/>
        <strike val="0"/>
        <condense val="0"/>
        <extend val="0"/>
        <outline val="0"/>
        <shadow val="0"/>
        <u val="none"/>
        <vertAlign val="baseline"/>
        <sz val="8.5"/>
        <color theme="0"/>
        <name val="Arial"/>
        <family val="2"/>
        <scheme val="none"/>
      </font>
      <numFmt numFmtId="167" formatCode="#,##0.0"/>
      <fill>
        <patternFill patternType="solid">
          <fgColor indexed="64"/>
          <bgColor rgb="FF004F41"/>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strike val="0"/>
        <outline val="0"/>
        <shadow val="0"/>
        <u val="none"/>
        <vertAlign val="baseline"/>
        <sz val="18"/>
        <color theme="1"/>
        <name val="Aptos Narrow"/>
        <scheme val="minor"/>
      </font>
      <border diagonalUp="0" diagonalDown="0" outline="0">
        <left style="thin">
          <color indexed="64"/>
        </left>
        <right/>
        <top style="thin">
          <color indexed="64"/>
        </top>
        <bottom style="thin">
          <color indexed="64"/>
        </bottom>
      </border>
    </dxf>
    <dxf>
      <font>
        <strike val="0"/>
        <outline val="0"/>
        <shadow val="0"/>
        <u val="none"/>
        <vertAlign val="baseline"/>
        <sz val="18"/>
        <color theme="1"/>
        <name val="Aptos Narrow"/>
        <scheme val="minor"/>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8"/>
        <color theme="1"/>
        <name val="Aptos Narrow"/>
        <scheme val="minor"/>
      </font>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8"/>
        <color theme="1"/>
        <name val="Aptos Narrow"/>
        <scheme val="minor"/>
      </font>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font>
        <strike val="0"/>
        <outline val="0"/>
        <shadow val="0"/>
        <u val="none"/>
        <vertAlign val="baseline"/>
        <sz val="18"/>
        <color theme="1"/>
        <name val="Aptos Narrow"/>
        <scheme val="minor"/>
      </font>
    </dxf>
    <dxf>
      <border outline="0">
        <bottom style="thin">
          <color indexed="64"/>
        </bottom>
      </border>
    </dxf>
    <dxf>
      <font>
        <strike val="0"/>
        <outline val="0"/>
        <shadow val="0"/>
        <u val="none"/>
        <vertAlign val="baseline"/>
        <sz val="18"/>
        <color theme="1"/>
        <name val="Aptos Narrow"/>
        <scheme val="minor"/>
      </font>
      <border diagonalUp="0" diagonalDown="0" outline="0">
        <left style="thin">
          <color indexed="64"/>
        </left>
        <right style="thin">
          <color indexed="64"/>
        </right>
        <top/>
        <bottom/>
      </border>
    </dxf>
    <dxf>
      <border>
        <left style="thin">
          <color theme="6"/>
        </left>
      </border>
    </dxf>
    <dxf>
      <border>
        <left style="thin">
          <color theme="6"/>
        </left>
      </border>
    </dxf>
    <dxf>
      <border>
        <top style="thin">
          <color theme="6"/>
        </top>
      </border>
    </dxf>
    <dxf>
      <fill>
        <patternFill>
          <bgColor theme="6" tint="0.79998168889431442"/>
        </patternFill>
      </fill>
      <border>
        <top style="thin">
          <color theme="6"/>
        </top>
      </border>
    </dxf>
    <dxf>
      <font>
        <b/>
        <color theme="1"/>
      </font>
    </dxf>
    <dxf>
      <font>
        <b/>
        <color theme="1"/>
      </font>
    </dxf>
    <dxf>
      <font>
        <b/>
        <color theme="1"/>
      </font>
      <border>
        <top style="double">
          <color theme="6"/>
        </top>
      </border>
    </dxf>
    <dxf>
      <font>
        <b/>
        <color theme="0"/>
      </font>
      <fill>
        <patternFill patternType="solid">
          <fgColor theme="6"/>
          <bgColor rgb="FF004F41"/>
        </patternFill>
      </fill>
    </dxf>
    <dxf>
      <font>
        <color theme="1"/>
      </font>
      <border>
        <left style="thin">
          <color theme="6"/>
        </left>
        <right style="thin">
          <color theme="6"/>
        </right>
        <top style="thin">
          <color theme="6"/>
        </top>
        <bottom style="thin">
          <color theme="6"/>
        </bottom>
      </border>
    </dxf>
    <dxf>
      <fill>
        <patternFill>
          <bgColor theme="9" tint="0.59996337778862885"/>
        </patternFill>
      </fill>
    </dxf>
    <dxf>
      <fill>
        <patternFill>
          <bgColor rgb="FF004F41"/>
        </patternFill>
      </fill>
    </dxf>
    <dxf>
      <font>
        <b/>
        <i val="0"/>
      </font>
      <fill>
        <patternFill>
          <bgColor rgb="FF004F41"/>
        </patternFill>
      </fill>
    </dxf>
    <dxf>
      <font>
        <b val="0"/>
        <i val="0"/>
        <color theme="1"/>
      </font>
      <fill>
        <patternFill patternType="none">
          <bgColor auto="1"/>
        </patternFill>
      </fill>
    </dxf>
  </dxfs>
  <tableStyles count="2" defaultTableStyle="TableStyleMedium2" defaultPivotStyle="PivotStyleLight16">
    <tableStyle name="Clarkson Table" pivot="0" count="4" xr9:uid="{6A794F96-C3F6-9248-BBBE-BE382EEAF365}">
      <tableStyleElement type="wholeTable" dxfId="97"/>
      <tableStyleElement type="headerRow" dxfId="96"/>
      <tableStyleElement type="totalRow" dxfId="95"/>
      <tableStyleElement type="firstRowStripe" dxfId="94"/>
    </tableStyle>
    <tableStyle name="Clarkson Table 2" pivot="0" count="9" xr9:uid="{36E76897-F3F8-9944-ACDE-D91DCE0BFC20}">
      <tableStyleElement type="wholeTable" dxfId="93"/>
      <tableStyleElement type="headerRow" dxfId="92"/>
      <tableStyleElement type="totalRow" dxfId="91"/>
      <tableStyleElement type="firstColumn" dxfId="90"/>
      <tableStyleElement type="lastColumn" dxfId="89"/>
      <tableStyleElement type="firstRowStripe" dxfId="88"/>
      <tableStyleElement type="secondRowStripe" dxfId="87"/>
      <tableStyleElement type="firstColumnStripe" dxfId="86"/>
      <tableStyleElement type="secondColumnStripe" dxfId="85"/>
    </tableStyle>
  </tableStyles>
  <colors>
    <mruColors>
      <color rgb="FF61CCF4"/>
      <color rgb="FFF3A987"/>
      <color rgb="FFFFCD00"/>
      <color rgb="FF4DA72E"/>
      <color rgb="FF60CCF3"/>
      <color rgb="FFB9D4B1"/>
      <color rgb="FF00CBA8"/>
      <color rgb="FF004F41"/>
      <color rgb="FFFFFF98"/>
      <color rgb="FFFBE3D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1.xml"/><Relationship Id="rId39" Type="http://schemas.microsoft.com/office/2017/06/relationships/rdSupportingPropertyBag" Target="richData/rdsupportingpropertybag.xml"/><Relationship Id="rId21" Type="http://schemas.openxmlformats.org/officeDocument/2006/relationships/worksheet" Target="worksheets/sheet21.xml"/><Relationship Id="rId34" Type="http://schemas.microsoft.com/office/2017/06/relationships/rdRichValue" Target="richData/rdrichvalue.xml"/><Relationship Id="rId42"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eetMetadata" Target="metadata.xml"/><Relationship Id="rId37" Type="http://schemas.microsoft.com/office/2017/06/relationships/richStyles" Target="richData/richStyles.xml"/><Relationship Id="rId40" Type="http://schemas.microsoft.com/office/2017/06/relationships/rdRichValueTypes" Target="richData/rdRichValueTyp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3.xml"/><Relationship Id="rId36" Type="http://schemas.microsoft.com/office/2017/06/relationships/rdArray" Target="richData/rdarray.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4"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2.xml"/><Relationship Id="rId30" Type="http://schemas.openxmlformats.org/officeDocument/2006/relationships/styles" Target="styles.xml"/><Relationship Id="rId35" Type="http://schemas.microsoft.com/office/2017/06/relationships/rdRichValueStructure" Target="richData/rdrichvaluestructure.xml"/><Relationship Id="rId43"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20/07/relationships/rdRichValueWebImage" Target="richData/rdRichValueWebImage.xml"/><Relationship Id="rId38" Type="http://schemas.microsoft.com/office/2017/06/relationships/rdSupportingPropertyBagStructure" Target="richData/rdsupportingpropertybagstructur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rgbClr val="4DA72E"/>
              </a:solidFill>
              <a:ln w="19050">
                <a:solidFill>
                  <a:schemeClr val="lt1"/>
                </a:solidFill>
              </a:ln>
              <a:effectLst/>
            </c:spPr>
            <c:extLst>
              <c:ext xmlns:c16="http://schemas.microsoft.com/office/drawing/2014/chart" uri="{C3380CC4-5D6E-409C-BE32-E72D297353CC}">
                <c16:uniqueId val="{00000001-CC43-6940-BA38-07995E2831CF}"/>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2-526D-424D-82DC-C1E70728A157}"/>
              </c:ext>
            </c:extLst>
          </c:dPt>
          <c:dPt>
            <c:idx val="2"/>
            <c:bubble3D val="0"/>
            <c:spPr>
              <a:solidFill>
                <a:srgbClr val="FF0000"/>
              </a:solidFill>
              <a:ln w="19050">
                <a:solidFill>
                  <a:schemeClr val="lt1"/>
                </a:solidFill>
              </a:ln>
              <a:effectLst/>
            </c:spPr>
            <c:extLst>
              <c:ext xmlns:c16="http://schemas.microsoft.com/office/drawing/2014/chart" uri="{C3380CC4-5D6E-409C-BE32-E72D297353CC}">
                <c16:uniqueId val="{00000003-526D-424D-82DC-C1E70728A157}"/>
              </c:ext>
            </c:extLst>
          </c:dPt>
          <c:dPt>
            <c:idx val="3"/>
            <c:bubble3D val="0"/>
            <c:spPr>
              <a:noFill/>
              <a:ln w="19050">
                <a:solidFill>
                  <a:schemeClr val="lt1"/>
                </a:solidFill>
              </a:ln>
              <a:effectLst/>
            </c:spPr>
            <c:extLst>
              <c:ext xmlns:c16="http://schemas.microsoft.com/office/drawing/2014/chart" uri="{C3380CC4-5D6E-409C-BE32-E72D297353CC}">
                <c16:uniqueId val="{00000004-526D-424D-82DC-C1E70728A157}"/>
              </c:ext>
            </c:extLst>
          </c:dPt>
          <c:val>
            <c:numRef>
              <c:f>'Process Overview'!$Y$24:$Y$27</c:f>
              <c:numCache>
                <c:formatCode>0%</c:formatCode>
                <c:ptCount val="4"/>
                <c:pt idx="0">
                  <c:v>0.25</c:v>
                </c:pt>
                <c:pt idx="1">
                  <c:v>0.5</c:v>
                </c:pt>
                <c:pt idx="2">
                  <c:v>0.25</c:v>
                </c:pt>
                <c:pt idx="3">
                  <c:v>1</c:v>
                </c:pt>
              </c:numCache>
            </c:numRef>
          </c:val>
          <c:extLst>
            <c:ext xmlns:c16="http://schemas.microsoft.com/office/drawing/2014/chart" uri="{C3380CC4-5D6E-409C-BE32-E72D297353CC}">
              <c16:uniqueId val="{00000000-526D-424D-82DC-C1E70728A157}"/>
            </c:ext>
          </c:extLst>
        </c:ser>
        <c:dLbls>
          <c:showLegendKey val="0"/>
          <c:showVal val="0"/>
          <c:showCatName val="0"/>
          <c:showSerName val="0"/>
          <c:showPercent val="0"/>
          <c:showBubbleSize val="0"/>
          <c:showLeaderLines val="1"/>
        </c:dLbls>
        <c:firstSliceAng val="270"/>
        <c:holeSize val="55"/>
      </c:doughnutChart>
      <c:pieChart>
        <c:varyColors val="1"/>
        <c:ser>
          <c:idx val="1"/>
          <c:order val="1"/>
          <c:spPr>
            <a:ln>
              <a:noFill/>
            </a:ln>
          </c:spPr>
          <c:dPt>
            <c:idx val="0"/>
            <c:bubble3D val="0"/>
            <c:spPr>
              <a:noFill/>
              <a:ln w="19050">
                <a:noFill/>
              </a:ln>
              <a:effectLst/>
            </c:spPr>
            <c:extLst>
              <c:ext xmlns:c16="http://schemas.microsoft.com/office/drawing/2014/chart" uri="{C3380CC4-5D6E-409C-BE32-E72D297353CC}">
                <c16:uniqueId val="{00000007-526D-424D-82DC-C1E70728A157}"/>
              </c:ext>
            </c:extLst>
          </c:dPt>
          <c:dPt>
            <c:idx val="1"/>
            <c:bubble3D val="0"/>
            <c:spPr>
              <a:solidFill>
                <a:schemeClr val="tx1"/>
              </a:solidFill>
              <a:ln w="19050">
                <a:noFill/>
              </a:ln>
              <a:effectLst/>
            </c:spPr>
            <c:extLst>
              <c:ext xmlns:c16="http://schemas.microsoft.com/office/drawing/2014/chart" uri="{C3380CC4-5D6E-409C-BE32-E72D297353CC}">
                <c16:uniqueId val="{00000008-526D-424D-82DC-C1E70728A157}"/>
              </c:ext>
            </c:extLst>
          </c:dPt>
          <c:dPt>
            <c:idx val="2"/>
            <c:bubble3D val="0"/>
            <c:spPr>
              <a:noFill/>
              <a:ln w="19050">
                <a:noFill/>
              </a:ln>
              <a:effectLst/>
            </c:spPr>
            <c:extLst>
              <c:ext xmlns:c16="http://schemas.microsoft.com/office/drawing/2014/chart" uri="{C3380CC4-5D6E-409C-BE32-E72D297353CC}">
                <c16:uniqueId val="{00000006-526D-424D-82DC-C1E70728A157}"/>
              </c:ext>
            </c:extLst>
          </c:dPt>
          <c:dLbls>
            <c:dLbl>
              <c:idx val="1"/>
              <c:tx>
                <c:strRef>
                  <c:f>'Process Overview'!$AB$21</c:f>
                  <c:strCache>
                    <c:ptCount val="1"/>
                    <c:pt idx="0">
                      <c:v>49%</c:v>
                    </c:pt>
                  </c:strCache>
                </c:strRef>
              </c:tx>
              <c:showLegendKey val="0"/>
              <c:showVal val="1"/>
              <c:showCatName val="0"/>
              <c:showSerName val="0"/>
              <c:showPercent val="0"/>
              <c:showBubbleSize val="0"/>
              <c:extLst>
                <c:ext xmlns:c15="http://schemas.microsoft.com/office/drawing/2012/chart" uri="{CE6537A1-D6FC-4f65-9D91-7224C49458BB}">
                  <c15:dlblFieldTable>
                    <c15:dlblFTEntry>
                      <c15:txfldGUID>{B37E4975-3F4E-9E4C-A4E2-474C37F0A4F5}</c15:txfldGUID>
                      <c15:f>'Process Overview'!$AB$21</c15:f>
                      <c15:dlblFieldTableCache>
                        <c:ptCount val="1"/>
                        <c:pt idx="0">
                          <c:v>49%</c:v>
                        </c:pt>
                      </c15:dlblFieldTableCache>
                    </c15:dlblFTEntry>
                  </c15:dlblFieldTable>
                  <c15:showDataLabelsRange val="0"/>
                </c:ext>
                <c:ext xmlns:c16="http://schemas.microsoft.com/office/drawing/2014/chart" uri="{C3380CC4-5D6E-409C-BE32-E72D297353CC}">
                  <c16:uniqueId val="{00000008-526D-424D-82DC-C1E70728A157}"/>
                </c:ext>
              </c:extLst>
            </c:dLbl>
            <c:spPr>
              <a:noFill/>
              <a:ln>
                <a:noFill/>
              </a:ln>
              <a:effectLst/>
            </c:spPr>
            <c:txPr>
              <a:bodyPr rot="0" spcFirstLastPara="1" vertOverflow="ellipsis" vert="horz" wrap="square" lIns="38100" tIns="19050" rIns="38100" bIns="19050" anchor="ctr" anchorCtr="1">
                <a:spAutoFit/>
              </a:bodyPr>
              <a:lstStyle/>
              <a:p>
                <a:pPr>
                  <a:defRPr sz="3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val>
            <c:numRef>
              <c:f>'Process Overview'!$Z$23:$Z$25</c:f>
              <c:numCache>
                <c:formatCode>0%</c:formatCode>
                <c:ptCount val="3"/>
                <c:pt idx="0">
                  <c:v>0.48799999999999999</c:v>
                </c:pt>
                <c:pt idx="1">
                  <c:v>0.02</c:v>
                </c:pt>
                <c:pt idx="2">
                  <c:v>1.38</c:v>
                </c:pt>
              </c:numCache>
            </c:numRef>
          </c:val>
          <c:extLst>
            <c:ext xmlns:c15="http://schemas.microsoft.com/office/drawing/2012/char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05-526D-424D-82DC-C1E70728A157}"/>
            </c:ext>
          </c:extLst>
        </c:ser>
        <c:dLbls>
          <c:showLegendKey val="0"/>
          <c:showVal val="0"/>
          <c:showCatName val="0"/>
          <c:showSerName val="0"/>
          <c:showPercent val="0"/>
          <c:showBubbleSize val="0"/>
          <c:showLeaderLines val="1"/>
        </c:dLbls>
        <c:firstSliceAng val="27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4"/>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220-D74A-98E5-7BFC43CB7EB0}"/>
              </c:ext>
            </c:extLst>
          </c:dPt>
          <c:dPt>
            <c:idx val="1"/>
            <c:bubble3D val="0"/>
            <c:spPr>
              <a:solidFill>
                <a:srgbClr val="92D050"/>
              </a:solidFill>
              <a:ln w="19050">
                <a:solidFill>
                  <a:schemeClr val="lt1"/>
                </a:solidFill>
              </a:ln>
              <a:effectLst/>
            </c:spPr>
            <c:extLst>
              <c:ext xmlns:c16="http://schemas.microsoft.com/office/drawing/2014/chart" uri="{C3380CC4-5D6E-409C-BE32-E72D297353CC}">
                <c16:uniqueId val="{00000003-B220-D74A-98E5-7BFC43CB7EB0}"/>
              </c:ext>
            </c:extLst>
          </c:dPt>
          <c:dPt>
            <c:idx val="2"/>
            <c:bubble3D val="0"/>
            <c:spPr>
              <a:solidFill>
                <a:srgbClr val="FFFF00"/>
              </a:solidFill>
              <a:ln w="19050">
                <a:solidFill>
                  <a:schemeClr val="lt1"/>
                </a:solidFill>
              </a:ln>
              <a:effectLst/>
            </c:spPr>
            <c:extLst>
              <c:ext xmlns:c16="http://schemas.microsoft.com/office/drawing/2014/chart" uri="{C3380CC4-5D6E-409C-BE32-E72D297353CC}">
                <c16:uniqueId val="{00000005-B220-D74A-98E5-7BFC43CB7EB0}"/>
              </c:ext>
            </c:extLst>
          </c:dPt>
          <c:dPt>
            <c:idx val="3"/>
            <c:bubble3D val="0"/>
            <c:spPr>
              <a:solidFill>
                <a:srgbClr val="FF0000"/>
              </a:solidFill>
              <a:ln w="19050">
                <a:solidFill>
                  <a:schemeClr val="lt1"/>
                </a:solidFill>
              </a:ln>
              <a:effectLst/>
            </c:spPr>
            <c:extLst>
              <c:ext xmlns:c16="http://schemas.microsoft.com/office/drawing/2014/chart" uri="{C3380CC4-5D6E-409C-BE32-E72D297353CC}">
                <c16:uniqueId val="{00000007-B220-D74A-98E5-7BFC43CB7EB0}"/>
              </c:ext>
            </c:extLst>
          </c:dPt>
          <c:dPt>
            <c:idx val="4"/>
            <c:bubble3D val="0"/>
            <c:spPr>
              <a:noFill/>
              <a:ln w="19050">
                <a:solidFill>
                  <a:schemeClr val="lt1"/>
                </a:solidFill>
              </a:ln>
              <a:effectLst/>
            </c:spPr>
            <c:extLst>
              <c:ext xmlns:c16="http://schemas.microsoft.com/office/drawing/2014/chart" uri="{C3380CC4-5D6E-409C-BE32-E72D297353CC}">
                <c16:uniqueId val="{00000009-B220-D74A-98E5-7BFC43CB7EB0}"/>
              </c:ext>
            </c:extLst>
          </c:dPt>
          <c:val>
            <c:numRef>
              <c:f>'Input(Please create a copy)'!$AS$19:$AS$23</c:f>
              <c:numCache>
                <c:formatCode>0%</c:formatCode>
                <c:ptCount val="5"/>
                <c:pt idx="0" formatCode="General">
                  <c:v>0</c:v>
                </c:pt>
                <c:pt idx="1">
                  <c:v>0.25</c:v>
                </c:pt>
                <c:pt idx="2">
                  <c:v>0.5</c:v>
                </c:pt>
                <c:pt idx="3">
                  <c:v>0.25</c:v>
                </c:pt>
                <c:pt idx="4">
                  <c:v>1</c:v>
                </c:pt>
              </c:numCache>
            </c:numRef>
          </c:val>
          <c:extLst>
            <c:ext xmlns:c16="http://schemas.microsoft.com/office/drawing/2014/chart" uri="{C3380CC4-5D6E-409C-BE32-E72D297353CC}">
              <c16:uniqueId val="{0000000A-B220-D74A-98E5-7BFC43CB7EB0}"/>
            </c:ext>
          </c:extLst>
        </c:ser>
        <c:ser>
          <c:idx val="5"/>
          <c:order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C-B220-D74A-98E5-7BFC43CB7EB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E-B220-D74A-98E5-7BFC43CB7EB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0-B220-D74A-98E5-7BFC43CB7EB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2-B220-D74A-98E5-7BFC43CB7EB0}"/>
              </c:ext>
            </c:extLst>
          </c:dPt>
          <c:val>
            <c:numRef>
              <c:f>'Input(Please create a copy)'!$AS$20:$AS$23</c:f>
              <c:numCache>
                <c:formatCode>0%</c:formatCode>
                <c:ptCount val="4"/>
                <c:pt idx="0">
                  <c:v>0.25</c:v>
                </c:pt>
                <c:pt idx="1">
                  <c:v>0.5</c:v>
                </c:pt>
                <c:pt idx="2">
                  <c:v>0.25</c:v>
                </c:pt>
                <c:pt idx="3">
                  <c:v>1</c:v>
                </c:pt>
              </c:numCache>
            </c:numRef>
          </c:val>
          <c:extLst>
            <c:ext xmlns:c16="http://schemas.microsoft.com/office/drawing/2014/chart" uri="{C3380CC4-5D6E-409C-BE32-E72D297353CC}">
              <c16:uniqueId val="{00000013-B220-D74A-98E5-7BFC43CB7EB0}"/>
            </c:ext>
          </c:extLst>
        </c:ser>
        <c:ser>
          <c:idx val="6"/>
          <c:order val="2"/>
          <c:dPt>
            <c:idx val="0"/>
            <c:bubble3D val="0"/>
            <c:spPr>
              <a:solidFill>
                <a:schemeClr val="bg1"/>
              </a:solidFill>
              <a:ln w="19050">
                <a:solidFill>
                  <a:schemeClr val="lt1"/>
                </a:solidFill>
              </a:ln>
              <a:effectLst/>
            </c:spPr>
            <c:extLst>
              <c:ext xmlns:c16="http://schemas.microsoft.com/office/drawing/2014/chart" uri="{C3380CC4-5D6E-409C-BE32-E72D297353CC}">
                <c16:uniqueId val="{00000015-B220-D74A-98E5-7BFC43CB7EB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7-B220-D74A-98E5-7BFC43CB7EB0}"/>
              </c:ext>
            </c:extLst>
          </c:dPt>
          <c:dPt>
            <c:idx val="2"/>
            <c:bubble3D val="0"/>
            <c:spPr>
              <a:solidFill>
                <a:schemeClr val="bg1"/>
              </a:solidFill>
              <a:ln w="19050">
                <a:solidFill>
                  <a:schemeClr val="lt1"/>
                </a:solidFill>
              </a:ln>
              <a:effectLst/>
            </c:spPr>
            <c:extLst>
              <c:ext xmlns:c16="http://schemas.microsoft.com/office/drawing/2014/chart" uri="{C3380CC4-5D6E-409C-BE32-E72D297353CC}">
                <c16:uniqueId val="{00000019-B220-D74A-98E5-7BFC43CB7EB0}"/>
              </c:ext>
            </c:extLst>
          </c:dPt>
          <c:val>
            <c:numRef>
              <c:f>'Input(Please create a copy)'!$AT$19:$AT$21</c:f>
              <c:numCache>
                <c:formatCode>0%</c:formatCode>
                <c:ptCount val="3"/>
                <c:pt idx="0">
                  <c:v>0.25600000000000001</c:v>
                </c:pt>
                <c:pt idx="1">
                  <c:v>0.04</c:v>
                </c:pt>
                <c:pt idx="2">
                  <c:v>1.38</c:v>
                </c:pt>
              </c:numCache>
            </c:numRef>
          </c:val>
          <c:extLst>
            <c:ext xmlns:c16="http://schemas.microsoft.com/office/drawing/2014/chart" uri="{C3380CC4-5D6E-409C-BE32-E72D297353CC}">
              <c16:uniqueId val="{0000001A-B220-D74A-98E5-7BFC43CB7EB0}"/>
            </c:ext>
          </c:extLst>
        </c:ser>
        <c:ser>
          <c:idx val="7"/>
          <c:order val="3"/>
          <c:dPt>
            <c:idx val="0"/>
            <c:bubble3D val="0"/>
            <c:spPr>
              <a:solidFill>
                <a:schemeClr val="accent1"/>
              </a:solidFill>
              <a:ln w="19050">
                <a:solidFill>
                  <a:schemeClr val="lt1"/>
                </a:solidFill>
              </a:ln>
              <a:effectLst/>
            </c:spPr>
            <c:extLst>
              <c:ext xmlns:c16="http://schemas.microsoft.com/office/drawing/2014/chart" uri="{C3380CC4-5D6E-409C-BE32-E72D297353CC}">
                <c16:uniqueId val="{0000001C-B220-D74A-98E5-7BFC43CB7EB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E-B220-D74A-98E5-7BFC43CB7EB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20-B220-D74A-98E5-7BFC43CB7EB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22-B220-D74A-98E5-7BFC43CB7EB0}"/>
              </c:ext>
            </c:extLst>
          </c:dPt>
          <c:val>
            <c:numRef>
              <c:f>'Input(Please create a copy)'!$AS$20:$AS$23</c:f>
              <c:numCache>
                <c:formatCode>0%</c:formatCode>
                <c:ptCount val="4"/>
                <c:pt idx="0">
                  <c:v>0.25</c:v>
                </c:pt>
                <c:pt idx="1">
                  <c:v>0.5</c:v>
                </c:pt>
                <c:pt idx="2">
                  <c:v>0.25</c:v>
                </c:pt>
                <c:pt idx="3">
                  <c:v>1</c:v>
                </c:pt>
              </c:numCache>
            </c:numRef>
          </c:val>
          <c:extLst>
            <c:ext xmlns:c16="http://schemas.microsoft.com/office/drawing/2014/chart" uri="{C3380CC4-5D6E-409C-BE32-E72D297353CC}">
              <c16:uniqueId val="{00000023-B220-D74A-98E5-7BFC43CB7EB0}"/>
            </c:ext>
          </c:extLst>
        </c:ser>
        <c:ser>
          <c:idx val="2"/>
          <c:order val="4"/>
          <c:dPt>
            <c:idx val="0"/>
            <c:bubble3D val="0"/>
            <c:spPr>
              <a:solidFill>
                <a:schemeClr val="bg1"/>
              </a:solidFill>
              <a:ln w="19050">
                <a:solidFill>
                  <a:schemeClr val="lt1"/>
                </a:solidFill>
              </a:ln>
              <a:effectLst/>
            </c:spPr>
            <c:extLst>
              <c:ext xmlns:c16="http://schemas.microsoft.com/office/drawing/2014/chart" uri="{C3380CC4-5D6E-409C-BE32-E72D297353CC}">
                <c16:uniqueId val="{00000025-B220-D74A-98E5-7BFC43CB7EB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27-B220-D74A-98E5-7BFC43CB7EB0}"/>
              </c:ext>
            </c:extLst>
          </c:dPt>
          <c:dPt>
            <c:idx val="2"/>
            <c:bubble3D val="0"/>
            <c:spPr>
              <a:solidFill>
                <a:schemeClr val="bg1"/>
              </a:solidFill>
              <a:ln w="19050">
                <a:solidFill>
                  <a:schemeClr val="lt1"/>
                </a:solidFill>
              </a:ln>
              <a:effectLst/>
            </c:spPr>
            <c:extLst>
              <c:ext xmlns:c16="http://schemas.microsoft.com/office/drawing/2014/chart" uri="{C3380CC4-5D6E-409C-BE32-E72D297353CC}">
                <c16:uniqueId val="{00000029-B220-D74A-98E5-7BFC43CB7EB0}"/>
              </c:ext>
            </c:extLst>
          </c:dPt>
          <c:val>
            <c:numRef>
              <c:f>'Input(Please create a copy)'!$AT$19:$AT$21</c:f>
              <c:numCache>
                <c:formatCode>0%</c:formatCode>
                <c:ptCount val="3"/>
                <c:pt idx="0">
                  <c:v>0.25600000000000001</c:v>
                </c:pt>
                <c:pt idx="1">
                  <c:v>0.04</c:v>
                </c:pt>
                <c:pt idx="2">
                  <c:v>1.38</c:v>
                </c:pt>
              </c:numCache>
            </c:numRef>
          </c:val>
          <c:extLst>
            <c:ext xmlns:c16="http://schemas.microsoft.com/office/drawing/2014/chart" uri="{C3380CC4-5D6E-409C-BE32-E72D297353CC}">
              <c16:uniqueId val="{0000002A-B220-D74A-98E5-7BFC43CB7EB0}"/>
            </c:ext>
          </c:extLst>
        </c:ser>
        <c:ser>
          <c:idx val="3"/>
          <c:order val="5"/>
          <c:dPt>
            <c:idx val="0"/>
            <c:bubble3D val="0"/>
            <c:spPr>
              <a:solidFill>
                <a:schemeClr val="accent1"/>
              </a:solidFill>
              <a:ln w="19050">
                <a:solidFill>
                  <a:schemeClr val="lt1"/>
                </a:solidFill>
              </a:ln>
              <a:effectLst/>
            </c:spPr>
            <c:extLst>
              <c:ext xmlns:c16="http://schemas.microsoft.com/office/drawing/2014/chart" uri="{C3380CC4-5D6E-409C-BE32-E72D297353CC}">
                <c16:uniqueId val="{0000002C-B220-D74A-98E5-7BFC43CB7EB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2E-B220-D74A-98E5-7BFC43CB7EB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30-B220-D74A-98E5-7BFC43CB7EB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32-B220-D74A-98E5-7BFC43CB7EB0}"/>
              </c:ext>
            </c:extLst>
          </c:dPt>
          <c:val>
            <c:numRef>
              <c:f>'Input(Please create a copy)'!$AS$20:$AS$23</c:f>
              <c:numCache>
                <c:formatCode>0%</c:formatCode>
                <c:ptCount val="4"/>
                <c:pt idx="0">
                  <c:v>0.25</c:v>
                </c:pt>
                <c:pt idx="1">
                  <c:v>0.5</c:v>
                </c:pt>
                <c:pt idx="2">
                  <c:v>0.25</c:v>
                </c:pt>
                <c:pt idx="3">
                  <c:v>1</c:v>
                </c:pt>
              </c:numCache>
            </c:numRef>
          </c:val>
          <c:extLst>
            <c:ext xmlns:c16="http://schemas.microsoft.com/office/drawing/2014/chart" uri="{C3380CC4-5D6E-409C-BE32-E72D297353CC}">
              <c16:uniqueId val="{00000033-B220-D74A-98E5-7BFC43CB7EB0}"/>
            </c:ext>
          </c:extLst>
        </c:ser>
        <c:ser>
          <c:idx val="0"/>
          <c:order val="6"/>
          <c:dPt>
            <c:idx val="0"/>
            <c:bubble3D val="0"/>
            <c:spPr>
              <a:solidFill>
                <a:schemeClr val="bg1"/>
              </a:solidFill>
              <a:ln w="19050">
                <a:solidFill>
                  <a:schemeClr val="lt1"/>
                </a:solidFill>
              </a:ln>
              <a:effectLst/>
            </c:spPr>
            <c:extLst>
              <c:ext xmlns:c16="http://schemas.microsoft.com/office/drawing/2014/chart" uri="{C3380CC4-5D6E-409C-BE32-E72D297353CC}">
                <c16:uniqueId val="{00000035-B220-D74A-98E5-7BFC43CB7EB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37-B220-D74A-98E5-7BFC43CB7EB0}"/>
              </c:ext>
            </c:extLst>
          </c:dPt>
          <c:dPt>
            <c:idx val="2"/>
            <c:bubble3D val="0"/>
            <c:spPr>
              <a:solidFill>
                <a:schemeClr val="bg1"/>
              </a:solidFill>
              <a:ln w="19050">
                <a:solidFill>
                  <a:schemeClr val="lt1"/>
                </a:solidFill>
              </a:ln>
              <a:effectLst/>
            </c:spPr>
            <c:extLst>
              <c:ext xmlns:c16="http://schemas.microsoft.com/office/drawing/2014/chart" uri="{C3380CC4-5D6E-409C-BE32-E72D297353CC}">
                <c16:uniqueId val="{00000039-B220-D74A-98E5-7BFC43CB7EB0}"/>
              </c:ext>
            </c:extLst>
          </c:dPt>
          <c:dLbls>
            <c:dLbl>
              <c:idx val="0"/>
              <c:layout>
                <c:manualLayout>
                  <c:x val="0.26376228245614164"/>
                  <c:y val="-0.13957760795667665"/>
                </c:manualLayout>
              </c:layout>
              <c:spPr>
                <a:noFill/>
                <a:ln>
                  <a:noFill/>
                </a:ln>
                <a:effectLst/>
              </c:spPr>
              <c:txPr>
                <a:bodyPr rot="0" spcFirstLastPara="1" vertOverflow="ellipsis" vert="horz" wrap="square" lIns="38100" tIns="19050" rIns="38100" bIns="19050" anchor="ctr" anchorCtr="1">
                  <a:noAutofit/>
                </a:bodyPr>
                <a:lstStyle/>
                <a:p>
                  <a:pPr>
                    <a:defRPr sz="1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2271392541013418"/>
                      <c:h val="9.0748948845741084E-2"/>
                    </c:manualLayout>
                  </c15:layout>
                </c:ext>
                <c:ext xmlns:c16="http://schemas.microsoft.com/office/drawing/2014/chart" uri="{C3380CC4-5D6E-409C-BE32-E72D297353CC}">
                  <c16:uniqueId val="{00000035-B220-D74A-98E5-7BFC43CB7EB0}"/>
                </c:ext>
              </c:extLst>
            </c:dLbl>
            <c:dLbl>
              <c:idx val="1"/>
              <c:delete val="1"/>
              <c:extLst>
                <c:ext xmlns:c15="http://schemas.microsoft.com/office/drawing/2012/chart" uri="{CE6537A1-D6FC-4f65-9D91-7224C49458BB}"/>
                <c:ext xmlns:c16="http://schemas.microsoft.com/office/drawing/2014/chart" uri="{C3380CC4-5D6E-409C-BE32-E72D297353CC}">
                  <c16:uniqueId val="{00000037-B220-D74A-98E5-7BFC43CB7EB0}"/>
                </c:ext>
              </c:extLst>
            </c:dLbl>
            <c:dLbl>
              <c:idx val="2"/>
              <c:delete val="1"/>
              <c:extLst>
                <c:ext xmlns:c15="http://schemas.microsoft.com/office/drawing/2012/chart" uri="{CE6537A1-D6FC-4f65-9D91-7224C49458BB}"/>
                <c:ext xmlns:c16="http://schemas.microsoft.com/office/drawing/2014/chart" uri="{C3380CC4-5D6E-409C-BE32-E72D297353CC}">
                  <c16:uniqueId val="{00000039-B220-D74A-98E5-7BFC43CB7EB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'Input(Please create a copy)'!$AT$19:$AT$21</c:f>
              <c:numCache>
                <c:formatCode>0%</c:formatCode>
                <c:ptCount val="3"/>
                <c:pt idx="0">
                  <c:v>0.25600000000000001</c:v>
                </c:pt>
                <c:pt idx="1">
                  <c:v>0.04</c:v>
                </c:pt>
                <c:pt idx="2">
                  <c:v>1.38</c:v>
                </c:pt>
              </c:numCache>
            </c:numRef>
          </c:val>
          <c:extLst>
            <c:ext xmlns:c16="http://schemas.microsoft.com/office/drawing/2014/chart" uri="{C3380CC4-5D6E-409C-BE32-E72D297353CC}">
              <c16:uniqueId val="{0000003A-B220-D74A-98E5-7BFC43CB7EB0}"/>
            </c:ext>
          </c:extLst>
        </c:ser>
        <c:ser>
          <c:idx val="1"/>
          <c:order val="7"/>
          <c:dPt>
            <c:idx val="0"/>
            <c:bubble3D val="0"/>
            <c:spPr>
              <a:solidFill>
                <a:schemeClr val="accent1"/>
              </a:solidFill>
              <a:ln w="19050">
                <a:solidFill>
                  <a:schemeClr val="lt1"/>
                </a:solidFill>
              </a:ln>
              <a:effectLst/>
            </c:spPr>
            <c:extLst>
              <c:ext xmlns:c16="http://schemas.microsoft.com/office/drawing/2014/chart" uri="{C3380CC4-5D6E-409C-BE32-E72D297353CC}">
                <c16:uniqueId val="{0000003C-B220-D74A-98E5-7BFC43CB7EB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3E-B220-D74A-98E5-7BFC43CB7EB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40-B220-D74A-98E5-7BFC43CB7EB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42-B220-D74A-98E5-7BFC43CB7EB0}"/>
              </c:ext>
            </c:extLst>
          </c:dPt>
          <c:val>
            <c:numRef>
              <c:f>'Input(Please create a copy)'!$AS$20:$AS$23</c:f>
              <c:numCache>
                <c:formatCode>0%</c:formatCode>
                <c:ptCount val="4"/>
                <c:pt idx="0">
                  <c:v>0.25</c:v>
                </c:pt>
                <c:pt idx="1">
                  <c:v>0.5</c:v>
                </c:pt>
                <c:pt idx="2">
                  <c:v>0.25</c:v>
                </c:pt>
                <c:pt idx="3">
                  <c:v>1</c:v>
                </c:pt>
              </c:numCache>
            </c:numRef>
          </c:val>
          <c:extLst>
            <c:ext xmlns:c16="http://schemas.microsoft.com/office/drawing/2014/chart" uri="{C3380CC4-5D6E-409C-BE32-E72D297353CC}">
              <c16:uniqueId val="{00000043-B220-D74A-98E5-7BFC43CB7EB0}"/>
            </c:ext>
          </c:extLst>
        </c:ser>
        <c:dLbls>
          <c:showLegendKey val="0"/>
          <c:showVal val="0"/>
          <c:showCatName val="0"/>
          <c:showSerName val="0"/>
          <c:showPercent val="0"/>
          <c:showBubbleSize val="0"/>
          <c:showLeaderLines val="1"/>
        </c:dLbls>
        <c:firstSliceAng val="270"/>
      </c:pieChart>
      <c:spPr>
        <a:noFill/>
        <a:ln w="25400">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4"/>
          <c:order val="0"/>
          <c:spPr>
            <a:ln>
              <a:noFill/>
            </a:ln>
          </c:spPr>
          <c:dPt>
            <c:idx val="0"/>
            <c:bubble3D val="0"/>
            <c:spPr>
              <a:noFill/>
              <a:ln w="19050">
                <a:noFill/>
              </a:ln>
              <a:effectLst/>
            </c:spPr>
            <c:extLst>
              <c:ext xmlns:c16="http://schemas.microsoft.com/office/drawing/2014/chart" uri="{C3380CC4-5D6E-409C-BE32-E72D297353CC}">
                <c16:uniqueId val="{00000001-4FD2-CD47-8C33-95E1253E56DA}"/>
              </c:ext>
            </c:extLst>
          </c:dPt>
          <c:dPt>
            <c:idx val="1"/>
            <c:bubble3D val="0"/>
            <c:spPr>
              <a:solidFill>
                <a:schemeClr val="tx1"/>
              </a:solidFill>
              <a:ln w="19050">
                <a:noFill/>
              </a:ln>
              <a:effectLst/>
            </c:spPr>
            <c:extLst>
              <c:ext xmlns:c16="http://schemas.microsoft.com/office/drawing/2014/chart" uri="{C3380CC4-5D6E-409C-BE32-E72D297353CC}">
                <c16:uniqueId val="{00000003-4FD2-CD47-8C33-95E1253E56DA}"/>
              </c:ext>
            </c:extLst>
          </c:dPt>
          <c:dPt>
            <c:idx val="2"/>
            <c:bubble3D val="0"/>
            <c:spPr>
              <a:noFill/>
              <a:ln w="19050">
                <a:noFill/>
              </a:ln>
              <a:effectLst/>
            </c:spPr>
            <c:extLst>
              <c:ext xmlns:c16="http://schemas.microsoft.com/office/drawing/2014/chart" uri="{C3380CC4-5D6E-409C-BE32-E72D297353CC}">
                <c16:uniqueId val="{00000005-4FD2-CD47-8C33-95E1253E56DA}"/>
              </c:ext>
            </c:extLst>
          </c:dPt>
          <c:dLbls>
            <c:dLbl>
              <c:idx val="0"/>
              <c:layout>
                <c:manualLayout>
                  <c:x val="0.2080988903673413"/>
                  <c:y val="0.15261378471962453"/>
                </c:manualLayout>
              </c:layout>
              <c:spPr>
                <a:noFill/>
                <a:ln>
                  <a:noFill/>
                </a:ln>
                <a:effectLst/>
              </c:spPr>
              <c:txPr>
                <a:bodyPr rot="0" spcFirstLastPara="1" vertOverflow="ellipsis" vert="horz" wrap="square" lIns="38100" tIns="19050" rIns="38100" bIns="19050" anchor="ctr" anchorCtr="1">
                  <a:spAutoFit/>
                </a:bodyPr>
                <a:lstStyle/>
                <a:p>
                  <a:pPr>
                    <a:defRPr sz="3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FD2-CD47-8C33-95E1253E56DA}"/>
                </c:ext>
              </c:extLst>
            </c:dLbl>
            <c:dLbl>
              <c:idx val="1"/>
              <c:delete val="1"/>
              <c:extLst>
                <c:ext xmlns:c15="http://schemas.microsoft.com/office/drawing/2012/chart" uri="{CE6537A1-D6FC-4f65-9D91-7224C49458BB}"/>
                <c:ext xmlns:c16="http://schemas.microsoft.com/office/drawing/2014/chart" uri="{C3380CC4-5D6E-409C-BE32-E72D297353CC}">
                  <c16:uniqueId val="{00000003-4FD2-CD47-8C33-95E1253E56DA}"/>
                </c:ext>
              </c:extLst>
            </c:dLbl>
            <c:dLbl>
              <c:idx val="2"/>
              <c:delete val="1"/>
              <c:extLst>
                <c:ext xmlns:c15="http://schemas.microsoft.com/office/drawing/2012/chart" uri="{CE6537A1-D6FC-4f65-9D91-7224C49458BB}"/>
                <c:ext xmlns:c16="http://schemas.microsoft.com/office/drawing/2014/chart" uri="{C3380CC4-5D6E-409C-BE32-E72D297353CC}">
                  <c16:uniqueId val="{00000005-4FD2-CD47-8C33-95E1253E56D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'Input(Please create a copy)'!$AT$19:$AT$21</c:f>
              <c:numCache>
                <c:formatCode>0%</c:formatCode>
                <c:ptCount val="3"/>
                <c:pt idx="0">
                  <c:v>0.25600000000000001</c:v>
                </c:pt>
                <c:pt idx="1">
                  <c:v>0.04</c:v>
                </c:pt>
                <c:pt idx="2">
                  <c:v>1.38</c:v>
                </c:pt>
              </c:numCache>
            </c:numRef>
          </c:val>
          <c:extLst>
            <c:ext xmlns:c16="http://schemas.microsoft.com/office/drawing/2014/chart" uri="{C3380CC4-5D6E-409C-BE32-E72D297353CC}">
              <c16:uniqueId val="{00000006-4FD2-CD47-8C33-95E1253E56DA}"/>
            </c:ext>
          </c:extLst>
        </c:ser>
        <c:ser>
          <c:idx val="5"/>
          <c:order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8-4FD2-CD47-8C33-95E1253E56D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A-4FD2-CD47-8C33-95E1253E56D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C-4FD2-CD47-8C33-95E1253E56D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E-4FD2-CD47-8C33-95E1253E56DA}"/>
              </c:ext>
            </c:extLst>
          </c:dPt>
          <c:val>
            <c:numRef>
              <c:f>'Input(Please create a copy)'!$AS$20:$AS$23</c:f>
              <c:numCache>
                <c:formatCode>0%</c:formatCode>
                <c:ptCount val="4"/>
                <c:pt idx="0">
                  <c:v>0.25</c:v>
                </c:pt>
                <c:pt idx="1">
                  <c:v>0.5</c:v>
                </c:pt>
                <c:pt idx="2">
                  <c:v>0.25</c:v>
                </c:pt>
                <c:pt idx="3">
                  <c:v>1</c:v>
                </c:pt>
              </c:numCache>
            </c:numRef>
          </c:val>
          <c:extLst>
            <c:ext xmlns:c16="http://schemas.microsoft.com/office/drawing/2014/chart" uri="{C3380CC4-5D6E-409C-BE32-E72D297353CC}">
              <c16:uniqueId val="{0000000F-4FD2-CD47-8C33-95E1253E56DA}"/>
            </c:ext>
          </c:extLst>
        </c:ser>
        <c:ser>
          <c:idx val="6"/>
          <c:order val="2"/>
          <c:dPt>
            <c:idx val="0"/>
            <c:bubble3D val="0"/>
            <c:spPr>
              <a:solidFill>
                <a:schemeClr val="bg1"/>
              </a:solidFill>
              <a:ln w="19050">
                <a:solidFill>
                  <a:schemeClr val="lt1"/>
                </a:solidFill>
              </a:ln>
              <a:effectLst/>
            </c:spPr>
            <c:extLst>
              <c:ext xmlns:c16="http://schemas.microsoft.com/office/drawing/2014/chart" uri="{C3380CC4-5D6E-409C-BE32-E72D297353CC}">
                <c16:uniqueId val="{00000011-4FD2-CD47-8C33-95E1253E56D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3-4FD2-CD47-8C33-95E1253E56DA}"/>
              </c:ext>
            </c:extLst>
          </c:dPt>
          <c:dPt>
            <c:idx val="2"/>
            <c:bubble3D val="0"/>
            <c:spPr>
              <a:solidFill>
                <a:schemeClr val="bg1"/>
              </a:solidFill>
              <a:ln w="19050">
                <a:solidFill>
                  <a:schemeClr val="lt1"/>
                </a:solidFill>
              </a:ln>
              <a:effectLst/>
            </c:spPr>
            <c:extLst>
              <c:ext xmlns:c16="http://schemas.microsoft.com/office/drawing/2014/chart" uri="{C3380CC4-5D6E-409C-BE32-E72D297353CC}">
                <c16:uniqueId val="{00000015-4FD2-CD47-8C33-95E1253E56DA}"/>
              </c:ext>
            </c:extLst>
          </c:dPt>
          <c:val>
            <c:numRef>
              <c:f>'Input(Please create a copy)'!$AT$19:$AT$21</c:f>
              <c:numCache>
                <c:formatCode>0%</c:formatCode>
                <c:ptCount val="3"/>
                <c:pt idx="0">
                  <c:v>0.25600000000000001</c:v>
                </c:pt>
                <c:pt idx="1">
                  <c:v>0.04</c:v>
                </c:pt>
                <c:pt idx="2">
                  <c:v>1.38</c:v>
                </c:pt>
              </c:numCache>
            </c:numRef>
          </c:val>
          <c:extLst>
            <c:ext xmlns:c16="http://schemas.microsoft.com/office/drawing/2014/chart" uri="{C3380CC4-5D6E-409C-BE32-E72D297353CC}">
              <c16:uniqueId val="{00000016-4FD2-CD47-8C33-95E1253E56DA}"/>
            </c:ext>
          </c:extLst>
        </c:ser>
        <c:ser>
          <c:idx val="7"/>
          <c:order val="3"/>
          <c:dPt>
            <c:idx val="0"/>
            <c:bubble3D val="0"/>
            <c:spPr>
              <a:solidFill>
                <a:schemeClr val="accent1"/>
              </a:solidFill>
              <a:ln w="19050">
                <a:solidFill>
                  <a:schemeClr val="lt1"/>
                </a:solidFill>
              </a:ln>
              <a:effectLst/>
            </c:spPr>
            <c:extLst>
              <c:ext xmlns:c16="http://schemas.microsoft.com/office/drawing/2014/chart" uri="{C3380CC4-5D6E-409C-BE32-E72D297353CC}">
                <c16:uniqueId val="{00000018-4FD2-CD47-8C33-95E1253E56D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A-4FD2-CD47-8C33-95E1253E56D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C-4FD2-CD47-8C33-95E1253E56D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E-4FD2-CD47-8C33-95E1253E56DA}"/>
              </c:ext>
            </c:extLst>
          </c:dPt>
          <c:val>
            <c:numRef>
              <c:f>'Input(Please create a copy)'!$AS$20:$AS$23</c:f>
              <c:numCache>
                <c:formatCode>0%</c:formatCode>
                <c:ptCount val="4"/>
                <c:pt idx="0">
                  <c:v>0.25</c:v>
                </c:pt>
                <c:pt idx="1">
                  <c:v>0.5</c:v>
                </c:pt>
                <c:pt idx="2">
                  <c:v>0.25</c:v>
                </c:pt>
                <c:pt idx="3">
                  <c:v>1</c:v>
                </c:pt>
              </c:numCache>
            </c:numRef>
          </c:val>
          <c:extLst>
            <c:ext xmlns:c16="http://schemas.microsoft.com/office/drawing/2014/chart" uri="{C3380CC4-5D6E-409C-BE32-E72D297353CC}">
              <c16:uniqueId val="{0000001F-4FD2-CD47-8C33-95E1253E56DA}"/>
            </c:ext>
          </c:extLst>
        </c:ser>
        <c:ser>
          <c:idx val="2"/>
          <c:order val="4"/>
          <c:dPt>
            <c:idx val="0"/>
            <c:bubble3D val="0"/>
            <c:spPr>
              <a:solidFill>
                <a:schemeClr val="bg1"/>
              </a:solidFill>
              <a:ln w="19050">
                <a:solidFill>
                  <a:schemeClr val="lt1"/>
                </a:solidFill>
              </a:ln>
              <a:effectLst/>
            </c:spPr>
            <c:extLst>
              <c:ext xmlns:c16="http://schemas.microsoft.com/office/drawing/2014/chart" uri="{C3380CC4-5D6E-409C-BE32-E72D297353CC}">
                <c16:uniqueId val="{00000021-4FD2-CD47-8C33-95E1253E56D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23-4FD2-CD47-8C33-95E1253E56DA}"/>
              </c:ext>
            </c:extLst>
          </c:dPt>
          <c:dPt>
            <c:idx val="2"/>
            <c:bubble3D val="0"/>
            <c:spPr>
              <a:solidFill>
                <a:schemeClr val="bg1"/>
              </a:solidFill>
              <a:ln w="19050">
                <a:solidFill>
                  <a:schemeClr val="lt1"/>
                </a:solidFill>
              </a:ln>
              <a:effectLst/>
            </c:spPr>
            <c:extLst>
              <c:ext xmlns:c16="http://schemas.microsoft.com/office/drawing/2014/chart" uri="{C3380CC4-5D6E-409C-BE32-E72D297353CC}">
                <c16:uniqueId val="{00000025-4FD2-CD47-8C33-95E1253E56DA}"/>
              </c:ext>
            </c:extLst>
          </c:dPt>
          <c:val>
            <c:numRef>
              <c:f>'Input(Please create a copy)'!$AT$19:$AT$21</c:f>
              <c:numCache>
                <c:formatCode>0%</c:formatCode>
                <c:ptCount val="3"/>
                <c:pt idx="0">
                  <c:v>0.25600000000000001</c:v>
                </c:pt>
                <c:pt idx="1">
                  <c:v>0.04</c:v>
                </c:pt>
                <c:pt idx="2">
                  <c:v>1.38</c:v>
                </c:pt>
              </c:numCache>
            </c:numRef>
          </c:val>
          <c:extLst>
            <c:ext xmlns:c16="http://schemas.microsoft.com/office/drawing/2014/chart" uri="{C3380CC4-5D6E-409C-BE32-E72D297353CC}">
              <c16:uniqueId val="{00000026-4FD2-CD47-8C33-95E1253E56DA}"/>
            </c:ext>
          </c:extLst>
        </c:ser>
        <c:ser>
          <c:idx val="3"/>
          <c:order val="5"/>
          <c:dPt>
            <c:idx val="0"/>
            <c:bubble3D val="0"/>
            <c:spPr>
              <a:solidFill>
                <a:schemeClr val="accent1"/>
              </a:solidFill>
              <a:ln w="19050">
                <a:solidFill>
                  <a:schemeClr val="lt1"/>
                </a:solidFill>
              </a:ln>
              <a:effectLst/>
            </c:spPr>
            <c:extLst>
              <c:ext xmlns:c16="http://schemas.microsoft.com/office/drawing/2014/chart" uri="{C3380CC4-5D6E-409C-BE32-E72D297353CC}">
                <c16:uniqueId val="{00000028-4FD2-CD47-8C33-95E1253E56D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2A-4FD2-CD47-8C33-95E1253E56D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2C-4FD2-CD47-8C33-95E1253E56D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2E-4FD2-CD47-8C33-95E1253E56DA}"/>
              </c:ext>
            </c:extLst>
          </c:dPt>
          <c:val>
            <c:numRef>
              <c:f>'Input(Please create a copy)'!$AS$20:$AS$23</c:f>
              <c:numCache>
                <c:formatCode>0%</c:formatCode>
                <c:ptCount val="4"/>
                <c:pt idx="0">
                  <c:v>0.25</c:v>
                </c:pt>
                <c:pt idx="1">
                  <c:v>0.5</c:v>
                </c:pt>
                <c:pt idx="2">
                  <c:v>0.25</c:v>
                </c:pt>
                <c:pt idx="3">
                  <c:v>1</c:v>
                </c:pt>
              </c:numCache>
            </c:numRef>
          </c:val>
          <c:extLst>
            <c:ext xmlns:c16="http://schemas.microsoft.com/office/drawing/2014/chart" uri="{C3380CC4-5D6E-409C-BE32-E72D297353CC}">
              <c16:uniqueId val="{0000002F-4FD2-CD47-8C33-95E1253E56DA}"/>
            </c:ext>
          </c:extLst>
        </c:ser>
        <c:ser>
          <c:idx val="0"/>
          <c:order val="6"/>
          <c:dPt>
            <c:idx val="0"/>
            <c:bubble3D val="0"/>
            <c:spPr>
              <a:solidFill>
                <a:schemeClr val="bg1"/>
              </a:solidFill>
              <a:ln w="19050">
                <a:solidFill>
                  <a:schemeClr val="lt1"/>
                </a:solidFill>
              </a:ln>
              <a:effectLst/>
            </c:spPr>
            <c:extLst>
              <c:ext xmlns:c16="http://schemas.microsoft.com/office/drawing/2014/chart" uri="{C3380CC4-5D6E-409C-BE32-E72D297353CC}">
                <c16:uniqueId val="{00000031-4FD2-CD47-8C33-95E1253E56D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33-4FD2-CD47-8C33-95E1253E56DA}"/>
              </c:ext>
            </c:extLst>
          </c:dPt>
          <c:dPt>
            <c:idx val="2"/>
            <c:bubble3D val="0"/>
            <c:spPr>
              <a:solidFill>
                <a:schemeClr val="bg1"/>
              </a:solidFill>
              <a:ln w="19050">
                <a:solidFill>
                  <a:schemeClr val="lt1"/>
                </a:solidFill>
              </a:ln>
              <a:effectLst/>
            </c:spPr>
            <c:extLst>
              <c:ext xmlns:c16="http://schemas.microsoft.com/office/drawing/2014/chart" uri="{C3380CC4-5D6E-409C-BE32-E72D297353CC}">
                <c16:uniqueId val="{00000035-4FD2-CD47-8C33-95E1253E56DA}"/>
              </c:ext>
            </c:extLst>
          </c:dPt>
          <c:dLbls>
            <c:dLbl>
              <c:idx val="0"/>
              <c:layout>
                <c:manualLayout>
                  <c:x val="0.26376228245614164"/>
                  <c:y val="-0.13957760795667665"/>
                </c:manualLayout>
              </c:layout>
              <c:spPr>
                <a:noFill/>
                <a:ln>
                  <a:noFill/>
                </a:ln>
                <a:effectLst/>
              </c:spPr>
              <c:txPr>
                <a:bodyPr rot="0" spcFirstLastPara="1" vertOverflow="ellipsis" vert="horz" wrap="square" lIns="38100" tIns="19050" rIns="38100" bIns="19050" anchor="ctr" anchorCtr="1">
                  <a:noAutofit/>
                </a:bodyPr>
                <a:lstStyle/>
                <a:p>
                  <a:pPr>
                    <a:defRPr sz="1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2271392541013418"/>
                      <c:h val="9.0748948845741084E-2"/>
                    </c:manualLayout>
                  </c15:layout>
                </c:ext>
                <c:ext xmlns:c16="http://schemas.microsoft.com/office/drawing/2014/chart" uri="{C3380CC4-5D6E-409C-BE32-E72D297353CC}">
                  <c16:uniqueId val="{00000031-4FD2-CD47-8C33-95E1253E56DA}"/>
                </c:ext>
              </c:extLst>
            </c:dLbl>
            <c:dLbl>
              <c:idx val="1"/>
              <c:delete val="1"/>
              <c:extLst>
                <c:ext xmlns:c15="http://schemas.microsoft.com/office/drawing/2012/chart" uri="{CE6537A1-D6FC-4f65-9D91-7224C49458BB}"/>
                <c:ext xmlns:c16="http://schemas.microsoft.com/office/drawing/2014/chart" uri="{C3380CC4-5D6E-409C-BE32-E72D297353CC}">
                  <c16:uniqueId val="{00000033-4FD2-CD47-8C33-95E1253E56DA}"/>
                </c:ext>
              </c:extLst>
            </c:dLbl>
            <c:dLbl>
              <c:idx val="2"/>
              <c:delete val="1"/>
              <c:extLst>
                <c:ext xmlns:c15="http://schemas.microsoft.com/office/drawing/2012/chart" uri="{CE6537A1-D6FC-4f65-9D91-7224C49458BB}"/>
                <c:ext xmlns:c16="http://schemas.microsoft.com/office/drawing/2014/chart" uri="{C3380CC4-5D6E-409C-BE32-E72D297353CC}">
                  <c16:uniqueId val="{00000035-4FD2-CD47-8C33-95E1253E56D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'Input(Please create a copy)'!$AT$19:$AT$21</c:f>
              <c:numCache>
                <c:formatCode>0%</c:formatCode>
                <c:ptCount val="3"/>
                <c:pt idx="0">
                  <c:v>0.25600000000000001</c:v>
                </c:pt>
                <c:pt idx="1">
                  <c:v>0.04</c:v>
                </c:pt>
                <c:pt idx="2">
                  <c:v>1.38</c:v>
                </c:pt>
              </c:numCache>
            </c:numRef>
          </c:val>
          <c:extLst>
            <c:ext xmlns:c16="http://schemas.microsoft.com/office/drawing/2014/chart" uri="{C3380CC4-5D6E-409C-BE32-E72D297353CC}">
              <c16:uniqueId val="{00000036-4FD2-CD47-8C33-95E1253E56DA}"/>
            </c:ext>
          </c:extLst>
        </c:ser>
        <c:ser>
          <c:idx val="1"/>
          <c:order val="7"/>
          <c:dPt>
            <c:idx val="0"/>
            <c:bubble3D val="0"/>
            <c:spPr>
              <a:solidFill>
                <a:schemeClr val="accent1"/>
              </a:solidFill>
              <a:ln w="19050">
                <a:solidFill>
                  <a:schemeClr val="lt1"/>
                </a:solidFill>
              </a:ln>
              <a:effectLst/>
            </c:spPr>
            <c:extLst>
              <c:ext xmlns:c16="http://schemas.microsoft.com/office/drawing/2014/chart" uri="{C3380CC4-5D6E-409C-BE32-E72D297353CC}">
                <c16:uniqueId val="{00000038-4FD2-CD47-8C33-95E1253E56D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3A-4FD2-CD47-8C33-95E1253E56D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3C-4FD2-CD47-8C33-95E1253E56D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3E-4FD2-CD47-8C33-95E1253E56DA}"/>
              </c:ext>
            </c:extLst>
          </c:dPt>
          <c:val>
            <c:numRef>
              <c:f>'Input(Please create a copy)'!$AS$20:$AS$23</c:f>
              <c:numCache>
                <c:formatCode>0%</c:formatCode>
                <c:ptCount val="4"/>
                <c:pt idx="0">
                  <c:v>0.25</c:v>
                </c:pt>
                <c:pt idx="1">
                  <c:v>0.5</c:v>
                </c:pt>
                <c:pt idx="2">
                  <c:v>0.25</c:v>
                </c:pt>
                <c:pt idx="3">
                  <c:v>1</c:v>
                </c:pt>
              </c:numCache>
            </c:numRef>
          </c:val>
          <c:extLst>
            <c:ext xmlns:c16="http://schemas.microsoft.com/office/drawing/2014/chart" uri="{C3380CC4-5D6E-409C-BE32-E72D297353CC}">
              <c16:uniqueId val="{0000003F-4FD2-CD47-8C33-95E1253E56DA}"/>
            </c:ext>
          </c:extLst>
        </c:ser>
        <c:dLbls>
          <c:showLegendKey val="0"/>
          <c:showVal val="0"/>
          <c:showCatName val="0"/>
          <c:showSerName val="0"/>
          <c:showPercent val="0"/>
          <c:showBubbleSize val="0"/>
          <c:showLeaderLines val="1"/>
        </c:dLbls>
        <c:firstSliceAng val="270"/>
      </c:pieChart>
      <c:spPr>
        <a:noFill/>
        <a:ln w="25400">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4"/>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452-9E40-B993-0FE9E44D5E18}"/>
              </c:ext>
            </c:extLst>
          </c:dPt>
          <c:dPt>
            <c:idx val="1"/>
            <c:bubble3D val="0"/>
            <c:spPr>
              <a:solidFill>
                <a:srgbClr val="92D050"/>
              </a:solidFill>
              <a:ln w="19050">
                <a:solidFill>
                  <a:schemeClr val="lt1"/>
                </a:solidFill>
              </a:ln>
              <a:effectLst/>
            </c:spPr>
            <c:extLst>
              <c:ext xmlns:c16="http://schemas.microsoft.com/office/drawing/2014/chart" uri="{C3380CC4-5D6E-409C-BE32-E72D297353CC}">
                <c16:uniqueId val="{00000003-B452-9E40-B993-0FE9E44D5E18}"/>
              </c:ext>
            </c:extLst>
          </c:dPt>
          <c:dPt>
            <c:idx val="2"/>
            <c:bubble3D val="0"/>
            <c:spPr>
              <a:solidFill>
                <a:srgbClr val="FFFF00"/>
              </a:solidFill>
              <a:ln w="19050">
                <a:solidFill>
                  <a:schemeClr val="lt1"/>
                </a:solidFill>
              </a:ln>
              <a:effectLst/>
            </c:spPr>
            <c:extLst>
              <c:ext xmlns:c16="http://schemas.microsoft.com/office/drawing/2014/chart" uri="{C3380CC4-5D6E-409C-BE32-E72D297353CC}">
                <c16:uniqueId val="{00000005-B452-9E40-B993-0FE9E44D5E18}"/>
              </c:ext>
            </c:extLst>
          </c:dPt>
          <c:dPt>
            <c:idx val="3"/>
            <c:bubble3D val="0"/>
            <c:spPr>
              <a:solidFill>
                <a:srgbClr val="FF0000"/>
              </a:solidFill>
              <a:ln w="19050">
                <a:solidFill>
                  <a:schemeClr val="lt1"/>
                </a:solidFill>
              </a:ln>
              <a:effectLst/>
            </c:spPr>
            <c:extLst>
              <c:ext xmlns:c16="http://schemas.microsoft.com/office/drawing/2014/chart" uri="{C3380CC4-5D6E-409C-BE32-E72D297353CC}">
                <c16:uniqueId val="{00000007-B452-9E40-B993-0FE9E44D5E18}"/>
              </c:ext>
            </c:extLst>
          </c:dPt>
          <c:dPt>
            <c:idx val="4"/>
            <c:bubble3D val="0"/>
            <c:spPr>
              <a:noFill/>
              <a:ln w="19050">
                <a:solidFill>
                  <a:schemeClr val="lt1"/>
                </a:solidFill>
              </a:ln>
              <a:effectLst/>
            </c:spPr>
            <c:extLst>
              <c:ext xmlns:c16="http://schemas.microsoft.com/office/drawing/2014/chart" uri="{C3380CC4-5D6E-409C-BE32-E72D297353CC}">
                <c16:uniqueId val="{00000009-B452-9E40-B993-0FE9E44D5E18}"/>
              </c:ext>
            </c:extLst>
          </c:dPt>
          <c:val>
            <c:numRef>
              <c:f>'Process 1'!$AS$19:$AS$23</c:f>
              <c:numCache>
                <c:formatCode>0%</c:formatCode>
                <c:ptCount val="5"/>
                <c:pt idx="0" formatCode="General">
                  <c:v>0</c:v>
                </c:pt>
                <c:pt idx="1">
                  <c:v>0.25</c:v>
                </c:pt>
                <c:pt idx="2">
                  <c:v>0.5</c:v>
                </c:pt>
                <c:pt idx="3">
                  <c:v>0.25</c:v>
                </c:pt>
                <c:pt idx="4">
                  <c:v>1</c:v>
                </c:pt>
              </c:numCache>
            </c:numRef>
          </c:val>
          <c:extLst>
            <c:ext xmlns:c16="http://schemas.microsoft.com/office/drawing/2014/chart" uri="{C3380CC4-5D6E-409C-BE32-E72D297353CC}">
              <c16:uniqueId val="{0000000A-B452-9E40-B993-0FE9E44D5E18}"/>
            </c:ext>
          </c:extLst>
        </c:ser>
        <c:ser>
          <c:idx val="5"/>
          <c:order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C-B452-9E40-B993-0FE9E44D5E1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E-B452-9E40-B993-0FE9E44D5E1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0-B452-9E40-B993-0FE9E44D5E1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2-B452-9E40-B993-0FE9E44D5E18}"/>
              </c:ext>
            </c:extLst>
          </c:dPt>
          <c:val>
            <c:numRef>
              <c:f>'Process 1'!$AS$20:$AS$23</c:f>
              <c:numCache>
                <c:formatCode>0%</c:formatCode>
                <c:ptCount val="4"/>
                <c:pt idx="0">
                  <c:v>0.25</c:v>
                </c:pt>
                <c:pt idx="1">
                  <c:v>0.5</c:v>
                </c:pt>
                <c:pt idx="2">
                  <c:v>0.25</c:v>
                </c:pt>
                <c:pt idx="3">
                  <c:v>1</c:v>
                </c:pt>
              </c:numCache>
            </c:numRef>
          </c:val>
          <c:extLst>
            <c:ext xmlns:c16="http://schemas.microsoft.com/office/drawing/2014/chart" uri="{C3380CC4-5D6E-409C-BE32-E72D297353CC}">
              <c16:uniqueId val="{00000013-B452-9E40-B993-0FE9E44D5E18}"/>
            </c:ext>
          </c:extLst>
        </c:ser>
        <c:ser>
          <c:idx val="6"/>
          <c:order val="2"/>
          <c:dPt>
            <c:idx val="0"/>
            <c:bubble3D val="0"/>
            <c:spPr>
              <a:solidFill>
                <a:schemeClr val="bg1"/>
              </a:solidFill>
              <a:ln w="19050">
                <a:solidFill>
                  <a:schemeClr val="lt1"/>
                </a:solidFill>
              </a:ln>
              <a:effectLst/>
            </c:spPr>
            <c:extLst>
              <c:ext xmlns:c16="http://schemas.microsoft.com/office/drawing/2014/chart" uri="{C3380CC4-5D6E-409C-BE32-E72D297353CC}">
                <c16:uniqueId val="{00000015-B452-9E40-B993-0FE9E44D5E1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7-B452-9E40-B993-0FE9E44D5E18}"/>
              </c:ext>
            </c:extLst>
          </c:dPt>
          <c:dPt>
            <c:idx val="2"/>
            <c:bubble3D val="0"/>
            <c:spPr>
              <a:solidFill>
                <a:schemeClr val="bg1"/>
              </a:solidFill>
              <a:ln w="19050">
                <a:solidFill>
                  <a:schemeClr val="lt1"/>
                </a:solidFill>
              </a:ln>
              <a:effectLst/>
            </c:spPr>
            <c:extLst>
              <c:ext xmlns:c16="http://schemas.microsoft.com/office/drawing/2014/chart" uri="{C3380CC4-5D6E-409C-BE32-E72D297353CC}">
                <c16:uniqueId val="{00000019-B452-9E40-B993-0FE9E44D5E18}"/>
              </c:ext>
            </c:extLst>
          </c:dPt>
          <c:val>
            <c:numRef>
              <c:f>'Process 1'!$AT$19:$AT$21</c:f>
              <c:numCache>
                <c:formatCode>0%</c:formatCode>
                <c:ptCount val="3"/>
                <c:pt idx="0">
                  <c:v>0.16400000000000001</c:v>
                </c:pt>
                <c:pt idx="1">
                  <c:v>0.04</c:v>
                </c:pt>
                <c:pt idx="2">
                  <c:v>1.38</c:v>
                </c:pt>
              </c:numCache>
            </c:numRef>
          </c:val>
          <c:extLst>
            <c:ext xmlns:c16="http://schemas.microsoft.com/office/drawing/2014/chart" uri="{C3380CC4-5D6E-409C-BE32-E72D297353CC}">
              <c16:uniqueId val="{0000001A-B452-9E40-B993-0FE9E44D5E18}"/>
            </c:ext>
          </c:extLst>
        </c:ser>
        <c:ser>
          <c:idx val="7"/>
          <c:order val="3"/>
          <c:dPt>
            <c:idx val="0"/>
            <c:bubble3D val="0"/>
            <c:spPr>
              <a:solidFill>
                <a:schemeClr val="accent1"/>
              </a:solidFill>
              <a:ln w="19050">
                <a:solidFill>
                  <a:schemeClr val="lt1"/>
                </a:solidFill>
              </a:ln>
              <a:effectLst/>
            </c:spPr>
            <c:extLst>
              <c:ext xmlns:c16="http://schemas.microsoft.com/office/drawing/2014/chart" uri="{C3380CC4-5D6E-409C-BE32-E72D297353CC}">
                <c16:uniqueId val="{0000001C-B452-9E40-B993-0FE9E44D5E1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E-B452-9E40-B993-0FE9E44D5E1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20-B452-9E40-B993-0FE9E44D5E1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22-B452-9E40-B993-0FE9E44D5E18}"/>
              </c:ext>
            </c:extLst>
          </c:dPt>
          <c:val>
            <c:numRef>
              <c:f>'Process 1'!$AS$20:$AS$23</c:f>
              <c:numCache>
                <c:formatCode>0%</c:formatCode>
                <c:ptCount val="4"/>
                <c:pt idx="0">
                  <c:v>0.25</c:v>
                </c:pt>
                <c:pt idx="1">
                  <c:v>0.5</c:v>
                </c:pt>
                <c:pt idx="2">
                  <c:v>0.25</c:v>
                </c:pt>
                <c:pt idx="3">
                  <c:v>1</c:v>
                </c:pt>
              </c:numCache>
            </c:numRef>
          </c:val>
          <c:extLst>
            <c:ext xmlns:c16="http://schemas.microsoft.com/office/drawing/2014/chart" uri="{C3380CC4-5D6E-409C-BE32-E72D297353CC}">
              <c16:uniqueId val="{00000023-B452-9E40-B993-0FE9E44D5E18}"/>
            </c:ext>
          </c:extLst>
        </c:ser>
        <c:ser>
          <c:idx val="2"/>
          <c:order val="4"/>
          <c:dPt>
            <c:idx val="0"/>
            <c:bubble3D val="0"/>
            <c:spPr>
              <a:solidFill>
                <a:schemeClr val="bg1"/>
              </a:solidFill>
              <a:ln w="19050">
                <a:solidFill>
                  <a:schemeClr val="lt1"/>
                </a:solidFill>
              </a:ln>
              <a:effectLst/>
            </c:spPr>
            <c:extLst>
              <c:ext xmlns:c16="http://schemas.microsoft.com/office/drawing/2014/chart" uri="{C3380CC4-5D6E-409C-BE32-E72D297353CC}">
                <c16:uniqueId val="{00000025-B452-9E40-B993-0FE9E44D5E1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27-B452-9E40-B993-0FE9E44D5E18}"/>
              </c:ext>
            </c:extLst>
          </c:dPt>
          <c:dPt>
            <c:idx val="2"/>
            <c:bubble3D val="0"/>
            <c:spPr>
              <a:solidFill>
                <a:schemeClr val="bg1"/>
              </a:solidFill>
              <a:ln w="19050">
                <a:solidFill>
                  <a:schemeClr val="lt1"/>
                </a:solidFill>
              </a:ln>
              <a:effectLst/>
            </c:spPr>
            <c:extLst>
              <c:ext xmlns:c16="http://schemas.microsoft.com/office/drawing/2014/chart" uri="{C3380CC4-5D6E-409C-BE32-E72D297353CC}">
                <c16:uniqueId val="{00000029-B452-9E40-B993-0FE9E44D5E18}"/>
              </c:ext>
            </c:extLst>
          </c:dPt>
          <c:val>
            <c:numRef>
              <c:f>'Process 1'!$AT$19:$AT$21</c:f>
              <c:numCache>
                <c:formatCode>0%</c:formatCode>
                <c:ptCount val="3"/>
                <c:pt idx="0">
                  <c:v>0.16400000000000001</c:v>
                </c:pt>
                <c:pt idx="1">
                  <c:v>0.04</c:v>
                </c:pt>
                <c:pt idx="2">
                  <c:v>1.38</c:v>
                </c:pt>
              </c:numCache>
            </c:numRef>
          </c:val>
          <c:extLst>
            <c:ext xmlns:c16="http://schemas.microsoft.com/office/drawing/2014/chart" uri="{C3380CC4-5D6E-409C-BE32-E72D297353CC}">
              <c16:uniqueId val="{0000002A-B452-9E40-B993-0FE9E44D5E18}"/>
            </c:ext>
          </c:extLst>
        </c:ser>
        <c:ser>
          <c:idx val="3"/>
          <c:order val="5"/>
          <c:dPt>
            <c:idx val="0"/>
            <c:bubble3D val="0"/>
            <c:spPr>
              <a:solidFill>
                <a:schemeClr val="accent1"/>
              </a:solidFill>
              <a:ln w="19050">
                <a:solidFill>
                  <a:schemeClr val="lt1"/>
                </a:solidFill>
              </a:ln>
              <a:effectLst/>
            </c:spPr>
            <c:extLst>
              <c:ext xmlns:c16="http://schemas.microsoft.com/office/drawing/2014/chart" uri="{C3380CC4-5D6E-409C-BE32-E72D297353CC}">
                <c16:uniqueId val="{0000002C-B452-9E40-B993-0FE9E44D5E1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2E-B452-9E40-B993-0FE9E44D5E1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30-B452-9E40-B993-0FE9E44D5E1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32-B452-9E40-B993-0FE9E44D5E18}"/>
              </c:ext>
            </c:extLst>
          </c:dPt>
          <c:val>
            <c:numRef>
              <c:f>'Process 1'!$AS$20:$AS$23</c:f>
              <c:numCache>
                <c:formatCode>0%</c:formatCode>
                <c:ptCount val="4"/>
                <c:pt idx="0">
                  <c:v>0.25</c:v>
                </c:pt>
                <c:pt idx="1">
                  <c:v>0.5</c:v>
                </c:pt>
                <c:pt idx="2">
                  <c:v>0.25</c:v>
                </c:pt>
                <c:pt idx="3">
                  <c:v>1</c:v>
                </c:pt>
              </c:numCache>
            </c:numRef>
          </c:val>
          <c:extLst>
            <c:ext xmlns:c16="http://schemas.microsoft.com/office/drawing/2014/chart" uri="{C3380CC4-5D6E-409C-BE32-E72D297353CC}">
              <c16:uniqueId val="{00000033-B452-9E40-B993-0FE9E44D5E18}"/>
            </c:ext>
          </c:extLst>
        </c:ser>
        <c:ser>
          <c:idx val="0"/>
          <c:order val="6"/>
          <c:dPt>
            <c:idx val="0"/>
            <c:bubble3D val="0"/>
            <c:spPr>
              <a:solidFill>
                <a:schemeClr val="bg1"/>
              </a:solidFill>
              <a:ln w="19050">
                <a:solidFill>
                  <a:schemeClr val="lt1"/>
                </a:solidFill>
              </a:ln>
              <a:effectLst/>
            </c:spPr>
            <c:extLst>
              <c:ext xmlns:c16="http://schemas.microsoft.com/office/drawing/2014/chart" uri="{C3380CC4-5D6E-409C-BE32-E72D297353CC}">
                <c16:uniqueId val="{00000035-B452-9E40-B993-0FE9E44D5E1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37-B452-9E40-B993-0FE9E44D5E18}"/>
              </c:ext>
            </c:extLst>
          </c:dPt>
          <c:dPt>
            <c:idx val="2"/>
            <c:bubble3D val="0"/>
            <c:spPr>
              <a:solidFill>
                <a:schemeClr val="bg1"/>
              </a:solidFill>
              <a:ln w="19050">
                <a:solidFill>
                  <a:schemeClr val="lt1"/>
                </a:solidFill>
              </a:ln>
              <a:effectLst/>
            </c:spPr>
            <c:extLst>
              <c:ext xmlns:c16="http://schemas.microsoft.com/office/drawing/2014/chart" uri="{C3380CC4-5D6E-409C-BE32-E72D297353CC}">
                <c16:uniqueId val="{00000039-B452-9E40-B993-0FE9E44D5E18}"/>
              </c:ext>
            </c:extLst>
          </c:dPt>
          <c:dLbls>
            <c:dLbl>
              <c:idx val="0"/>
              <c:layout>
                <c:manualLayout>
                  <c:x val="0.26376228245614164"/>
                  <c:y val="-0.13957760795667665"/>
                </c:manualLayout>
              </c:layout>
              <c:spPr>
                <a:noFill/>
                <a:ln>
                  <a:noFill/>
                </a:ln>
                <a:effectLst/>
              </c:spPr>
              <c:txPr>
                <a:bodyPr rot="0" spcFirstLastPara="1" vertOverflow="ellipsis" vert="horz" wrap="square" lIns="38100" tIns="19050" rIns="38100" bIns="19050" anchor="ctr" anchorCtr="1">
                  <a:noAutofit/>
                </a:bodyPr>
                <a:lstStyle/>
                <a:p>
                  <a:pPr>
                    <a:defRPr sz="1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2271392541013418"/>
                      <c:h val="9.0748948845741084E-2"/>
                    </c:manualLayout>
                  </c15:layout>
                </c:ext>
                <c:ext xmlns:c16="http://schemas.microsoft.com/office/drawing/2014/chart" uri="{C3380CC4-5D6E-409C-BE32-E72D297353CC}">
                  <c16:uniqueId val="{00000035-B452-9E40-B993-0FE9E44D5E18}"/>
                </c:ext>
              </c:extLst>
            </c:dLbl>
            <c:dLbl>
              <c:idx val="1"/>
              <c:delete val="1"/>
              <c:extLst>
                <c:ext xmlns:c15="http://schemas.microsoft.com/office/drawing/2012/chart" uri="{CE6537A1-D6FC-4f65-9D91-7224C49458BB}"/>
                <c:ext xmlns:c16="http://schemas.microsoft.com/office/drawing/2014/chart" uri="{C3380CC4-5D6E-409C-BE32-E72D297353CC}">
                  <c16:uniqueId val="{00000037-B452-9E40-B993-0FE9E44D5E18}"/>
                </c:ext>
              </c:extLst>
            </c:dLbl>
            <c:dLbl>
              <c:idx val="2"/>
              <c:delete val="1"/>
              <c:extLst>
                <c:ext xmlns:c15="http://schemas.microsoft.com/office/drawing/2012/chart" uri="{CE6537A1-D6FC-4f65-9D91-7224C49458BB}"/>
                <c:ext xmlns:c16="http://schemas.microsoft.com/office/drawing/2014/chart" uri="{C3380CC4-5D6E-409C-BE32-E72D297353CC}">
                  <c16:uniqueId val="{00000039-B452-9E40-B993-0FE9E44D5E1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'Process 1'!$AT$19:$AT$21</c:f>
              <c:numCache>
                <c:formatCode>0%</c:formatCode>
                <c:ptCount val="3"/>
                <c:pt idx="0">
                  <c:v>0.16400000000000001</c:v>
                </c:pt>
                <c:pt idx="1">
                  <c:v>0.04</c:v>
                </c:pt>
                <c:pt idx="2">
                  <c:v>1.38</c:v>
                </c:pt>
              </c:numCache>
            </c:numRef>
          </c:val>
          <c:extLst>
            <c:ext xmlns:c16="http://schemas.microsoft.com/office/drawing/2014/chart" uri="{C3380CC4-5D6E-409C-BE32-E72D297353CC}">
              <c16:uniqueId val="{0000003A-B452-9E40-B993-0FE9E44D5E18}"/>
            </c:ext>
          </c:extLst>
        </c:ser>
        <c:ser>
          <c:idx val="1"/>
          <c:order val="7"/>
          <c:dPt>
            <c:idx val="0"/>
            <c:bubble3D val="0"/>
            <c:spPr>
              <a:solidFill>
                <a:schemeClr val="accent1"/>
              </a:solidFill>
              <a:ln w="19050">
                <a:solidFill>
                  <a:schemeClr val="lt1"/>
                </a:solidFill>
              </a:ln>
              <a:effectLst/>
            </c:spPr>
            <c:extLst>
              <c:ext xmlns:c16="http://schemas.microsoft.com/office/drawing/2014/chart" uri="{C3380CC4-5D6E-409C-BE32-E72D297353CC}">
                <c16:uniqueId val="{0000003C-B452-9E40-B993-0FE9E44D5E1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3E-B452-9E40-B993-0FE9E44D5E1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40-B452-9E40-B993-0FE9E44D5E1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42-B452-9E40-B993-0FE9E44D5E18}"/>
              </c:ext>
            </c:extLst>
          </c:dPt>
          <c:val>
            <c:numRef>
              <c:f>'Process 1'!$AS$20:$AS$23</c:f>
              <c:numCache>
                <c:formatCode>0%</c:formatCode>
                <c:ptCount val="4"/>
                <c:pt idx="0">
                  <c:v>0.25</c:v>
                </c:pt>
                <c:pt idx="1">
                  <c:v>0.5</c:v>
                </c:pt>
                <c:pt idx="2">
                  <c:v>0.25</c:v>
                </c:pt>
                <c:pt idx="3">
                  <c:v>1</c:v>
                </c:pt>
              </c:numCache>
            </c:numRef>
          </c:val>
          <c:extLst>
            <c:ext xmlns:c16="http://schemas.microsoft.com/office/drawing/2014/chart" uri="{C3380CC4-5D6E-409C-BE32-E72D297353CC}">
              <c16:uniqueId val="{00000043-B452-9E40-B993-0FE9E44D5E18}"/>
            </c:ext>
          </c:extLst>
        </c:ser>
        <c:dLbls>
          <c:showLegendKey val="0"/>
          <c:showVal val="0"/>
          <c:showCatName val="0"/>
          <c:showSerName val="0"/>
          <c:showPercent val="0"/>
          <c:showBubbleSize val="0"/>
          <c:showLeaderLines val="1"/>
        </c:dLbls>
        <c:firstSliceAng val="270"/>
      </c:pieChart>
      <c:spPr>
        <a:noFill/>
        <a:ln w="25400">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4"/>
          <c:order val="0"/>
          <c:spPr>
            <a:ln>
              <a:noFill/>
            </a:ln>
          </c:spPr>
          <c:dPt>
            <c:idx val="0"/>
            <c:bubble3D val="0"/>
            <c:spPr>
              <a:noFill/>
              <a:ln w="19050">
                <a:noFill/>
              </a:ln>
              <a:effectLst/>
            </c:spPr>
            <c:extLst>
              <c:ext xmlns:c16="http://schemas.microsoft.com/office/drawing/2014/chart" uri="{C3380CC4-5D6E-409C-BE32-E72D297353CC}">
                <c16:uniqueId val="{00000001-06BC-3148-BD51-5CF4011F2A8C}"/>
              </c:ext>
            </c:extLst>
          </c:dPt>
          <c:dPt>
            <c:idx val="1"/>
            <c:bubble3D val="0"/>
            <c:spPr>
              <a:solidFill>
                <a:schemeClr val="tx1"/>
              </a:solidFill>
              <a:ln w="19050">
                <a:noFill/>
              </a:ln>
              <a:effectLst/>
            </c:spPr>
            <c:extLst>
              <c:ext xmlns:c16="http://schemas.microsoft.com/office/drawing/2014/chart" uri="{C3380CC4-5D6E-409C-BE32-E72D297353CC}">
                <c16:uniqueId val="{00000003-06BC-3148-BD51-5CF4011F2A8C}"/>
              </c:ext>
            </c:extLst>
          </c:dPt>
          <c:dPt>
            <c:idx val="2"/>
            <c:bubble3D val="0"/>
            <c:spPr>
              <a:noFill/>
              <a:ln w="19050">
                <a:noFill/>
              </a:ln>
              <a:effectLst/>
            </c:spPr>
            <c:extLst>
              <c:ext xmlns:c16="http://schemas.microsoft.com/office/drawing/2014/chart" uri="{C3380CC4-5D6E-409C-BE32-E72D297353CC}">
                <c16:uniqueId val="{00000005-06BC-3148-BD51-5CF4011F2A8C}"/>
              </c:ext>
            </c:extLst>
          </c:dPt>
          <c:dLbls>
            <c:dLbl>
              <c:idx val="0"/>
              <c:layout>
                <c:manualLayout>
                  <c:x val="0.2080988903673413"/>
                  <c:y val="0.15261378471962453"/>
                </c:manualLayout>
              </c:layout>
              <c:spPr>
                <a:noFill/>
                <a:ln>
                  <a:noFill/>
                </a:ln>
                <a:effectLst/>
              </c:spPr>
              <c:txPr>
                <a:bodyPr rot="0" spcFirstLastPara="1" vertOverflow="ellipsis" vert="horz" wrap="square" lIns="38100" tIns="19050" rIns="38100" bIns="19050" anchor="ctr" anchorCtr="1">
                  <a:spAutoFit/>
                </a:bodyPr>
                <a:lstStyle/>
                <a:p>
                  <a:pPr>
                    <a:defRPr sz="3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6BC-3148-BD51-5CF4011F2A8C}"/>
                </c:ext>
              </c:extLst>
            </c:dLbl>
            <c:dLbl>
              <c:idx val="1"/>
              <c:delete val="1"/>
              <c:extLst>
                <c:ext xmlns:c15="http://schemas.microsoft.com/office/drawing/2012/chart" uri="{CE6537A1-D6FC-4f65-9D91-7224C49458BB}"/>
                <c:ext xmlns:c16="http://schemas.microsoft.com/office/drawing/2014/chart" uri="{C3380CC4-5D6E-409C-BE32-E72D297353CC}">
                  <c16:uniqueId val="{00000003-06BC-3148-BD51-5CF4011F2A8C}"/>
                </c:ext>
              </c:extLst>
            </c:dLbl>
            <c:dLbl>
              <c:idx val="2"/>
              <c:delete val="1"/>
              <c:extLst>
                <c:ext xmlns:c15="http://schemas.microsoft.com/office/drawing/2012/chart" uri="{CE6537A1-D6FC-4f65-9D91-7224C49458BB}"/>
                <c:ext xmlns:c16="http://schemas.microsoft.com/office/drawing/2014/chart" uri="{C3380CC4-5D6E-409C-BE32-E72D297353CC}">
                  <c16:uniqueId val="{00000005-06BC-3148-BD51-5CF4011F2A8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'Process 1'!$AT$19:$AT$21</c:f>
              <c:numCache>
                <c:formatCode>0%</c:formatCode>
                <c:ptCount val="3"/>
                <c:pt idx="0">
                  <c:v>0.16400000000000001</c:v>
                </c:pt>
                <c:pt idx="1">
                  <c:v>0.04</c:v>
                </c:pt>
                <c:pt idx="2">
                  <c:v>1.38</c:v>
                </c:pt>
              </c:numCache>
            </c:numRef>
          </c:val>
          <c:extLst>
            <c:ext xmlns:c16="http://schemas.microsoft.com/office/drawing/2014/chart" uri="{C3380CC4-5D6E-409C-BE32-E72D297353CC}">
              <c16:uniqueId val="{00000006-06BC-3148-BD51-5CF4011F2A8C}"/>
            </c:ext>
          </c:extLst>
        </c:ser>
        <c:ser>
          <c:idx val="5"/>
          <c:order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8-06BC-3148-BD51-5CF4011F2A8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A-06BC-3148-BD51-5CF4011F2A8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C-06BC-3148-BD51-5CF4011F2A8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E-06BC-3148-BD51-5CF4011F2A8C}"/>
              </c:ext>
            </c:extLst>
          </c:dPt>
          <c:val>
            <c:numRef>
              <c:f>'Process 1'!$AS$20:$AS$23</c:f>
              <c:numCache>
                <c:formatCode>0%</c:formatCode>
                <c:ptCount val="4"/>
                <c:pt idx="0">
                  <c:v>0.25</c:v>
                </c:pt>
                <c:pt idx="1">
                  <c:v>0.5</c:v>
                </c:pt>
                <c:pt idx="2">
                  <c:v>0.25</c:v>
                </c:pt>
                <c:pt idx="3">
                  <c:v>1</c:v>
                </c:pt>
              </c:numCache>
            </c:numRef>
          </c:val>
          <c:extLst>
            <c:ext xmlns:c16="http://schemas.microsoft.com/office/drawing/2014/chart" uri="{C3380CC4-5D6E-409C-BE32-E72D297353CC}">
              <c16:uniqueId val="{0000000F-06BC-3148-BD51-5CF4011F2A8C}"/>
            </c:ext>
          </c:extLst>
        </c:ser>
        <c:ser>
          <c:idx val="6"/>
          <c:order val="2"/>
          <c:dPt>
            <c:idx val="0"/>
            <c:bubble3D val="0"/>
            <c:spPr>
              <a:solidFill>
                <a:schemeClr val="bg1"/>
              </a:solidFill>
              <a:ln w="19050">
                <a:solidFill>
                  <a:schemeClr val="lt1"/>
                </a:solidFill>
              </a:ln>
              <a:effectLst/>
            </c:spPr>
            <c:extLst>
              <c:ext xmlns:c16="http://schemas.microsoft.com/office/drawing/2014/chart" uri="{C3380CC4-5D6E-409C-BE32-E72D297353CC}">
                <c16:uniqueId val="{00000011-06BC-3148-BD51-5CF4011F2A8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3-06BC-3148-BD51-5CF4011F2A8C}"/>
              </c:ext>
            </c:extLst>
          </c:dPt>
          <c:dPt>
            <c:idx val="2"/>
            <c:bubble3D val="0"/>
            <c:spPr>
              <a:solidFill>
                <a:schemeClr val="bg1"/>
              </a:solidFill>
              <a:ln w="19050">
                <a:solidFill>
                  <a:schemeClr val="lt1"/>
                </a:solidFill>
              </a:ln>
              <a:effectLst/>
            </c:spPr>
            <c:extLst>
              <c:ext xmlns:c16="http://schemas.microsoft.com/office/drawing/2014/chart" uri="{C3380CC4-5D6E-409C-BE32-E72D297353CC}">
                <c16:uniqueId val="{00000015-06BC-3148-BD51-5CF4011F2A8C}"/>
              </c:ext>
            </c:extLst>
          </c:dPt>
          <c:val>
            <c:numRef>
              <c:f>'Process 1'!$AT$19:$AT$21</c:f>
              <c:numCache>
                <c:formatCode>0%</c:formatCode>
                <c:ptCount val="3"/>
                <c:pt idx="0">
                  <c:v>0.16400000000000001</c:v>
                </c:pt>
                <c:pt idx="1">
                  <c:v>0.04</c:v>
                </c:pt>
                <c:pt idx="2">
                  <c:v>1.38</c:v>
                </c:pt>
              </c:numCache>
            </c:numRef>
          </c:val>
          <c:extLst>
            <c:ext xmlns:c16="http://schemas.microsoft.com/office/drawing/2014/chart" uri="{C3380CC4-5D6E-409C-BE32-E72D297353CC}">
              <c16:uniqueId val="{00000016-06BC-3148-BD51-5CF4011F2A8C}"/>
            </c:ext>
          </c:extLst>
        </c:ser>
        <c:ser>
          <c:idx val="7"/>
          <c:order val="3"/>
          <c:dPt>
            <c:idx val="0"/>
            <c:bubble3D val="0"/>
            <c:spPr>
              <a:solidFill>
                <a:schemeClr val="accent1"/>
              </a:solidFill>
              <a:ln w="19050">
                <a:solidFill>
                  <a:schemeClr val="lt1"/>
                </a:solidFill>
              </a:ln>
              <a:effectLst/>
            </c:spPr>
            <c:extLst>
              <c:ext xmlns:c16="http://schemas.microsoft.com/office/drawing/2014/chart" uri="{C3380CC4-5D6E-409C-BE32-E72D297353CC}">
                <c16:uniqueId val="{00000018-06BC-3148-BD51-5CF4011F2A8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A-06BC-3148-BD51-5CF4011F2A8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C-06BC-3148-BD51-5CF4011F2A8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E-06BC-3148-BD51-5CF4011F2A8C}"/>
              </c:ext>
            </c:extLst>
          </c:dPt>
          <c:val>
            <c:numRef>
              <c:f>'Process 1'!$AS$20:$AS$23</c:f>
              <c:numCache>
                <c:formatCode>0%</c:formatCode>
                <c:ptCount val="4"/>
                <c:pt idx="0">
                  <c:v>0.25</c:v>
                </c:pt>
                <c:pt idx="1">
                  <c:v>0.5</c:v>
                </c:pt>
                <c:pt idx="2">
                  <c:v>0.25</c:v>
                </c:pt>
                <c:pt idx="3">
                  <c:v>1</c:v>
                </c:pt>
              </c:numCache>
            </c:numRef>
          </c:val>
          <c:extLst>
            <c:ext xmlns:c16="http://schemas.microsoft.com/office/drawing/2014/chart" uri="{C3380CC4-5D6E-409C-BE32-E72D297353CC}">
              <c16:uniqueId val="{0000001F-06BC-3148-BD51-5CF4011F2A8C}"/>
            </c:ext>
          </c:extLst>
        </c:ser>
        <c:ser>
          <c:idx val="2"/>
          <c:order val="4"/>
          <c:dPt>
            <c:idx val="0"/>
            <c:bubble3D val="0"/>
            <c:spPr>
              <a:solidFill>
                <a:schemeClr val="bg1"/>
              </a:solidFill>
              <a:ln w="19050">
                <a:solidFill>
                  <a:schemeClr val="lt1"/>
                </a:solidFill>
              </a:ln>
              <a:effectLst/>
            </c:spPr>
            <c:extLst>
              <c:ext xmlns:c16="http://schemas.microsoft.com/office/drawing/2014/chart" uri="{C3380CC4-5D6E-409C-BE32-E72D297353CC}">
                <c16:uniqueId val="{00000021-06BC-3148-BD51-5CF4011F2A8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23-06BC-3148-BD51-5CF4011F2A8C}"/>
              </c:ext>
            </c:extLst>
          </c:dPt>
          <c:dPt>
            <c:idx val="2"/>
            <c:bubble3D val="0"/>
            <c:spPr>
              <a:solidFill>
                <a:schemeClr val="bg1"/>
              </a:solidFill>
              <a:ln w="19050">
                <a:solidFill>
                  <a:schemeClr val="lt1"/>
                </a:solidFill>
              </a:ln>
              <a:effectLst/>
            </c:spPr>
            <c:extLst>
              <c:ext xmlns:c16="http://schemas.microsoft.com/office/drawing/2014/chart" uri="{C3380CC4-5D6E-409C-BE32-E72D297353CC}">
                <c16:uniqueId val="{00000025-06BC-3148-BD51-5CF4011F2A8C}"/>
              </c:ext>
            </c:extLst>
          </c:dPt>
          <c:val>
            <c:numRef>
              <c:f>'Process 1'!$AT$19:$AT$21</c:f>
              <c:numCache>
                <c:formatCode>0%</c:formatCode>
                <c:ptCount val="3"/>
                <c:pt idx="0">
                  <c:v>0.16400000000000001</c:v>
                </c:pt>
                <c:pt idx="1">
                  <c:v>0.04</c:v>
                </c:pt>
                <c:pt idx="2">
                  <c:v>1.38</c:v>
                </c:pt>
              </c:numCache>
            </c:numRef>
          </c:val>
          <c:extLst>
            <c:ext xmlns:c16="http://schemas.microsoft.com/office/drawing/2014/chart" uri="{C3380CC4-5D6E-409C-BE32-E72D297353CC}">
              <c16:uniqueId val="{00000026-06BC-3148-BD51-5CF4011F2A8C}"/>
            </c:ext>
          </c:extLst>
        </c:ser>
        <c:ser>
          <c:idx val="3"/>
          <c:order val="5"/>
          <c:dPt>
            <c:idx val="0"/>
            <c:bubble3D val="0"/>
            <c:spPr>
              <a:solidFill>
                <a:schemeClr val="accent1"/>
              </a:solidFill>
              <a:ln w="19050">
                <a:solidFill>
                  <a:schemeClr val="lt1"/>
                </a:solidFill>
              </a:ln>
              <a:effectLst/>
            </c:spPr>
            <c:extLst>
              <c:ext xmlns:c16="http://schemas.microsoft.com/office/drawing/2014/chart" uri="{C3380CC4-5D6E-409C-BE32-E72D297353CC}">
                <c16:uniqueId val="{00000028-06BC-3148-BD51-5CF4011F2A8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2A-06BC-3148-BD51-5CF4011F2A8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2C-06BC-3148-BD51-5CF4011F2A8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2E-06BC-3148-BD51-5CF4011F2A8C}"/>
              </c:ext>
            </c:extLst>
          </c:dPt>
          <c:val>
            <c:numRef>
              <c:f>'Process 1'!$AS$20:$AS$23</c:f>
              <c:numCache>
                <c:formatCode>0%</c:formatCode>
                <c:ptCount val="4"/>
                <c:pt idx="0">
                  <c:v>0.25</c:v>
                </c:pt>
                <c:pt idx="1">
                  <c:v>0.5</c:v>
                </c:pt>
                <c:pt idx="2">
                  <c:v>0.25</c:v>
                </c:pt>
                <c:pt idx="3">
                  <c:v>1</c:v>
                </c:pt>
              </c:numCache>
            </c:numRef>
          </c:val>
          <c:extLst>
            <c:ext xmlns:c16="http://schemas.microsoft.com/office/drawing/2014/chart" uri="{C3380CC4-5D6E-409C-BE32-E72D297353CC}">
              <c16:uniqueId val="{0000002F-06BC-3148-BD51-5CF4011F2A8C}"/>
            </c:ext>
          </c:extLst>
        </c:ser>
        <c:ser>
          <c:idx val="0"/>
          <c:order val="6"/>
          <c:dPt>
            <c:idx val="0"/>
            <c:bubble3D val="0"/>
            <c:spPr>
              <a:solidFill>
                <a:schemeClr val="bg1"/>
              </a:solidFill>
              <a:ln w="19050">
                <a:solidFill>
                  <a:schemeClr val="lt1"/>
                </a:solidFill>
              </a:ln>
              <a:effectLst/>
            </c:spPr>
            <c:extLst>
              <c:ext xmlns:c16="http://schemas.microsoft.com/office/drawing/2014/chart" uri="{C3380CC4-5D6E-409C-BE32-E72D297353CC}">
                <c16:uniqueId val="{00000031-06BC-3148-BD51-5CF4011F2A8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33-06BC-3148-BD51-5CF4011F2A8C}"/>
              </c:ext>
            </c:extLst>
          </c:dPt>
          <c:dPt>
            <c:idx val="2"/>
            <c:bubble3D val="0"/>
            <c:spPr>
              <a:solidFill>
                <a:schemeClr val="bg1"/>
              </a:solidFill>
              <a:ln w="19050">
                <a:solidFill>
                  <a:schemeClr val="lt1"/>
                </a:solidFill>
              </a:ln>
              <a:effectLst/>
            </c:spPr>
            <c:extLst>
              <c:ext xmlns:c16="http://schemas.microsoft.com/office/drawing/2014/chart" uri="{C3380CC4-5D6E-409C-BE32-E72D297353CC}">
                <c16:uniqueId val="{00000035-06BC-3148-BD51-5CF4011F2A8C}"/>
              </c:ext>
            </c:extLst>
          </c:dPt>
          <c:dLbls>
            <c:dLbl>
              <c:idx val="0"/>
              <c:layout>
                <c:manualLayout>
                  <c:x val="0.26376228245614164"/>
                  <c:y val="-0.13957760795667665"/>
                </c:manualLayout>
              </c:layout>
              <c:spPr>
                <a:noFill/>
                <a:ln>
                  <a:noFill/>
                </a:ln>
                <a:effectLst/>
              </c:spPr>
              <c:txPr>
                <a:bodyPr rot="0" spcFirstLastPara="1" vertOverflow="ellipsis" vert="horz" wrap="square" lIns="38100" tIns="19050" rIns="38100" bIns="19050" anchor="ctr" anchorCtr="1">
                  <a:noAutofit/>
                </a:bodyPr>
                <a:lstStyle/>
                <a:p>
                  <a:pPr>
                    <a:defRPr sz="1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2271392541013418"/>
                      <c:h val="9.0748948845741084E-2"/>
                    </c:manualLayout>
                  </c15:layout>
                </c:ext>
                <c:ext xmlns:c16="http://schemas.microsoft.com/office/drawing/2014/chart" uri="{C3380CC4-5D6E-409C-BE32-E72D297353CC}">
                  <c16:uniqueId val="{00000031-06BC-3148-BD51-5CF4011F2A8C}"/>
                </c:ext>
              </c:extLst>
            </c:dLbl>
            <c:dLbl>
              <c:idx val="1"/>
              <c:delete val="1"/>
              <c:extLst>
                <c:ext xmlns:c15="http://schemas.microsoft.com/office/drawing/2012/chart" uri="{CE6537A1-D6FC-4f65-9D91-7224C49458BB}"/>
                <c:ext xmlns:c16="http://schemas.microsoft.com/office/drawing/2014/chart" uri="{C3380CC4-5D6E-409C-BE32-E72D297353CC}">
                  <c16:uniqueId val="{00000033-06BC-3148-BD51-5CF4011F2A8C}"/>
                </c:ext>
              </c:extLst>
            </c:dLbl>
            <c:dLbl>
              <c:idx val="2"/>
              <c:delete val="1"/>
              <c:extLst>
                <c:ext xmlns:c15="http://schemas.microsoft.com/office/drawing/2012/chart" uri="{CE6537A1-D6FC-4f65-9D91-7224C49458BB}"/>
                <c:ext xmlns:c16="http://schemas.microsoft.com/office/drawing/2014/chart" uri="{C3380CC4-5D6E-409C-BE32-E72D297353CC}">
                  <c16:uniqueId val="{00000035-06BC-3148-BD51-5CF4011F2A8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'Process 1'!$AT$19:$AT$21</c:f>
              <c:numCache>
                <c:formatCode>0%</c:formatCode>
                <c:ptCount val="3"/>
                <c:pt idx="0">
                  <c:v>0.16400000000000001</c:v>
                </c:pt>
                <c:pt idx="1">
                  <c:v>0.04</c:v>
                </c:pt>
                <c:pt idx="2">
                  <c:v>1.38</c:v>
                </c:pt>
              </c:numCache>
            </c:numRef>
          </c:val>
          <c:extLst>
            <c:ext xmlns:c16="http://schemas.microsoft.com/office/drawing/2014/chart" uri="{C3380CC4-5D6E-409C-BE32-E72D297353CC}">
              <c16:uniqueId val="{00000036-06BC-3148-BD51-5CF4011F2A8C}"/>
            </c:ext>
          </c:extLst>
        </c:ser>
        <c:ser>
          <c:idx val="1"/>
          <c:order val="7"/>
          <c:dPt>
            <c:idx val="0"/>
            <c:bubble3D val="0"/>
            <c:spPr>
              <a:solidFill>
                <a:schemeClr val="accent1"/>
              </a:solidFill>
              <a:ln w="19050">
                <a:solidFill>
                  <a:schemeClr val="lt1"/>
                </a:solidFill>
              </a:ln>
              <a:effectLst/>
            </c:spPr>
            <c:extLst>
              <c:ext xmlns:c16="http://schemas.microsoft.com/office/drawing/2014/chart" uri="{C3380CC4-5D6E-409C-BE32-E72D297353CC}">
                <c16:uniqueId val="{00000038-06BC-3148-BD51-5CF4011F2A8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3A-06BC-3148-BD51-5CF4011F2A8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3C-06BC-3148-BD51-5CF4011F2A8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3E-06BC-3148-BD51-5CF4011F2A8C}"/>
              </c:ext>
            </c:extLst>
          </c:dPt>
          <c:val>
            <c:numRef>
              <c:f>'Process 1'!$AS$20:$AS$23</c:f>
              <c:numCache>
                <c:formatCode>0%</c:formatCode>
                <c:ptCount val="4"/>
                <c:pt idx="0">
                  <c:v>0.25</c:v>
                </c:pt>
                <c:pt idx="1">
                  <c:v>0.5</c:v>
                </c:pt>
                <c:pt idx="2">
                  <c:v>0.25</c:v>
                </c:pt>
                <c:pt idx="3">
                  <c:v>1</c:v>
                </c:pt>
              </c:numCache>
            </c:numRef>
          </c:val>
          <c:extLst>
            <c:ext xmlns:c16="http://schemas.microsoft.com/office/drawing/2014/chart" uri="{C3380CC4-5D6E-409C-BE32-E72D297353CC}">
              <c16:uniqueId val="{0000003F-06BC-3148-BD51-5CF4011F2A8C}"/>
            </c:ext>
          </c:extLst>
        </c:ser>
        <c:dLbls>
          <c:showLegendKey val="0"/>
          <c:showVal val="0"/>
          <c:showCatName val="0"/>
          <c:showSerName val="0"/>
          <c:showPercent val="0"/>
          <c:showBubbleSize val="0"/>
          <c:showLeaderLines val="1"/>
        </c:dLbls>
        <c:firstSliceAng val="270"/>
      </c:pieChart>
      <c:spPr>
        <a:noFill/>
        <a:ln w="25400">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4"/>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B6E-0A40-969C-1DC295D67CAD}"/>
              </c:ext>
            </c:extLst>
          </c:dPt>
          <c:dPt>
            <c:idx val="1"/>
            <c:bubble3D val="0"/>
            <c:spPr>
              <a:solidFill>
                <a:srgbClr val="92D050"/>
              </a:solidFill>
              <a:ln w="19050">
                <a:solidFill>
                  <a:schemeClr val="lt1"/>
                </a:solidFill>
              </a:ln>
              <a:effectLst/>
            </c:spPr>
            <c:extLst>
              <c:ext xmlns:c16="http://schemas.microsoft.com/office/drawing/2014/chart" uri="{C3380CC4-5D6E-409C-BE32-E72D297353CC}">
                <c16:uniqueId val="{00000003-3B6E-0A40-969C-1DC295D67CAD}"/>
              </c:ext>
            </c:extLst>
          </c:dPt>
          <c:dPt>
            <c:idx val="2"/>
            <c:bubble3D val="0"/>
            <c:spPr>
              <a:solidFill>
                <a:srgbClr val="FFFF00"/>
              </a:solidFill>
              <a:ln w="19050">
                <a:solidFill>
                  <a:schemeClr val="lt1"/>
                </a:solidFill>
              </a:ln>
              <a:effectLst/>
            </c:spPr>
            <c:extLst>
              <c:ext xmlns:c16="http://schemas.microsoft.com/office/drawing/2014/chart" uri="{C3380CC4-5D6E-409C-BE32-E72D297353CC}">
                <c16:uniqueId val="{00000005-3B6E-0A40-969C-1DC295D67CAD}"/>
              </c:ext>
            </c:extLst>
          </c:dPt>
          <c:dPt>
            <c:idx val="3"/>
            <c:bubble3D val="0"/>
            <c:spPr>
              <a:solidFill>
                <a:srgbClr val="FF0000"/>
              </a:solidFill>
              <a:ln w="19050">
                <a:solidFill>
                  <a:schemeClr val="lt1"/>
                </a:solidFill>
              </a:ln>
              <a:effectLst/>
            </c:spPr>
            <c:extLst>
              <c:ext xmlns:c16="http://schemas.microsoft.com/office/drawing/2014/chart" uri="{C3380CC4-5D6E-409C-BE32-E72D297353CC}">
                <c16:uniqueId val="{00000007-3B6E-0A40-969C-1DC295D67CAD}"/>
              </c:ext>
            </c:extLst>
          </c:dPt>
          <c:dPt>
            <c:idx val="4"/>
            <c:bubble3D val="0"/>
            <c:spPr>
              <a:noFill/>
              <a:ln w="19050">
                <a:solidFill>
                  <a:schemeClr val="lt1"/>
                </a:solidFill>
              </a:ln>
              <a:effectLst/>
            </c:spPr>
            <c:extLst>
              <c:ext xmlns:c16="http://schemas.microsoft.com/office/drawing/2014/chart" uri="{C3380CC4-5D6E-409C-BE32-E72D297353CC}">
                <c16:uniqueId val="{00000009-3B6E-0A40-969C-1DC295D67CAD}"/>
              </c:ext>
            </c:extLst>
          </c:dPt>
          <c:val>
            <c:numRef>
              <c:f>'Process 2'!$AS$19:$AS$23</c:f>
              <c:numCache>
                <c:formatCode>0%</c:formatCode>
                <c:ptCount val="5"/>
                <c:pt idx="0" formatCode="General">
                  <c:v>0</c:v>
                </c:pt>
                <c:pt idx="1">
                  <c:v>0.25</c:v>
                </c:pt>
                <c:pt idx="2">
                  <c:v>0.5</c:v>
                </c:pt>
                <c:pt idx="3">
                  <c:v>0.25</c:v>
                </c:pt>
                <c:pt idx="4">
                  <c:v>1</c:v>
                </c:pt>
              </c:numCache>
            </c:numRef>
          </c:val>
          <c:extLst>
            <c:ext xmlns:c16="http://schemas.microsoft.com/office/drawing/2014/chart" uri="{C3380CC4-5D6E-409C-BE32-E72D297353CC}">
              <c16:uniqueId val="{0000000A-3B6E-0A40-969C-1DC295D67CAD}"/>
            </c:ext>
          </c:extLst>
        </c:ser>
        <c:ser>
          <c:idx val="5"/>
          <c:order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C-3B6E-0A40-969C-1DC295D67CA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E-3B6E-0A40-969C-1DC295D67CA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0-3B6E-0A40-969C-1DC295D67CA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2-3B6E-0A40-969C-1DC295D67CAD}"/>
              </c:ext>
            </c:extLst>
          </c:dPt>
          <c:val>
            <c:numRef>
              <c:f>'Process 2'!$AS$20:$AS$23</c:f>
              <c:numCache>
                <c:formatCode>0%</c:formatCode>
                <c:ptCount val="4"/>
                <c:pt idx="0">
                  <c:v>0.25</c:v>
                </c:pt>
                <c:pt idx="1">
                  <c:v>0.5</c:v>
                </c:pt>
                <c:pt idx="2">
                  <c:v>0.25</c:v>
                </c:pt>
                <c:pt idx="3">
                  <c:v>1</c:v>
                </c:pt>
              </c:numCache>
            </c:numRef>
          </c:val>
          <c:extLst>
            <c:ext xmlns:c16="http://schemas.microsoft.com/office/drawing/2014/chart" uri="{C3380CC4-5D6E-409C-BE32-E72D297353CC}">
              <c16:uniqueId val="{00000013-3B6E-0A40-969C-1DC295D67CAD}"/>
            </c:ext>
          </c:extLst>
        </c:ser>
        <c:ser>
          <c:idx val="6"/>
          <c:order val="2"/>
          <c:dPt>
            <c:idx val="0"/>
            <c:bubble3D val="0"/>
            <c:spPr>
              <a:solidFill>
                <a:schemeClr val="bg1"/>
              </a:solidFill>
              <a:ln w="19050">
                <a:solidFill>
                  <a:schemeClr val="lt1"/>
                </a:solidFill>
              </a:ln>
              <a:effectLst/>
            </c:spPr>
            <c:extLst>
              <c:ext xmlns:c16="http://schemas.microsoft.com/office/drawing/2014/chart" uri="{C3380CC4-5D6E-409C-BE32-E72D297353CC}">
                <c16:uniqueId val="{00000015-3B6E-0A40-969C-1DC295D67CA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7-3B6E-0A40-969C-1DC295D67CAD}"/>
              </c:ext>
            </c:extLst>
          </c:dPt>
          <c:dPt>
            <c:idx val="2"/>
            <c:bubble3D val="0"/>
            <c:spPr>
              <a:solidFill>
                <a:schemeClr val="bg1"/>
              </a:solidFill>
              <a:ln w="19050">
                <a:solidFill>
                  <a:schemeClr val="lt1"/>
                </a:solidFill>
              </a:ln>
              <a:effectLst/>
            </c:spPr>
            <c:extLst>
              <c:ext xmlns:c16="http://schemas.microsoft.com/office/drawing/2014/chart" uri="{C3380CC4-5D6E-409C-BE32-E72D297353CC}">
                <c16:uniqueId val="{00000019-3B6E-0A40-969C-1DC295D67CAD}"/>
              </c:ext>
            </c:extLst>
          </c:dPt>
          <c:val>
            <c:numRef>
              <c:f>'Process 2'!$AT$19:$AT$21</c:f>
              <c:numCache>
                <c:formatCode>0%</c:formatCode>
                <c:ptCount val="3"/>
                <c:pt idx="0">
                  <c:v>5.5E-2</c:v>
                </c:pt>
                <c:pt idx="1">
                  <c:v>0.04</c:v>
                </c:pt>
                <c:pt idx="2">
                  <c:v>1.38</c:v>
                </c:pt>
              </c:numCache>
            </c:numRef>
          </c:val>
          <c:extLst>
            <c:ext xmlns:c16="http://schemas.microsoft.com/office/drawing/2014/chart" uri="{C3380CC4-5D6E-409C-BE32-E72D297353CC}">
              <c16:uniqueId val="{0000001A-3B6E-0A40-969C-1DC295D67CAD}"/>
            </c:ext>
          </c:extLst>
        </c:ser>
        <c:ser>
          <c:idx val="7"/>
          <c:order val="3"/>
          <c:dPt>
            <c:idx val="0"/>
            <c:bubble3D val="0"/>
            <c:spPr>
              <a:solidFill>
                <a:schemeClr val="accent1"/>
              </a:solidFill>
              <a:ln w="19050">
                <a:solidFill>
                  <a:schemeClr val="lt1"/>
                </a:solidFill>
              </a:ln>
              <a:effectLst/>
            </c:spPr>
            <c:extLst>
              <c:ext xmlns:c16="http://schemas.microsoft.com/office/drawing/2014/chart" uri="{C3380CC4-5D6E-409C-BE32-E72D297353CC}">
                <c16:uniqueId val="{0000001C-3B6E-0A40-969C-1DC295D67CA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E-3B6E-0A40-969C-1DC295D67CA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20-3B6E-0A40-969C-1DC295D67CA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22-3B6E-0A40-969C-1DC295D67CAD}"/>
              </c:ext>
            </c:extLst>
          </c:dPt>
          <c:val>
            <c:numRef>
              <c:f>'Process 2'!$AS$20:$AS$23</c:f>
              <c:numCache>
                <c:formatCode>0%</c:formatCode>
                <c:ptCount val="4"/>
                <c:pt idx="0">
                  <c:v>0.25</c:v>
                </c:pt>
                <c:pt idx="1">
                  <c:v>0.5</c:v>
                </c:pt>
                <c:pt idx="2">
                  <c:v>0.25</c:v>
                </c:pt>
                <c:pt idx="3">
                  <c:v>1</c:v>
                </c:pt>
              </c:numCache>
            </c:numRef>
          </c:val>
          <c:extLst>
            <c:ext xmlns:c16="http://schemas.microsoft.com/office/drawing/2014/chart" uri="{C3380CC4-5D6E-409C-BE32-E72D297353CC}">
              <c16:uniqueId val="{00000023-3B6E-0A40-969C-1DC295D67CAD}"/>
            </c:ext>
          </c:extLst>
        </c:ser>
        <c:ser>
          <c:idx val="2"/>
          <c:order val="4"/>
          <c:dPt>
            <c:idx val="0"/>
            <c:bubble3D val="0"/>
            <c:spPr>
              <a:solidFill>
                <a:schemeClr val="bg1"/>
              </a:solidFill>
              <a:ln w="19050">
                <a:solidFill>
                  <a:schemeClr val="lt1"/>
                </a:solidFill>
              </a:ln>
              <a:effectLst/>
            </c:spPr>
            <c:extLst>
              <c:ext xmlns:c16="http://schemas.microsoft.com/office/drawing/2014/chart" uri="{C3380CC4-5D6E-409C-BE32-E72D297353CC}">
                <c16:uniqueId val="{00000025-3B6E-0A40-969C-1DC295D67CA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27-3B6E-0A40-969C-1DC295D67CAD}"/>
              </c:ext>
            </c:extLst>
          </c:dPt>
          <c:dPt>
            <c:idx val="2"/>
            <c:bubble3D val="0"/>
            <c:spPr>
              <a:solidFill>
                <a:schemeClr val="bg1"/>
              </a:solidFill>
              <a:ln w="19050">
                <a:solidFill>
                  <a:schemeClr val="lt1"/>
                </a:solidFill>
              </a:ln>
              <a:effectLst/>
            </c:spPr>
            <c:extLst>
              <c:ext xmlns:c16="http://schemas.microsoft.com/office/drawing/2014/chart" uri="{C3380CC4-5D6E-409C-BE32-E72D297353CC}">
                <c16:uniqueId val="{00000029-3B6E-0A40-969C-1DC295D67CAD}"/>
              </c:ext>
            </c:extLst>
          </c:dPt>
          <c:val>
            <c:numRef>
              <c:f>'Process 2'!$AT$19:$AT$21</c:f>
              <c:numCache>
                <c:formatCode>0%</c:formatCode>
                <c:ptCount val="3"/>
                <c:pt idx="0">
                  <c:v>5.5E-2</c:v>
                </c:pt>
                <c:pt idx="1">
                  <c:v>0.04</c:v>
                </c:pt>
                <c:pt idx="2">
                  <c:v>1.38</c:v>
                </c:pt>
              </c:numCache>
            </c:numRef>
          </c:val>
          <c:extLst>
            <c:ext xmlns:c16="http://schemas.microsoft.com/office/drawing/2014/chart" uri="{C3380CC4-5D6E-409C-BE32-E72D297353CC}">
              <c16:uniqueId val="{0000002A-3B6E-0A40-969C-1DC295D67CAD}"/>
            </c:ext>
          </c:extLst>
        </c:ser>
        <c:ser>
          <c:idx val="3"/>
          <c:order val="5"/>
          <c:dPt>
            <c:idx val="0"/>
            <c:bubble3D val="0"/>
            <c:spPr>
              <a:solidFill>
                <a:schemeClr val="accent1"/>
              </a:solidFill>
              <a:ln w="19050">
                <a:solidFill>
                  <a:schemeClr val="lt1"/>
                </a:solidFill>
              </a:ln>
              <a:effectLst/>
            </c:spPr>
            <c:extLst>
              <c:ext xmlns:c16="http://schemas.microsoft.com/office/drawing/2014/chart" uri="{C3380CC4-5D6E-409C-BE32-E72D297353CC}">
                <c16:uniqueId val="{0000002C-3B6E-0A40-969C-1DC295D67CA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2E-3B6E-0A40-969C-1DC295D67CA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30-3B6E-0A40-969C-1DC295D67CA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32-3B6E-0A40-969C-1DC295D67CAD}"/>
              </c:ext>
            </c:extLst>
          </c:dPt>
          <c:val>
            <c:numRef>
              <c:f>'Process 2'!$AS$20:$AS$23</c:f>
              <c:numCache>
                <c:formatCode>0%</c:formatCode>
                <c:ptCount val="4"/>
                <c:pt idx="0">
                  <c:v>0.25</c:v>
                </c:pt>
                <c:pt idx="1">
                  <c:v>0.5</c:v>
                </c:pt>
                <c:pt idx="2">
                  <c:v>0.25</c:v>
                </c:pt>
                <c:pt idx="3">
                  <c:v>1</c:v>
                </c:pt>
              </c:numCache>
            </c:numRef>
          </c:val>
          <c:extLst>
            <c:ext xmlns:c16="http://schemas.microsoft.com/office/drawing/2014/chart" uri="{C3380CC4-5D6E-409C-BE32-E72D297353CC}">
              <c16:uniqueId val="{00000033-3B6E-0A40-969C-1DC295D67CAD}"/>
            </c:ext>
          </c:extLst>
        </c:ser>
        <c:ser>
          <c:idx val="0"/>
          <c:order val="6"/>
          <c:dPt>
            <c:idx val="0"/>
            <c:bubble3D val="0"/>
            <c:spPr>
              <a:solidFill>
                <a:schemeClr val="bg1"/>
              </a:solidFill>
              <a:ln w="19050">
                <a:solidFill>
                  <a:schemeClr val="lt1"/>
                </a:solidFill>
              </a:ln>
              <a:effectLst/>
            </c:spPr>
            <c:extLst>
              <c:ext xmlns:c16="http://schemas.microsoft.com/office/drawing/2014/chart" uri="{C3380CC4-5D6E-409C-BE32-E72D297353CC}">
                <c16:uniqueId val="{00000035-3B6E-0A40-969C-1DC295D67CA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37-3B6E-0A40-969C-1DC295D67CAD}"/>
              </c:ext>
            </c:extLst>
          </c:dPt>
          <c:dPt>
            <c:idx val="2"/>
            <c:bubble3D val="0"/>
            <c:spPr>
              <a:solidFill>
                <a:schemeClr val="bg1"/>
              </a:solidFill>
              <a:ln w="19050">
                <a:solidFill>
                  <a:schemeClr val="lt1"/>
                </a:solidFill>
              </a:ln>
              <a:effectLst/>
            </c:spPr>
            <c:extLst>
              <c:ext xmlns:c16="http://schemas.microsoft.com/office/drawing/2014/chart" uri="{C3380CC4-5D6E-409C-BE32-E72D297353CC}">
                <c16:uniqueId val="{00000039-3B6E-0A40-969C-1DC295D67CAD}"/>
              </c:ext>
            </c:extLst>
          </c:dPt>
          <c:dLbls>
            <c:dLbl>
              <c:idx val="0"/>
              <c:layout>
                <c:manualLayout>
                  <c:x val="0.26376228245614164"/>
                  <c:y val="-0.13957760795667665"/>
                </c:manualLayout>
              </c:layout>
              <c:spPr>
                <a:noFill/>
                <a:ln>
                  <a:noFill/>
                </a:ln>
                <a:effectLst/>
              </c:spPr>
              <c:txPr>
                <a:bodyPr rot="0" spcFirstLastPara="1" vertOverflow="ellipsis" vert="horz" wrap="square" lIns="38100" tIns="19050" rIns="38100" bIns="19050" anchor="ctr" anchorCtr="1">
                  <a:noAutofit/>
                </a:bodyPr>
                <a:lstStyle/>
                <a:p>
                  <a:pPr>
                    <a:defRPr sz="1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2271392541013418"/>
                      <c:h val="9.0748948845741084E-2"/>
                    </c:manualLayout>
                  </c15:layout>
                </c:ext>
                <c:ext xmlns:c16="http://schemas.microsoft.com/office/drawing/2014/chart" uri="{C3380CC4-5D6E-409C-BE32-E72D297353CC}">
                  <c16:uniqueId val="{00000035-3B6E-0A40-969C-1DC295D67CAD}"/>
                </c:ext>
              </c:extLst>
            </c:dLbl>
            <c:dLbl>
              <c:idx val="1"/>
              <c:delete val="1"/>
              <c:extLst>
                <c:ext xmlns:c15="http://schemas.microsoft.com/office/drawing/2012/chart" uri="{CE6537A1-D6FC-4f65-9D91-7224C49458BB}"/>
                <c:ext xmlns:c16="http://schemas.microsoft.com/office/drawing/2014/chart" uri="{C3380CC4-5D6E-409C-BE32-E72D297353CC}">
                  <c16:uniqueId val="{00000037-3B6E-0A40-969C-1DC295D67CAD}"/>
                </c:ext>
              </c:extLst>
            </c:dLbl>
            <c:dLbl>
              <c:idx val="2"/>
              <c:delete val="1"/>
              <c:extLst>
                <c:ext xmlns:c15="http://schemas.microsoft.com/office/drawing/2012/chart" uri="{CE6537A1-D6FC-4f65-9D91-7224C49458BB}"/>
                <c:ext xmlns:c16="http://schemas.microsoft.com/office/drawing/2014/chart" uri="{C3380CC4-5D6E-409C-BE32-E72D297353CC}">
                  <c16:uniqueId val="{00000039-3B6E-0A40-969C-1DC295D67CA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'Process 2'!$AT$19:$AT$21</c:f>
              <c:numCache>
                <c:formatCode>0%</c:formatCode>
                <c:ptCount val="3"/>
                <c:pt idx="0">
                  <c:v>5.5E-2</c:v>
                </c:pt>
                <c:pt idx="1">
                  <c:v>0.04</c:v>
                </c:pt>
                <c:pt idx="2">
                  <c:v>1.38</c:v>
                </c:pt>
              </c:numCache>
            </c:numRef>
          </c:val>
          <c:extLst>
            <c:ext xmlns:c16="http://schemas.microsoft.com/office/drawing/2014/chart" uri="{C3380CC4-5D6E-409C-BE32-E72D297353CC}">
              <c16:uniqueId val="{0000003A-3B6E-0A40-969C-1DC295D67CAD}"/>
            </c:ext>
          </c:extLst>
        </c:ser>
        <c:ser>
          <c:idx val="1"/>
          <c:order val="7"/>
          <c:dPt>
            <c:idx val="0"/>
            <c:bubble3D val="0"/>
            <c:spPr>
              <a:solidFill>
                <a:schemeClr val="accent1"/>
              </a:solidFill>
              <a:ln w="19050">
                <a:solidFill>
                  <a:schemeClr val="lt1"/>
                </a:solidFill>
              </a:ln>
              <a:effectLst/>
            </c:spPr>
            <c:extLst>
              <c:ext xmlns:c16="http://schemas.microsoft.com/office/drawing/2014/chart" uri="{C3380CC4-5D6E-409C-BE32-E72D297353CC}">
                <c16:uniqueId val="{0000003C-3B6E-0A40-969C-1DC295D67CA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3E-3B6E-0A40-969C-1DC295D67CA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40-3B6E-0A40-969C-1DC295D67CA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42-3B6E-0A40-969C-1DC295D67CAD}"/>
              </c:ext>
            </c:extLst>
          </c:dPt>
          <c:val>
            <c:numRef>
              <c:f>'Process 2'!$AS$20:$AS$23</c:f>
              <c:numCache>
                <c:formatCode>0%</c:formatCode>
                <c:ptCount val="4"/>
                <c:pt idx="0">
                  <c:v>0.25</c:v>
                </c:pt>
                <c:pt idx="1">
                  <c:v>0.5</c:v>
                </c:pt>
                <c:pt idx="2">
                  <c:v>0.25</c:v>
                </c:pt>
                <c:pt idx="3">
                  <c:v>1</c:v>
                </c:pt>
              </c:numCache>
            </c:numRef>
          </c:val>
          <c:extLst>
            <c:ext xmlns:c16="http://schemas.microsoft.com/office/drawing/2014/chart" uri="{C3380CC4-5D6E-409C-BE32-E72D297353CC}">
              <c16:uniqueId val="{00000043-3B6E-0A40-969C-1DC295D67CAD}"/>
            </c:ext>
          </c:extLst>
        </c:ser>
        <c:dLbls>
          <c:showLegendKey val="0"/>
          <c:showVal val="0"/>
          <c:showCatName val="0"/>
          <c:showSerName val="0"/>
          <c:showPercent val="0"/>
          <c:showBubbleSize val="0"/>
          <c:showLeaderLines val="1"/>
        </c:dLbls>
        <c:firstSliceAng val="270"/>
      </c:pieChart>
      <c:spPr>
        <a:noFill/>
        <a:ln w="25400">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4"/>
          <c:order val="0"/>
          <c:spPr>
            <a:ln>
              <a:noFill/>
            </a:ln>
          </c:spPr>
          <c:dPt>
            <c:idx val="0"/>
            <c:bubble3D val="0"/>
            <c:spPr>
              <a:noFill/>
              <a:ln w="19050">
                <a:noFill/>
              </a:ln>
              <a:effectLst/>
            </c:spPr>
            <c:extLst>
              <c:ext xmlns:c16="http://schemas.microsoft.com/office/drawing/2014/chart" uri="{C3380CC4-5D6E-409C-BE32-E72D297353CC}">
                <c16:uniqueId val="{00000001-272A-5142-9FD4-5A8283C6C4A2}"/>
              </c:ext>
            </c:extLst>
          </c:dPt>
          <c:dPt>
            <c:idx val="1"/>
            <c:bubble3D val="0"/>
            <c:spPr>
              <a:solidFill>
                <a:schemeClr val="tx1"/>
              </a:solidFill>
              <a:ln w="19050">
                <a:noFill/>
              </a:ln>
              <a:effectLst/>
            </c:spPr>
            <c:extLst>
              <c:ext xmlns:c16="http://schemas.microsoft.com/office/drawing/2014/chart" uri="{C3380CC4-5D6E-409C-BE32-E72D297353CC}">
                <c16:uniqueId val="{00000003-272A-5142-9FD4-5A8283C6C4A2}"/>
              </c:ext>
            </c:extLst>
          </c:dPt>
          <c:dPt>
            <c:idx val="2"/>
            <c:bubble3D val="0"/>
            <c:spPr>
              <a:noFill/>
              <a:ln w="19050">
                <a:noFill/>
              </a:ln>
              <a:effectLst/>
            </c:spPr>
            <c:extLst>
              <c:ext xmlns:c16="http://schemas.microsoft.com/office/drawing/2014/chart" uri="{C3380CC4-5D6E-409C-BE32-E72D297353CC}">
                <c16:uniqueId val="{00000005-272A-5142-9FD4-5A8283C6C4A2}"/>
              </c:ext>
            </c:extLst>
          </c:dPt>
          <c:dLbls>
            <c:dLbl>
              <c:idx val="0"/>
              <c:layout>
                <c:manualLayout>
                  <c:x val="0.2080988903673413"/>
                  <c:y val="0.15261378471962453"/>
                </c:manualLayout>
              </c:layout>
              <c:spPr>
                <a:noFill/>
                <a:ln>
                  <a:noFill/>
                </a:ln>
                <a:effectLst/>
              </c:spPr>
              <c:txPr>
                <a:bodyPr rot="0" spcFirstLastPara="1" vertOverflow="ellipsis" vert="horz" wrap="square" lIns="38100" tIns="19050" rIns="38100" bIns="19050" anchor="ctr" anchorCtr="1">
                  <a:spAutoFit/>
                </a:bodyPr>
                <a:lstStyle/>
                <a:p>
                  <a:pPr>
                    <a:defRPr sz="3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72A-5142-9FD4-5A8283C6C4A2}"/>
                </c:ext>
              </c:extLst>
            </c:dLbl>
            <c:dLbl>
              <c:idx val="1"/>
              <c:delete val="1"/>
              <c:extLst>
                <c:ext xmlns:c15="http://schemas.microsoft.com/office/drawing/2012/chart" uri="{CE6537A1-D6FC-4f65-9D91-7224C49458BB}"/>
                <c:ext xmlns:c16="http://schemas.microsoft.com/office/drawing/2014/chart" uri="{C3380CC4-5D6E-409C-BE32-E72D297353CC}">
                  <c16:uniqueId val="{00000003-272A-5142-9FD4-5A8283C6C4A2}"/>
                </c:ext>
              </c:extLst>
            </c:dLbl>
            <c:dLbl>
              <c:idx val="2"/>
              <c:delete val="1"/>
              <c:extLst>
                <c:ext xmlns:c15="http://schemas.microsoft.com/office/drawing/2012/chart" uri="{CE6537A1-D6FC-4f65-9D91-7224C49458BB}"/>
                <c:ext xmlns:c16="http://schemas.microsoft.com/office/drawing/2014/chart" uri="{C3380CC4-5D6E-409C-BE32-E72D297353CC}">
                  <c16:uniqueId val="{00000005-272A-5142-9FD4-5A8283C6C4A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'Process 2'!$AT$19:$AT$21</c:f>
              <c:numCache>
                <c:formatCode>0%</c:formatCode>
                <c:ptCount val="3"/>
                <c:pt idx="0">
                  <c:v>5.5E-2</c:v>
                </c:pt>
                <c:pt idx="1">
                  <c:v>0.04</c:v>
                </c:pt>
                <c:pt idx="2">
                  <c:v>1.38</c:v>
                </c:pt>
              </c:numCache>
            </c:numRef>
          </c:val>
          <c:extLst>
            <c:ext xmlns:c16="http://schemas.microsoft.com/office/drawing/2014/chart" uri="{C3380CC4-5D6E-409C-BE32-E72D297353CC}">
              <c16:uniqueId val="{00000006-272A-5142-9FD4-5A8283C6C4A2}"/>
            </c:ext>
          </c:extLst>
        </c:ser>
        <c:ser>
          <c:idx val="5"/>
          <c:order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8-272A-5142-9FD4-5A8283C6C4A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A-272A-5142-9FD4-5A8283C6C4A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C-272A-5142-9FD4-5A8283C6C4A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E-272A-5142-9FD4-5A8283C6C4A2}"/>
              </c:ext>
            </c:extLst>
          </c:dPt>
          <c:val>
            <c:numRef>
              <c:f>'Process 2'!$AS$20:$AS$23</c:f>
              <c:numCache>
                <c:formatCode>0%</c:formatCode>
                <c:ptCount val="4"/>
                <c:pt idx="0">
                  <c:v>0.25</c:v>
                </c:pt>
                <c:pt idx="1">
                  <c:v>0.5</c:v>
                </c:pt>
                <c:pt idx="2">
                  <c:v>0.25</c:v>
                </c:pt>
                <c:pt idx="3">
                  <c:v>1</c:v>
                </c:pt>
              </c:numCache>
            </c:numRef>
          </c:val>
          <c:extLst>
            <c:ext xmlns:c16="http://schemas.microsoft.com/office/drawing/2014/chart" uri="{C3380CC4-5D6E-409C-BE32-E72D297353CC}">
              <c16:uniqueId val="{0000000F-272A-5142-9FD4-5A8283C6C4A2}"/>
            </c:ext>
          </c:extLst>
        </c:ser>
        <c:ser>
          <c:idx val="6"/>
          <c:order val="2"/>
          <c:dPt>
            <c:idx val="0"/>
            <c:bubble3D val="0"/>
            <c:spPr>
              <a:solidFill>
                <a:schemeClr val="bg1"/>
              </a:solidFill>
              <a:ln w="19050">
                <a:solidFill>
                  <a:schemeClr val="lt1"/>
                </a:solidFill>
              </a:ln>
              <a:effectLst/>
            </c:spPr>
            <c:extLst>
              <c:ext xmlns:c16="http://schemas.microsoft.com/office/drawing/2014/chart" uri="{C3380CC4-5D6E-409C-BE32-E72D297353CC}">
                <c16:uniqueId val="{00000011-272A-5142-9FD4-5A8283C6C4A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3-272A-5142-9FD4-5A8283C6C4A2}"/>
              </c:ext>
            </c:extLst>
          </c:dPt>
          <c:dPt>
            <c:idx val="2"/>
            <c:bubble3D val="0"/>
            <c:spPr>
              <a:solidFill>
                <a:schemeClr val="bg1"/>
              </a:solidFill>
              <a:ln w="19050">
                <a:solidFill>
                  <a:schemeClr val="lt1"/>
                </a:solidFill>
              </a:ln>
              <a:effectLst/>
            </c:spPr>
            <c:extLst>
              <c:ext xmlns:c16="http://schemas.microsoft.com/office/drawing/2014/chart" uri="{C3380CC4-5D6E-409C-BE32-E72D297353CC}">
                <c16:uniqueId val="{00000015-272A-5142-9FD4-5A8283C6C4A2}"/>
              </c:ext>
            </c:extLst>
          </c:dPt>
          <c:val>
            <c:numRef>
              <c:f>'Process 2'!$AT$19:$AT$21</c:f>
              <c:numCache>
                <c:formatCode>0%</c:formatCode>
                <c:ptCount val="3"/>
                <c:pt idx="0">
                  <c:v>5.5E-2</c:v>
                </c:pt>
                <c:pt idx="1">
                  <c:v>0.04</c:v>
                </c:pt>
                <c:pt idx="2">
                  <c:v>1.38</c:v>
                </c:pt>
              </c:numCache>
            </c:numRef>
          </c:val>
          <c:extLst>
            <c:ext xmlns:c16="http://schemas.microsoft.com/office/drawing/2014/chart" uri="{C3380CC4-5D6E-409C-BE32-E72D297353CC}">
              <c16:uniqueId val="{00000016-272A-5142-9FD4-5A8283C6C4A2}"/>
            </c:ext>
          </c:extLst>
        </c:ser>
        <c:ser>
          <c:idx val="7"/>
          <c:order val="3"/>
          <c:dPt>
            <c:idx val="0"/>
            <c:bubble3D val="0"/>
            <c:spPr>
              <a:solidFill>
                <a:schemeClr val="accent1"/>
              </a:solidFill>
              <a:ln w="19050">
                <a:solidFill>
                  <a:schemeClr val="lt1"/>
                </a:solidFill>
              </a:ln>
              <a:effectLst/>
            </c:spPr>
            <c:extLst>
              <c:ext xmlns:c16="http://schemas.microsoft.com/office/drawing/2014/chart" uri="{C3380CC4-5D6E-409C-BE32-E72D297353CC}">
                <c16:uniqueId val="{00000018-272A-5142-9FD4-5A8283C6C4A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A-272A-5142-9FD4-5A8283C6C4A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C-272A-5142-9FD4-5A8283C6C4A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E-272A-5142-9FD4-5A8283C6C4A2}"/>
              </c:ext>
            </c:extLst>
          </c:dPt>
          <c:val>
            <c:numRef>
              <c:f>'Process 2'!$AS$20:$AS$23</c:f>
              <c:numCache>
                <c:formatCode>0%</c:formatCode>
                <c:ptCount val="4"/>
                <c:pt idx="0">
                  <c:v>0.25</c:v>
                </c:pt>
                <c:pt idx="1">
                  <c:v>0.5</c:v>
                </c:pt>
                <c:pt idx="2">
                  <c:v>0.25</c:v>
                </c:pt>
                <c:pt idx="3">
                  <c:v>1</c:v>
                </c:pt>
              </c:numCache>
            </c:numRef>
          </c:val>
          <c:extLst>
            <c:ext xmlns:c16="http://schemas.microsoft.com/office/drawing/2014/chart" uri="{C3380CC4-5D6E-409C-BE32-E72D297353CC}">
              <c16:uniqueId val="{0000001F-272A-5142-9FD4-5A8283C6C4A2}"/>
            </c:ext>
          </c:extLst>
        </c:ser>
        <c:ser>
          <c:idx val="2"/>
          <c:order val="4"/>
          <c:dPt>
            <c:idx val="0"/>
            <c:bubble3D val="0"/>
            <c:spPr>
              <a:solidFill>
                <a:schemeClr val="bg1"/>
              </a:solidFill>
              <a:ln w="19050">
                <a:solidFill>
                  <a:schemeClr val="lt1"/>
                </a:solidFill>
              </a:ln>
              <a:effectLst/>
            </c:spPr>
            <c:extLst>
              <c:ext xmlns:c16="http://schemas.microsoft.com/office/drawing/2014/chart" uri="{C3380CC4-5D6E-409C-BE32-E72D297353CC}">
                <c16:uniqueId val="{00000021-272A-5142-9FD4-5A8283C6C4A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23-272A-5142-9FD4-5A8283C6C4A2}"/>
              </c:ext>
            </c:extLst>
          </c:dPt>
          <c:dPt>
            <c:idx val="2"/>
            <c:bubble3D val="0"/>
            <c:spPr>
              <a:solidFill>
                <a:schemeClr val="bg1"/>
              </a:solidFill>
              <a:ln w="19050">
                <a:solidFill>
                  <a:schemeClr val="lt1"/>
                </a:solidFill>
              </a:ln>
              <a:effectLst/>
            </c:spPr>
            <c:extLst>
              <c:ext xmlns:c16="http://schemas.microsoft.com/office/drawing/2014/chart" uri="{C3380CC4-5D6E-409C-BE32-E72D297353CC}">
                <c16:uniqueId val="{00000025-272A-5142-9FD4-5A8283C6C4A2}"/>
              </c:ext>
            </c:extLst>
          </c:dPt>
          <c:val>
            <c:numRef>
              <c:f>'Process 2'!$AT$19:$AT$21</c:f>
              <c:numCache>
                <c:formatCode>0%</c:formatCode>
                <c:ptCount val="3"/>
                <c:pt idx="0">
                  <c:v>5.5E-2</c:v>
                </c:pt>
                <c:pt idx="1">
                  <c:v>0.04</c:v>
                </c:pt>
                <c:pt idx="2">
                  <c:v>1.38</c:v>
                </c:pt>
              </c:numCache>
            </c:numRef>
          </c:val>
          <c:extLst>
            <c:ext xmlns:c16="http://schemas.microsoft.com/office/drawing/2014/chart" uri="{C3380CC4-5D6E-409C-BE32-E72D297353CC}">
              <c16:uniqueId val="{00000026-272A-5142-9FD4-5A8283C6C4A2}"/>
            </c:ext>
          </c:extLst>
        </c:ser>
        <c:ser>
          <c:idx val="3"/>
          <c:order val="5"/>
          <c:dPt>
            <c:idx val="0"/>
            <c:bubble3D val="0"/>
            <c:spPr>
              <a:solidFill>
                <a:schemeClr val="accent1"/>
              </a:solidFill>
              <a:ln w="19050">
                <a:solidFill>
                  <a:schemeClr val="lt1"/>
                </a:solidFill>
              </a:ln>
              <a:effectLst/>
            </c:spPr>
            <c:extLst>
              <c:ext xmlns:c16="http://schemas.microsoft.com/office/drawing/2014/chart" uri="{C3380CC4-5D6E-409C-BE32-E72D297353CC}">
                <c16:uniqueId val="{00000028-272A-5142-9FD4-5A8283C6C4A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2A-272A-5142-9FD4-5A8283C6C4A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2C-272A-5142-9FD4-5A8283C6C4A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2E-272A-5142-9FD4-5A8283C6C4A2}"/>
              </c:ext>
            </c:extLst>
          </c:dPt>
          <c:val>
            <c:numRef>
              <c:f>'Process 2'!$AS$20:$AS$23</c:f>
              <c:numCache>
                <c:formatCode>0%</c:formatCode>
                <c:ptCount val="4"/>
                <c:pt idx="0">
                  <c:v>0.25</c:v>
                </c:pt>
                <c:pt idx="1">
                  <c:v>0.5</c:v>
                </c:pt>
                <c:pt idx="2">
                  <c:v>0.25</c:v>
                </c:pt>
                <c:pt idx="3">
                  <c:v>1</c:v>
                </c:pt>
              </c:numCache>
            </c:numRef>
          </c:val>
          <c:extLst>
            <c:ext xmlns:c16="http://schemas.microsoft.com/office/drawing/2014/chart" uri="{C3380CC4-5D6E-409C-BE32-E72D297353CC}">
              <c16:uniqueId val="{0000002F-272A-5142-9FD4-5A8283C6C4A2}"/>
            </c:ext>
          </c:extLst>
        </c:ser>
        <c:ser>
          <c:idx val="0"/>
          <c:order val="6"/>
          <c:dPt>
            <c:idx val="0"/>
            <c:bubble3D val="0"/>
            <c:spPr>
              <a:solidFill>
                <a:schemeClr val="bg1"/>
              </a:solidFill>
              <a:ln w="19050">
                <a:solidFill>
                  <a:schemeClr val="lt1"/>
                </a:solidFill>
              </a:ln>
              <a:effectLst/>
            </c:spPr>
            <c:extLst>
              <c:ext xmlns:c16="http://schemas.microsoft.com/office/drawing/2014/chart" uri="{C3380CC4-5D6E-409C-BE32-E72D297353CC}">
                <c16:uniqueId val="{00000031-272A-5142-9FD4-5A8283C6C4A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33-272A-5142-9FD4-5A8283C6C4A2}"/>
              </c:ext>
            </c:extLst>
          </c:dPt>
          <c:dPt>
            <c:idx val="2"/>
            <c:bubble3D val="0"/>
            <c:spPr>
              <a:solidFill>
                <a:schemeClr val="bg1"/>
              </a:solidFill>
              <a:ln w="19050">
                <a:solidFill>
                  <a:schemeClr val="lt1"/>
                </a:solidFill>
              </a:ln>
              <a:effectLst/>
            </c:spPr>
            <c:extLst>
              <c:ext xmlns:c16="http://schemas.microsoft.com/office/drawing/2014/chart" uri="{C3380CC4-5D6E-409C-BE32-E72D297353CC}">
                <c16:uniqueId val="{00000035-272A-5142-9FD4-5A8283C6C4A2}"/>
              </c:ext>
            </c:extLst>
          </c:dPt>
          <c:dLbls>
            <c:dLbl>
              <c:idx val="0"/>
              <c:layout>
                <c:manualLayout>
                  <c:x val="0.26376228245614164"/>
                  <c:y val="-0.13957760795667665"/>
                </c:manualLayout>
              </c:layout>
              <c:spPr>
                <a:noFill/>
                <a:ln>
                  <a:noFill/>
                </a:ln>
                <a:effectLst/>
              </c:spPr>
              <c:txPr>
                <a:bodyPr rot="0" spcFirstLastPara="1" vertOverflow="ellipsis" vert="horz" wrap="square" lIns="38100" tIns="19050" rIns="38100" bIns="19050" anchor="ctr" anchorCtr="1">
                  <a:noAutofit/>
                </a:bodyPr>
                <a:lstStyle/>
                <a:p>
                  <a:pPr>
                    <a:defRPr sz="1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2271392541013418"/>
                      <c:h val="9.0748948845741084E-2"/>
                    </c:manualLayout>
                  </c15:layout>
                </c:ext>
                <c:ext xmlns:c16="http://schemas.microsoft.com/office/drawing/2014/chart" uri="{C3380CC4-5D6E-409C-BE32-E72D297353CC}">
                  <c16:uniqueId val="{00000031-272A-5142-9FD4-5A8283C6C4A2}"/>
                </c:ext>
              </c:extLst>
            </c:dLbl>
            <c:dLbl>
              <c:idx val="1"/>
              <c:delete val="1"/>
              <c:extLst>
                <c:ext xmlns:c15="http://schemas.microsoft.com/office/drawing/2012/chart" uri="{CE6537A1-D6FC-4f65-9D91-7224C49458BB}"/>
                <c:ext xmlns:c16="http://schemas.microsoft.com/office/drawing/2014/chart" uri="{C3380CC4-5D6E-409C-BE32-E72D297353CC}">
                  <c16:uniqueId val="{00000033-272A-5142-9FD4-5A8283C6C4A2}"/>
                </c:ext>
              </c:extLst>
            </c:dLbl>
            <c:dLbl>
              <c:idx val="2"/>
              <c:delete val="1"/>
              <c:extLst>
                <c:ext xmlns:c15="http://schemas.microsoft.com/office/drawing/2012/chart" uri="{CE6537A1-D6FC-4f65-9D91-7224C49458BB}"/>
                <c:ext xmlns:c16="http://schemas.microsoft.com/office/drawing/2014/chart" uri="{C3380CC4-5D6E-409C-BE32-E72D297353CC}">
                  <c16:uniqueId val="{00000035-272A-5142-9FD4-5A8283C6C4A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'Process 2'!$AT$19:$AT$21</c:f>
              <c:numCache>
                <c:formatCode>0%</c:formatCode>
                <c:ptCount val="3"/>
                <c:pt idx="0">
                  <c:v>5.5E-2</c:v>
                </c:pt>
                <c:pt idx="1">
                  <c:v>0.04</c:v>
                </c:pt>
                <c:pt idx="2">
                  <c:v>1.38</c:v>
                </c:pt>
              </c:numCache>
            </c:numRef>
          </c:val>
          <c:extLst>
            <c:ext xmlns:c16="http://schemas.microsoft.com/office/drawing/2014/chart" uri="{C3380CC4-5D6E-409C-BE32-E72D297353CC}">
              <c16:uniqueId val="{00000036-272A-5142-9FD4-5A8283C6C4A2}"/>
            </c:ext>
          </c:extLst>
        </c:ser>
        <c:ser>
          <c:idx val="1"/>
          <c:order val="7"/>
          <c:dPt>
            <c:idx val="0"/>
            <c:bubble3D val="0"/>
            <c:spPr>
              <a:solidFill>
                <a:schemeClr val="accent1"/>
              </a:solidFill>
              <a:ln w="19050">
                <a:solidFill>
                  <a:schemeClr val="lt1"/>
                </a:solidFill>
              </a:ln>
              <a:effectLst/>
            </c:spPr>
            <c:extLst>
              <c:ext xmlns:c16="http://schemas.microsoft.com/office/drawing/2014/chart" uri="{C3380CC4-5D6E-409C-BE32-E72D297353CC}">
                <c16:uniqueId val="{00000038-272A-5142-9FD4-5A8283C6C4A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3A-272A-5142-9FD4-5A8283C6C4A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3C-272A-5142-9FD4-5A8283C6C4A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3E-272A-5142-9FD4-5A8283C6C4A2}"/>
              </c:ext>
            </c:extLst>
          </c:dPt>
          <c:val>
            <c:numRef>
              <c:f>'Process 2'!$AS$20:$AS$23</c:f>
              <c:numCache>
                <c:formatCode>0%</c:formatCode>
                <c:ptCount val="4"/>
                <c:pt idx="0">
                  <c:v>0.25</c:v>
                </c:pt>
                <c:pt idx="1">
                  <c:v>0.5</c:v>
                </c:pt>
                <c:pt idx="2">
                  <c:v>0.25</c:v>
                </c:pt>
                <c:pt idx="3">
                  <c:v>1</c:v>
                </c:pt>
              </c:numCache>
            </c:numRef>
          </c:val>
          <c:extLst>
            <c:ext xmlns:c16="http://schemas.microsoft.com/office/drawing/2014/chart" uri="{C3380CC4-5D6E-409C-BE32-E72D297353CC}">
              <c16:uniqueId val="{0000003F-272A-5142-9FD4-5A8283C6C4A2}"/>
            </c:ext>
          </c:extLst>
        </c:ser>
        <c:dLbls>
          <c:showLegendKey val="0"/>
          <c:showVal val="0"/>
          <c:showCatName val="0"/>
          <c:showSerName val="0"/>
          <c:showPercent val="0"/>
          <c:showBubbleSize val="0"/>
          <c:showLeaderLines val="1"/>
        </c:dLbls>
        <c:firstSliceAng val="270"/>
      </c:pieChart>
      <c:spPr>
        <a:noFill/>
        <a:ln w="25400">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4"/>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440-AB48-9206-3406F56391E9}"/>
              </c:ext>
            </c:extLst>
          </c:dPt>
          <c:dPt>
            <c:idx val="1"/>
            <c:bubble3D val="0"/>
            <c:spPr>
              <a:solidFill>
                <a:srgbClr val="92D050"/>
              </a:solidFill>
              <a:ln w="19050">
                <a:solidFill>
                  <a:schemeClr val="lt1"/>
                </a:solidFill>
              </a:ln>
              <a:effectLst/>
            </c:spPr>
            <c:extLst>
              <c:ext xmlns:c16="http://schemas.microsoft.com/office/drawing/2014/chart" uri="{C3380CC4-5D6E-409C-BE32-E72D297353CC}">
                <c16:uniqueId val="{00000003-E440-AB48-9206-3406F56391E9}"/>
              </c:ext>
            </c:extLst>
          </c:dPt>
          <c:dPt>
            <c:idx val="2"/>
            <c:bubble3D val="0"/>
            <c:spPr>
              <a:solidFill>
                <a:srgbClr val="FFFF00"/>
              </a:solidFill>
              <a:ln w="19050">
                <a:solidFill>
                  <a:schemeClr val="lt1"/>
                </a:solidFill>
              </a:ln>
              <a:effectLst/>
            </c:spPr>
            <c:extLst>
              <c:ext xmlns:c16="http://schemas.microsoft.com/office/drawing/2014/chart" uri="{C3380CC4-5D6E-409C-BE32-E72D297353CC}">
                <c16:uniqueId val="{00000005-E440-AB48-9206-3406F56391E9}"/>
              </c:ext>
            </c:extLst>
          </c:dPt>
          <c:dPt>
            <c:idx val="3"/>
            <c:bubble3D val="0"/>
            <c:spPr>
              <a:solidFill>
                <a:srgbClr val="FF0000"/>
              </a:solidFill>
              <a:ln w="19050">
                <a:solidFill>
                  <a:schemeClr val="lt1"/>
                </a:solidFill>
              </a:ln>
              <a:effectLst/>
            </c:spPr>
            <c:extLst>
              <c:ext xmlns:c16="http://schemas.microsoft.com/office/drawing/2014/chart" uri="{C3380CC4-5D6E-409C-BE32-E72D297353CC}">
                <c16:uniqueId val="{00000007-E440-AB48-9206-3406F56391E9}"/>
              </c:ext>
            </c:extLst>
          </c:dPt>
          <c:dPt>
            <c:idx val="4"/>
            <c:bubble3D val="0"/>
            <c:spPr>
              <a:noFill/>
              <a:ln w="19050">
                <a:solidFill>
                  <a:schemeClr val="lt1"/>
                </a:solidFill>
              </a:ln>
              <a:effectLst/>
            </c:spPr>
            <c:extLst>
              <c:ext xmlns:c16="http://schemas.microsoft.com/office/drawing/2014/chart" uri="{C3380CC4-5D6E-409C-BE32-E72D297353CC}">
                <c16:uniqueId val="{00000009-E440-AB48-9206-3406F56391E9}"/>
              </c:ext>
            </c:extLst>
          </c:dPt>
          <c:val>
            <c:numRef>
              <c:f>'Process 3'!$AS$19:$AS$23</c:f>
              <c:numCache>
                <c:formatCode>0%</c:formatCode>
                <c:ptCount val="5"/>
                <c:pt idx="0" formatCode="General">
                  <c:v>0</c:v>
                </c:pt>
                <c:pt idx="1">
                  <c:v>0.25</c:v>
                </c:pt>
                <c:pt idx="2">
                  <c:v>0.5</c:v>
                </c:pt>
                <c:pt idx="3">
                  <c:v>0.25</c:v>
                </c:pt>
                <c:pt idx="4">
                  <c:v>1</c:v>
                </c:pt>
              </c:numCache>
            </c:numRef>
          </c:val>
          <c:extLst>
            <c:ext xmlns:c16="http://schemas.microsoft.com/office/drawing/2014/chart" uri="{C3380CC4-5D6E-409C-BE32-E72D297353CC}">
              <c16:uniqueId val="{0000000A-E440-AB48-9206-3406F56391E9}"/>
            </c:ext>
          </c:extLst>
        </c:ser>
        <c:ser>
          <c:idx val="5"/>
          <c:order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C-E440-AB48-9206-3406F56391E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E-E440-AB48-9206-3406F56391E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0-E440-AB48-9206-3406F56391E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2-E440-AB48-9206-3406F56391E9}"/>
              </c:ext>
            </c:extLst>
          </c:dPt>
          <c:val>
            <c:numRef>
              <c:f>'Process 3'!$AS$20:$AS$23</c:f>
              <c:numCache>
                <c:formatCode>0%</c:formatCode>
                <c:ptCount val="4"/>
                <c:pt idx="0">
                  <c:v>0.25</c:v>
                </c:pt>
                <c:pt idx="1">
                  <c:v>0.5</c:v>
                </c:pt>
                <c:pt idx="2">
                  <c:v>0.25</c:v>
                </c:pt>
                <c:pt idx="3">
                  <c:v>1</c:v>
                </c:pt>
              </c:numCache>
            </c:numRef>
          </c:val>
          <c:extLst>
            <c:ext xmlns:c16="http://schemas.microsoft.com/office/drawing/2014/chart" uri="{C3380CC4-5D6E-409C-BE32-E72D297353CC}">
              <c16:uniqueId val="{00000013-E440-AB48-9206-3406F56391E9}"/>
            </c:ext>
          </c:extLst>
        </c:ser>
        <c:ser>
          <c:idx val="6"/>
          <c:order val="2"/>
          <c:dPt>
            <c:idx val="0"/>
            <c:bubble3D val="0"/>
            <c:spPr>
              <a:solidFill>
                <a:schemeClr val="bg1"/>
              </a:solidFill>
              <a:ln w="19050">
                <a:solidFill>
                  <a:schemeClr val="lt1"/>
                </a:solidFill>
              </a:ln>
              <a:effectLst/>
            </c:spPr>
            <c:extLst>
              <c:ext xmlns:c16="http://schemas.microsoft.com/office/drawing/2014/chart" uri="{C3380CC4-5D6E-409C-BE32-E72D297353CC}">
                <c16:uniqueId val="{00000015-E440-AB48-9206-3406F56391E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7-E440-AB48-9206-3406F56391E9}"/>
              </c:ext>
            </c:extLst>
          </c:dPt>
          <c:dPt>
            <c:idx val="2"/>
            <c:bubble3D val="0"/>
            <c:spPr>
              <a:solidFill>
                <a:schemeClr val="bg1"/>
              </a:solidFill>
              <a:ln w="19050">
                <a:solidFill>
                  <a:schemeClr val="lt1"/>
                </a:solidFill>
              </a:ln>
              <a:effectLst/>
            </c:spPr>
            <c:extLst>
              <c:ext xmlns:c16="http://schemas.microsoft.com/office/drawing/2014/chart" uri="{C3380CC4-5D6E-409C-BE32-E72D297353CC}">
                <c16:uniqueId val="{00000019-E440-AB48-9206-3406F56391E9}"/>
              </c:ext>
            </c:extLst>
          </c:dPt>
          <c:val>
            <c:numRef>
              <c:f>'Process 3'!$AT$19:$AT$21</c:f>
              <c:numCache>
                <c:formatCode>0%</c:formatCode>
                <c:ptCount val="3"/>
                <c:pt idx="0">
                  <c:v>0.16400000000000001</c:v>
                </c:pt>
                <c:pt idx="1">
                  <c:v>0.04</c:v>
                </c:pt>
                <c:pt idx="2">
                  <c:v>1.38</c:v>
                </c:pt>
              </c:numCache>
            </c:numRef>
          </c:val>
          <c:extLst>
            <c:ext xmlns:c16="http://schemas.microsoft.com/office/drawing/2014/chart" uri="{C3380CC4-5D6E-409C-BE32-E72D297353CC}">
              <c16:uniqueId val="{0000001A-E440-AB48-9206-3406F56391E9}"/>
            </c:ext>
          </c:extLst>
        </c:ser>
        <c:ser>
          <c:idx val="7"/>
          <c:order val="3"/>
          <c:dPt>
            <c:idx val="0"/>
            <c:bubble3D val="0"/>
            <c:spPr>
              <a:solidFill>
                <a:schemeClr val="accent1"/>
              </a:solidFill>
              <a:ln w="19050">
                <a:solidFill>
                  <a:schemeClr val="lt1"/>
                </a:solidFill>
              </a:ln>
              <a:effectLst/>
            </c:spPr>
            <c:extLst>
              <c:ext xmlns:c16="http://schemas.microsoft.com/office/drawing/2014/chart" uri="{C3380CC4-5D6E-409C-BE32-E72D297353CC}">
                <c16:uniqueId val="{0000001C-E440-AB48-9206-3406F56391E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E-E440-AB48-9206-3406F56391E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20-E440-AB48-9206-3406F56391E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22-E440-AB48-9206-3406F56391E9}"/>
              </c:ext>
            </c:extLst>
          </c:dPt>
          <c:val>
            <c:numRef>
              <c:f>'Process 3'!$AS$20:$AS$23</c:f>
              <c:numCache>
                <c:formatCode>0%</c:formatCode>
                <c:ptCount val="4"/>
                <c:pt idx="0">
                  <c:v>0.25</c:v>
                </c:pt>
                <c:pt idx="1">
                  <c:v>0.5</c:v>
                </c:pt>
                <c:pt idx="2">
                  <c:v>0.25</c:v>
                </c:pt>
                <c:pt idx="3">
                  <c:v>1</c:v>
                </c:pt>
              </c:numCache>
            </c:numRef>
          </c:val>
          <c:extLst>
            <c:ext xmlns:c16="http://schemas.microsoft.com/office/drawing/2014/chart" uri="{C3380CC4-5D6E-409C-BE32-E72D297353CC}">
              <c16:uniqueId val="{00000023-E440-AB48-9206-3406F56391E9}"/>
            </c:ext>
          </c:extLst>
        </c:ser>
        <c:ser>
          <c:idx val="2"/>
          <c:order val="4"/>
          <c:dPt>
            <c:idx val="0"/>
            <c:bubble3D val="0"/>
            <c:spPr>
              <a:solidFill>
                <a:schemeClr val="bg1"/>
              </a:solidFill>
              <a:ln w="19050">
                <a:solidFill>
                  <a:schemeClr val="lt1"/>
                </a:solidFill>
              </a:ln>
              <a:effectLst/>
            </c:spPr>
            <c:extLst>
              <c:ext xmlns:c16="http://schemas.microsoft.com/office/drawing/2014/chart" uri="{C3380CC4-5D6E-409C-BE32-E72D297353CC}">
                <c16:uniqueId val="{00000025-E440-AB48-9206-3406F56391E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27-E440-AB48-9206-3406F56391E9}"/>
              </c:ext>
            </c:extLst>
          </c:dPt>
          <c:dPt>
            <c:idx val="2"/>
            <c:bubble3D val="0"/>
            <c:spPr>
              <a:solidFill>
                <a:schemeClr val="bg1"/>
              </a:solidFill>
              <a:ln w="19050">
                <a:solidFill>
                  <a:schemeClr val="lt1"/>
                </a:solidFill>
              </a:ln>
              <a:effectLst/>
            </c:spPr>
            <c:extLst>
              <c:ext xmlns:c16="http://schemas.microsoft.com/office/drawing/2014/chart" uri="{C3380CC4-5D6E-409C-BE32-E72D297353CC}">
                <c16:uniqueId val="{00000029-E440-AB48-9206-3406F56391E9}"/>
              </c:ext>
            </c:extLst>
          </c:dPt>
          <c:val>
            <c:numRef>
              <c:f>'Process 3'!$AT$19:$AT$21</c:f>
              <c:numCache>
                <c:formatCode>0%</c:formatCode>
                <c:ptCount val="3"/>
                <c:pt idx="0">
                  <c:v>0.16400000000000001</c:v>
                </c:pt>
                <c:pt idx="1">
                  <c:v>0.04</c:v>
                </c:pt>
                <c:pt idx="2">
                  <c:v>1.38</c:v>
                </c:pt>
              </c:numCache>
            </c:numRef>
          </c:val>
          <c:extLst>
            <c:ext xmlns:c16="http://schemas.microsoft.com/office/drawing/2014/chart" uri="{C3380CC4-5D6E-409C-BE32-E72D297353CC}">
              <c16:uniqueId val="{0000002A-E440-AB48-9206-3406F56391E9}"/>
            </c:ext>
          </c:extLst>
        </c:ser>
        <c:ser>
          <c:idx val="3"/>
          <c:order val="5"/>
          <c:dPt>
            <c:idx val="0"/>
            <c:bubble3D val="0"/>
            <c:spPr>
              <a:solidFill>
                <a:schemeClr val="accent1"/>
              </a:solidFill>
              <a:ln w="19050">
                <a:solidFill>
                  <a:schemeClr val="lt1"/>
                </a:solidFill>
              </a:ln>
              <a:effectLst/>
            </c:spPr>
            <c:extLst>
              <c:ext xmlns:c16="http://schemas.microsoft.com/office/drawing/2014/chart" uri="{C3380CC4-5D6E-409C-BE32-E72D297353CC}">
                <c16:uniqueId val="{0000002C-E440-AB48-9206-3406F56391E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2E-E440-AB48-9206-3406F56391E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30-E440-AB48-9206-3406F56391E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32-E440-AB48-9206-3406F56391E9}"/>
              </c:ext>
            </c:extLst>
          </c:dPt>
          <c:val>
            <c:numRef>
              <c:f>'Process 3'!$AS$20:$AS$23</c:f>
              <c:numCache>
                <c:formatCode>0%</c:formatCode>
                <c:ptCount val="4"/>
                <c:pt idx="0">
                  <c:v>0.25</c:v>
                </c:pt>
                <c:pt idx="1">
                  <c:v>0.5</c:v>
                </c:pt>
                <c:pt idx="2">
                  <c:v>0.25</c:v>
                </c:pt>
                <c:pt idx="3">
                  <c:v>1</c:v>
                </c:pt>
              </c:numCache>
            </c:numRef>
          </c:val>
          <c:extLst>
            <c:ext xmlns:c16="http://schemas.microsoft.com/office/drawing/2014/chart" uri="{C3380CC4-5D6E-409C-BE32-E72D297353CC}">
              <c16:uniqueId val="{00000033-E440-AB48-9206-3406F56391E9}"/>
            </c:ext>
          </c:extLst>
        </c:ser>
        <c:ser>
          <c:idx val="0"/>
          <c:order val="6"/>
          <c:dPt>
            <c:idx val="0"/>
            <c:bubble3D val="0"/>
            <c:spPr>
              <a:solidFill>
                <a:schemeClr val="bg1"/>
              </a:solidFill>
              <a:ln w="19050">
                <a:solidFill>
                  <a:schemeClr val="lt1"/>
                </a:solidFill>
              </a:ln>
              <a:effectLst/>
            </c:spPr>
            <c:extLst>
              <c:ext xmlns:c16="http://schemas.microsoft.com/office/drawing/2014/chart" uri="{C3380CC4-5D6E-409C-BE32-E72D297353CC}">
                <c16:uniqueId val="{00000035-E440-AB48-9206-3406F56391E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37-E440-AB48-9206-3406F56391E9}"/>
              </c:ext>
            </c:extLst>
          </c:dPt>
          <c:dPt>
            <c:idx val="2"/>
            <c:bubble3D val="0"/>
            <c:spPr>
              <a:solidFill>
                <a:schemeClr val="bg1"/>
              </a:solidFill>
              <a:ln w="19050">
                <a:solidFill>
                  <a:schemeClr val="lt1"/>
                </a:solidFill>
              </a:ln>
              <a:effectLst/>
            </c:spPr>
            <c:extLst>
              <c:ext xmlns:c16="http://schemas.microsoft.com/office/drawing/2014/chart" uri="{C3380CC4-5D6E-409C-BE32-E72D297353CC}">
                <c16:uniqueId val="{00000039-E440-AB48-9206-3406F56391E9}"/>
              </c:ext>
            </c:extLst>
          </c:dPt>
          <c:dLbls>
            <c:dLbl>
              <c:idx val="0"/>
              <c:layout>
                <c:manualLayout>
                  <c:x val="0.26376228245614164"/>
                  <c:y val="-0.13957760795667665"/>
                </c:manualLayout>
              </c:layout>
              <c:spPr>
                <a:noFill/>
                <a:ln>
                  <a:noFill/>
                </a:ln>
                <a:effectLst/>
              </c:spPr>
              <c:txPr>
                <a:bodyPr rot="0" spcFirstLastPara="1" vertOverflow="ellipsis" vert="horz" wrap="square" lIns="38100" tIns="19050" rIns="38100" bIns="19050" anchor="ctr" anchorCtr="1">
                  <a:noAutofit/>
                </a:bodyPr>
                <a:lstStyle/>
                <a:p>
                  <a:pPr>
                    <a:defRPr sz="1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2271392541013418"/>
                      <c:h val="9.0748948845741084E-2"/>
                    </c:manualLayout>
                  </c15:layout>
                </c:ext>
                <c:ext xmlns:c16="http://schemas.microsoft.com/office/drawing/2014/chart" uri="{C3380CC4-5D6E-409C-BE32-E72D297353CC}">
                  <c16:uniqueId val="{00000035-E440-AB48-9206-3406F56391E9}"/>
                </c:ext>
              </c:extLst>
            </c:dLbl>
            <c:dLbl>
              <c:idx val="1"/>
              <c:delete val="1"/>
              <c:extLst>
                <c:ext xmlns:c15="http://schemas.microsoft.com/office/drawing/2012/chart" uri="{CE6537A1-D6FC-4f65-9D91-7224C49458BB}"/>
                <c:ext xmlns:c16="http://schemas.microsoft.com/office/drawing/2014/chart" uri="{C3380CC4-5D6E-409C-BE32-E72D297353CC}">
                  <c16:uniqueId val="{00000037-E440-AB48-9206-3406F56391E9}"/>
                </c:ext>
              </c:extLst>
            </c:dLbl>
            <c:dLbl>
              <c:idx val="2"/>
              <c:delete val="1"/>
              <c:extLst>
                <c:ext xmlns:c15="http://schemas.microsoft.com/office/drawing/2012/chart" uri="{CE6537A1-D6FC-4f65-9D91-7224C49458BB}"/>
                <c:ext xmlns:c16="http://schemas.microsoft.com/office/drawing/2014/chart" uri="{C3380CC4-5D6E-409C-BE32-E72D297353CC}">
                  <c16:uniqueId val="{00000039-E440-AB48-9206-3406F56391E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'Process 3'!$AT$19:$AT$21</c:f>
              <c:numCache>
                <c:formatCode>0%</c:formatCode>
                <c:ptCount val="3"/>
                <c:pt idx="0">
                  <c:v>0.16400000000000001</c:v>
                </c:pt>
                <c:pt idx="1">
                  <c:v>0.04</c:v>
                </c:pt>
                <c:pt idx="2">
                  <c:v>1.38</c:v>
                </c:pt>
              </c:numCache>
            </c:numRef>
          </c:val>
          <c:extLst>
            <c:ext xmlns:c16="http://schemas.microsoft.com/office/drawing/2014/chart" uri="{C3380CC4-5D6E-409C-BE32-E72D297353CC}">
              <c16:uniqueId val="{0000003A-E440-AB48-9206-3406F56391E9}"/>
            </c:ext>
          </c:extLst>
        </c:ser>
        <c:ser>
          <c:idx val="1"/>
          <c:order val="7"/>
          <c:dPt>
            <c:idx val="0"/>
            <c:bubble3D val="0"/>
            <c:spPr>
              <a:solidFill>
                <a:schemeClr val="accent1"/>
              </a:solidFill>
              <a:ln w="19050">
                <a:solidFill>
                  <a:schemeClr val="lt1"/>
                </a:solidFill>
              </a:ln>
              <a:effectLst/>
            </c:spPr>
            <c:extLst>
              <c:ext xmlns:c16="http://schemas.microsoft.com/office/drawing/2014/chart" uri="{C3380CC4-5D6E-409C-BE32-E72D297353CC}">
                <c16:uniqueId val="{0000003C-E440-AB48-9206-3406F56391E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3E-E440-AB48-9206-3406F56391E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40-E440-AB48-9206-3406F56391E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42-E440-AB48-9206-3406F56391E9}"/>
              </c:ext>
            </c:extLst>
          </c:dPt>
          <c:val>
            <c:numRef>
              <c:f>'Process 3'!$AS$20:$AS$23</c:f>
              <c:numCache>
                <c:formatCode>0%</c:formatCode>
                <c:ptCount val="4"/>
                <c:pt idx="0">
                  <c:v>0.25</c:v>
                </c:pt>
                <c:pt idx="1">
                  <c:v>0.5</c:v>
                </c:pt>
                <c:pt idx="2">
                  <c:v>0.25</c:v>
                </c:pt>
                <c:pt idx="3">
                  <c:v>1</c:v>
                </c:pt>
              </c:numCache>
            </c:numRef>
          </c:val>
          <c:extLst>
            <c:ext xmlns:c16="http://schemas.microsoft.com/office/drawing/2014/chart" uri="{C3380CC4-5D6E-409C-BE32-E72D297353CC}">
              <c16:uniqueId val="{00000043-E440-AB48-9206-3406F56391E9}"/>
            </c:ext>
          </c:extLst>
        </c:ser>
        <c:dLbls>
          <c:showLegendKey val="0"/>
          <c:showVal val="0"/>
          <c:showCatName val="0"/>
          <c:showSerName val="0"/>
          <c:showPercent val="0"/>
          <c:showBubbleSize val="0"/>
          <c:showLeaderLines val="1"/>
        </c:dLbls>
        <c:firstSliceAng val="270"/>
      </c:pieChart>
      <c:spPr>
        <a:noFill/>
        <a:ln w="25400">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4"/>
          <c:order val="0"/>
          <c:spPr>
            <a:ln>
              <a:noFill/>
            </a:ln>
          </c:spPr>
          <c:dPt>
            <c:idx val="0"/>
            <c:bubble3D val="0"/>
            <c:spPr>
              <a:noFill/>
              <a:ln w="19050">
                <a:noFill/>
              </a:ln>
              <a:effectLst/>
            </c:spPr>
            <c:extLst>
              <c:ext xmlns:c16="http://schemas.microsoft.com/office/drawing/2014/chart" uri="{C3380CC4-5D6E-409C-BE32-E72D297353CC}">
                <c16:uniqueId val="{00000001-1A83-9848-BAA5-882A63D67925}"/>
              </c:ext>
            </c:extLst>
          </c:dPt>
          <c:dPt>
            <c:idx val="1"/>
            <c:bubble3D val="0"/>
            <c:spPr>
              <a:solidFill>
                <a:schemeClr val="tx1"/>
              </a:solidFill>
              <a:ln w="19050">
                <a:noFill/>
              </a:ln>
              <a:effectLst/>
            </c:spPr>
            <c:extLst>
              <c:ext xmlns:c16="http://schemas.microsoft.com/office/drawing/2014/chart" uri="{C3380CC4-5D6E-409C-BE32-E72D297353CC}">
                <c16:uniqueId val="{00000003-1A83-9848-BAA5-882A63D67925}"/>
              </c:ext>
            </c:extLst>
          </c:dPt>
          <c:dPt>
            <c:idx val="2"/>
            <c:bubble3D val="0"/>
            <c:spPr>
              <a:noFill/>
              <a:ln w="19050">
                <a:noFill/>
              </a:ln>
              <a:effectLst/>
            </c:spPr>
            <c:extLst>
              <c:ext xmlns:c16="http://schemas.microsoft.com/office/drawing/2014/chart" uri="{C3380CC4-5D6E-409C-BE32-E72D297353CC}">
                <c16:uniqueId val="{00000005-1A83-9848-BAA5-882A63D67925}"/>
              </c:ext>
            </c:extLst>
          </c:dPt>
          <c:dLbls>
            <c:dLbl>
              <c:idx val="0"/>
              <c:layout>
                <c:manualLayout>
                  <c:x val="0.2080988903673413"/>
                  <c:y val="0.15261378471962453"/>
                </c:manualLayout>
              </c:layout>
              <c:spPr>
                <a:noFill/>
                <a:ln>
                  <a:noFill/>
                </a:ln>
                <a:effectLst/>
              </c:spPr>
              <c:txPr>
                <a:bodyPr rot="0" spcFirstLastPara="1" vertOverflow="ellipsis" vert="horz" wrap="square" lIns="38100" tIns="19050" rIns="38100" bIns="19050" anchor="ctr" anchorCtr="1">
                  <a:spAutoFit/>
                </a:bodyPr>
                <a:lstStyle/>
                <a:p>
                  <a:pPr>
                    <a:defRPr sz="3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A83-9848-BAA5-882A63D67925}"/>
                </c:ext>
              </c:extLst>
            </c:dLbl>
            <c:dLbl>
              <c:idx val="1"/>
              <c:delete val="1"/>
              <c:extLst>
                <c:ext xmlns:c15="http://schemas.microsoft.com/office/drawing/2012/chart" uri="{CE6537A1-D6FC-4f65-9D91-7224C49458BB}"/>
                <c:ext xmlns:c16="http://schemas.microsoft.com/office/drawing/2014/chart" uri="{C3380CC4-5D6E-409C-BE32-E72D297353CC}">
                  <c16:uniqueId val="{00000003-1A83-9848-BAA5-882A63D67925}"/>
                </c:ext>
              </c:extLst>
            </c:dLbl>
            <c:dLbl>
              <c:idx val="2"/>
              <c:delete val="1"/>
              <c:extLst>
                <c:ext xmlns:c15="http://schemas.microsoft.com/office/drawing/2012/chart" uri="{CE6537A1-D6FC-4f65-9D91-7224C49458BB}"/>
                <c:ext xmlns:c16="http://schemas.microsoft.com/office/drawing/2014/chart" uri="{C3380CC4-5D6E-409C-BE32-E72D297353CC}">
                  <c16:uniqueId val="{00000005-1A83-9848-BAA5-882A63D6792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'Process 3'!$AT$19:$AT$21</c:f>
              <c:numCache>
                <c:formatCode>0%</c:formatCode>
                <c:ptCount val="3"/>
                <c:pt idx="0">
                  <c:v>0.16400000000000001</c:v>
                </c:pt>
                <c:pt idx="1">
                  <c:v>0.04</c:v>
                </c:pt>
                <c:pt idx="2">
                  <c:v>1.38</c:v>
                </c:pt>
              </c:numCache>
            </c:numRef>
          </c:val>
          <c:extLst>
            <c:ext xmlns:c16="http://schemas.microsoft.com/office/drawing/2014/chart" uri="{C3380CC4-5D6E-409C-BE32-E72D297353CC}">
              <c16:uniqueId val="{00000006-1A83-9848-BAA5-882A63D67925}"/>
            </c:ext>
          </c:extLst>
        </c:ser>
        <c:ser>
          <c:idx val="5"/>
          <c:order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8-1A83-9848-BAA5-882A63D6792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A-1A83-9848-BAA5-882A63D6792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C-1A83-9848-BAA5-882A63D6792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E-1A83-9848-BAA5-882A63D67925}"/>
              </c:ext>
            </c:extLst>
          </c:dPt>
          <c:val>
            <c:numRef>
              <c:f>'Process 3'!$AS$20:$AS$23</c:f>
              <c:numCache>
                <c:formatCode>0%</c:formatCode>
                <c:ptCount val="4"/>
                <c:pt idx="0">
                  <c:v>0.25</c:v>
                </c:pt>
                <c:pt idx="1">
                  <c:v>0.5</c:v>
                </c:pt>
                <c:pt idx="2">
                  <c:v>0.25</c:v>
                </c:pt>
                <c:pt idx="3">
                  <c:v>1</c:v>
                </c:pt>
              </c:numCache>
            </c:numRef>
          </c:val>
          <c:extLst>
            <c:ext xmlns:c16="http://schemas.microsoft.com/office/drawing/2014/chart" uri="{C3380CC4-5D6E-409C-BE32-E72D297353CC}">
              <c16:uniqueId val="{0000000F-1A83-9848-BAA5-882A63D67925}"/>
            </c:ext>
          </c:extLst>
        </c:ser>
        <c:ser>
          <c:idx val="6"/>
          <c:order val="2"/>
          <c:dPt>
            <c:idx val="0"/>
            <c:bubble3D val="0"/>
            <c:spPr>
              <a:solidFill>
                <a:schemeClr val="bg1"/>
              </a:solidFill>
              <a:ln w="19050">
                <a:solidFill>
                  <a:schemeClr val="lt1"/>
                </a:solidFill>
              </a:ln>
              <a:effectLst/>
            </c:spPr>
            <c:extLst>
              <c:ext xmlns:c16="http://schemas.microsoft.com/office/drawing/2014/chart" uri="{C3380CC4-5D6E-409C-BE32-E72D297353CC}">
                <c16:uniqueId val="{00000011-1A83-9848-BAA5-882A63D6792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3-1A83-9848-BAA5-882A63D67925}"/>
              </c:ext>
            </c:extLst>
          </c:dPt>
          <c:dPt>
            <c:idx val="2"/>
            <c:bubble3D val="0"/>
            <c:spPr>
              <a:solidFill>
                <a:schemeClr val="bg1"/>
              </a:solidFill>
              <a:ln w="19050">
                <a:solidFill>
                  <a:schemeClr val="lt1"/>
                </a:solidFill>
              </a:ln>
              <a:effectLst/>
            </c:spPr>
            <c:extLst>
              <c:ext xmlns:c16="http://schemas.microsoft.com/office/drawing/2014/chart" uri="{C3380CC4-5D6E-409C-BE32-E72D297353CC}">
                <c16:uniqueId val="{00000015-1A83-9848-BAA5-882A63D67925}"/>
              </c:ext>
            </c:extLst>
          </c:dPt>
          <c:val>
            <c:numRef>
              <c:f>'Process 3'!$AT$19:$AT$21</c:f>
              <c:numCache>
                <c:formatCode>0%</c:formatCode>
                <c:ptCount val="3"/>
                <c:pt idx="0">
                  <c:v>0.16400000000000001</c:v>
                </c:pt>
                <c:pt idx="1">
                  <c:v>0.04</c:v>
                </c:pt>
                <c:pt idx="2">
                  <c:v>1.38</c:v>
                </c:pt>
              </c:numCache>
            </c:numRef>
          </c:val>
          <c:extLst>
            <c:ext xmlns:c16="http://schemas.microsoft.com/office/drawing/2014/chart" uri="{C3380CC4-5D6E-409C-BE32-E72D297353CC}">
              <c16:uniqueId val="{00000016-1A83-9848-BAA5-882A63D67925}"/>
            </c:ext>
          </c:extLst>
        </c:ser>
        <c:ser>
          <c:idx val="7"/>
          <c:order val="3"/>
          <c:dPt>
            <c:idx val="0"/>
            <c:bubble3D val="0"/>
            <c:spPr>
              <a:solidFill>
                <a:schemeClr val="accent1"/>
              </a:solidFill>
              <a:ln w="19050">
                <a:solidFill>
                  <a:schemeClr val="lt1"/>
                </a:solidFill>
              </a:ln>
              <a:effectLst/>
            </c:spPr>
            <c:extLst>
              <c:ext xmlns:c16="http://schemas.microsoft.com/office/drawing/2014/chart" uri="{C3380CC4-5D6E-409C-BE32-E72D297353CC}">
                <c16:uniqueId val="{00000018-1A83-9848-BAA5-882A63D6792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A-1A83-9848-BAA5-882A63D6792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C-1A83-9848-BAA5-882A63D6792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E-1A83-9848-BAA5-882A63D67925}"/>
              </c:ext>
            </c:extLst>
          </c:dPt>
          <c:val>
            <c:numRef>
              <c:f>'Process 3'!$AS$20:$AS$23</c:f>
              <c:numCache>
                <c:formatCode>0%</c:formatCode>
                <c:ptCount val="4"/>
                <c:pt idx="0">
                  <c:v>0.25</c:v>
                </c:pt>
                <c:pt idx="1">
                  <c:v>0.5</c:v>
                </c:pt>
                <c:pt idx="2">
                  <c:v>0.25</c:v>
                </c:pt>
                <c:pt idx="3">
                  <c:v>1</c:v>
                </c:pt>
              </c:numCache>
            </c:numRef>
          </c:val>
          <c:extLst>
            <c:ext xmlns:c16="http://schemas.microsoft.com/office/drawing/2014/chart" uri="{C3380CC4-5D6E-409C-BE32-E72D297353CC}">
              <c16:uniqueId val="{0000001F-1A83-9848-BAA5-882A63D67925}"/>
            </c:ext>
          </c:extLst>
        </c:ser>
        <c:ser>
          <c:idx val="2"/>
          <c:order val="4"/>
          <c:dPt>
            <c:idx val="0"/>
            <c:bubble3D val="0"/>
            <c:spPr>
              <a:solidFill>
                <a:schemeClr val="bg1"/>
              </a:solidFill>
              <a:ln w="19050">
                <a:solidFill>
                  <a:schemeClr val="lt1"/>
                </a:solidFill>
              </a:ln>
              <a:effectLst/>
            </c:spPr>
            <c:extLst>
              <c:ext xmlns:c16="http://schemas.microsoft.com/office/drawing/2014/chart" uri="{C3380CC4-5D6E-409C-BE32-E72D297353CC}">
                <c16:uniqueId val="{00000021-1A83-9848-BAA5-882A63D6792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23-1A83-9848-BAA5-882A63D67925}"/>
              </c:ext>
            </c:extLst>
          </c:dPt>
          <c:dPt>
            <c:idx val="2"/>
            <c:bubble3D val="0"/>
            <c:spPr>
              <a:solidFill>
                <a:schemeClr val="bg1"/>
              </a:solidFill>
              <a:ln w="19050">
                <a:solidFill>
                  <a:schemeClr val="lt1"/>
                </a:solidFill>
              </a:ln>
              <a:effectLst/>
            </c:spPr>
            <c:extLst>
              <c:ext xmlns:c16="http://schemas.microsoft.com/office/drawing/2014/chart" uri="{C3380CC4-5D6E-409C-BE32-E72D297353CC}">
                <c16:uniqueId val="{00000025-1A83-9848-BAA5-882A63D67925}"/>
              </c:ext>
            </c:extLst>
          </c:dPt>
          <c:val>
            <c:numRef>
              <c:f>'Process 3'!$AT$19:$AT$21</c:f>
              <c:numCache>
                <c:formatCode>0%</c:formatCode>
                <c:ptCount val="3"/>
                <c:pt idx="0">
                  <c:v>0.16400000000000001</c:v>
                </c:pt>
                <c:pt idx="1">
                  <c:v>0.04</c:v>
                </c:pt>
                <c:pt idx="2">
                  <c:v>1.38</c:v>
                </c:pt>
              </c:numCache>
            </c:numRef>
          </c:val>
          <c:extLst>
            <c:ext xmlns:c16="http://schemas.microsoft.com/office/drawing/2014/chart" uri="{C3380CC4-5D6E-409C-BE32-E72D297353CC}">
              <c16:uniqueId val="{00000026-1A83-9848-BAA5-882A63D67925}"/>
            </c:ext>
          </c:extLst>
        </c:ser>
        <c:ser>
          <c:idx val="3"/>
          <c:order val="5"/>
          <c:dPt>
            <c:idx val="0"/>
            <c:bubble3D val="0"/>
            <c:spPr>
              <a:solidFill>
                <a:schemeClr val="accent1"/>
              </a:solidFill>
              <a:ln w="19050">
                <a:solidFill>
                  <a:schemeClr val="lt1"/>
                </a:solidFill>
              </a:ln>
              <a:effectLst/>
            </c:spPr>
            <c:extLst>
              <c:ext xmlns:c16="http://schemas.microsoft.com/office/drawing/2014/chart" uri="{C3380CC4-5D6E-409C-BE32-E72D297353CC}">
                <c16:uniqueId val="{00000028-1A83-9848-BAA5-882A63D6792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2A-1A83-9848-BAA5-882A63D6792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2C-1A83-9848-BAA5-882A63D6792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2E-1A83-9848-BAA5-882A63D67925}"/>
              </c:ext>
            </c:extLst>
          </c:dPt>
          <c:val>
            <c:numRef>
              <c:f>'Process 3'!$AS$20:$AS$23</c:f>
              <c:numCache>
                <c:formatCode>0%</c:formatCode>
                <c:ptCount val="4"/>
                <c:pt idx="0">
                  <c:v>0.25</c:v>
                </c:pt>
                <c:pt idx="1">
                  <c:v>0.5</c:v>
                </c:pt>
                <c:pt idx="2">
                  <c:v>0.25</c:v>
                </c:pt>
                <c:pt idx="3">
                  <c:v>1</c:v>
                </c:pt>
              </c:numCache>
            </c:numRef>
          </c:val>
          <c:extLst>
            <c:ext xmlns:c16="http://schemas.microsoft.com/office/drawing/2014/chart" uri="{C3380CC4-5D6E-409C-BE32-E72D297353CC}">
              <c16:uniqueId val="{0000002F-1A83-9848-BAA5-882A63D67925}"/>
            </c:ext>
          </c:extLst>
        </c:ser>
        <c:ser>
          <c:idx val="0"/>
          <c:order val="6"/>
          <c:dPt>
            <c:idx val="0"/>
            <c:bubble3D val="0"/>
            <c:spPr>
              <a:solidFill>
                <a:schemeClr val="bg1"/>
              </a:solidFill>
              <a:ln w="19050">
                <a:solidFill>
                  <a:schemeClr val="lt1"/>
                </a:solidFill>
              </a:ln>
              <a:effectLst/>
            </c:spPr>
            <c:extLst>
              <c:ext xmlns:c16="http://schemas.microsoft.com/office/drawing/2014/chart" uri="{C3380CC4-5D6E-409C-BE32-E72D297353CC}">
                <c16:uniqueId val="{00000031-1A83-9848-BAA5-882A63D6792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33-1A83-9848-BAA5-882A63D67925}"/>
              </c:ext>
            </c:extLst>
          </c:dPt>
          <c:dPt>
            <c:idx val="2"/>
            <c:bubble3D val="0"/>
            <c:spPr>
              <a:solidFill>
                <a:schemeClr val="bg1"/>
              </a:solidFill>
              <a:ln w="19050">
                <a:solidFill>
                  <a:schemeClr val="lt1"/>
                </a:solidFill>
              </a:ln>
              <a:effectLst/>
            </c:spPr>
            <c:extLst>
              <c:ext xmlns:c16="http://schemas.microsoft.com/office/drawing/2014/chart" uri="{C3380CC4-5D6E-409C-BE32-E72D297353CC}">
                <c16:uniqueId val="{00000035-1A83-9848-BAA5-882A63D67925}"/>
              </c:ext>
            </c:extLst>
          </c:dPt>
          <c:dLbls>
            <c:dLbl>
              <c:idx val="0"/>
              <c:layout>
                <c:manualLayout>
                  <c:x val="0.26376228245614164"/>
                  <c:y val="-0.13957760795667665"/>
                </c:manualLayout>
              </c:layout>
              <c:spPr>
                <a:noFill/>
                <a:ln>
                  <a:noFill/>
                </a:ln>
                <a:effectLst/>
              </c:spPr>
              <c:txPr>
                <a:bodyPr rot="0" spcFirstLastPara="1" vertOverflow="ellipsis" vert="horz" wrap="square" lIns="38100" tIns="19050" rIns="38100" bIns="19050" anchor="ctr" anchorCtr="1">
                  <a:noAutofit/>
                </a:bodyPr>
                <a:lstStyle/>
                <a:p>
                  <a:pPr>
                    <a:defRPr sz="1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2271392541013418"/>
                      <c:h val="9.0748948845741084E-2"/>
                    </c:manualLayout>
                  </c15:layout>
                </c:ext>
                <c:ext xmlns:c16="http://schemas.microsoft.com/office/drawing/2014/chart" uri="{C3380CC4-5D6E-409C-BE32-E72D297353CC}">
                  <c16:uniqueId val="{00000031-1A83-9848-BAA5-882A63D67925}"/>
                </c:ext>
              </c:extLst>
            </c:dLbl>
            <c:dLbl>
              <c:idx val="1"/>
              <c:delete val="1"/>
              <c:extLst>
                <c:ext xmlns:c15="http://schemas.microsoft.com/office/drawing/2012/chart" uri="{CE6537A1-D6FC-4f65-9D91-7224C49458BB}"/>
                <c:ext xmlns:c16="http://schemas.microsoft.com/office/drawing/2014/chart" uri="{C3380CC4-5D6E-409C-BE32-E72D297353CC}">
                  <c16:uniqueId val="{00000033-1A83-9848-BAA5-882A63D67925}"/>
                </c:ext>
              </c:extLst>
            </c:dLbl>
            <c:dLbl>
              <c:idx val="2"/>
              <c:delete val="1"/>
              <c:extLst>
                <c:ext xmlns:c15="http://schemas.microsoft.com/office/drawing/2012/chart" uri="{CE6537A1-D6FC-4f65-9D91-7224C49458BB}"/>
                <c:ext xmlns:c16="http://schemas.microsoft.com/office/drawing/2014/chart" uri="{C3380CC4-5D6E-409C-BE32-E72D297353CC}">
                  <c16:uniqueId val="{00000035-1A83-9848-BAA5-882A63D6792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'Process 3'!$AT$19:$AT$21</c:f>
              <c:numCache>
                <c:formatCode>0%</c:formatCode>
                <c:ptCount val="3"/>
                <c:pt idx="0">
                  <c:v>0.16400000000000001</c:v>
                </c:pt>
                <c:pt idx="1">
                  <c:v>0.04</c:v>
                </c:pt>
                <c:pt idx="2">
                  <c:v>1.38</c:v>
                </c:pt>
              </c:numCache>
            </c:numRef>
          </c:val>
          <c:extLst>
            <c:ext xmlns:c16="http://schemas.microsoft.com/office/drawing/2014/chart" uri="{C3380CC4-5D6E-409C-BE32-E72D297353CC}">
              <c16:uniqueId val="{00000036-1A83-9848-BAA5-882A63D67925}"/>
            </c:ext>
          </c:extLst>
        </c:ser>
        <c:ser>
          <c:idx val="1"/>
          <c:order val="7"/>
          <c:dPt>
            <c:idx val="0"/>
            <c:bubble3D val="0"/>
            <c:spPr>
              <a:solidFill>
                <a:schemeClr val="accent1"/>
              </a:solidFill>
              <a:ln w="19050">
                <a:solidFill>
                  <a:schemeClr val="lt1"/>
                </a:solidFill>
              </a:ln>
              <a:effectLst/>
            </c:spPr>
            <c:extLst>
              <c:ext xmlns:c16="http://schemas.microsoft.com/office/drawing/2014/chart" uri="{C3380CC4-5D6E-409C-BE32-E72D297353CC}">
                <c16:uniqueId val="{00000038-1A83-9848-BAA5-882A63D6792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3A-1A83-9848-BAA5-882A63D6792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3C-1A83-9848-BAA5-882A63D6792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3E-1A83-9848-BAA5-882A63D67925}"/>
              </c:ext>
            </c:extLst>
          </c:dPt>
          <c:val>
            <c:numRef>
              <c:f>'Process 3'!$AS$20:$AS$23</c:f>
              <c:numCache>
                <c:formatCode>0%</c:formatCode>
                <c:ptCount val="4"/>
                <c:pt idx="0">
                  <c:v>0.25</c:v>
                </c:pt>
                <c:pt idx="1">
                  <c:v>0.5</c:v>
                </c:pt>
                <c:pt idx="2">
                  <c:v>0.25</c:v>
                </c:pt>
                <c:pt idx="3">
                  <c:v>1</c:v>
                </c:pt>
              </c:numCache>
            </c:numRef>
          </c:val>
          <c:extLst>
            <c:ext xmlns:c16="http://schemas.microsoft.com/office/drawing/2014/chart" uri="{C3380CC4-5D6E-409C-BE32-E72D297353CC}">
              <c16:uniqueId val="{0000003F-1A83-9848-BAA5-882A63D67925}"/>
            </c:ext>
          </c:extLst>
        </c:ser>
        <c:dLbls>
          <c:showLegendKey val="0"/>
          <c:showVal val="0"/>
          <c:showCatName val="0"/>
          <c:showSerName val="0"/>
          <c:showPercent val="0"/>
          <c:showBubbleSize val="0"/>
          <c:showLeaderLines val="1"/>
        </c:dLbls>
        <c:firstSliceAng val="270"/>
      </c:pieChart>
      <c:spPr>
        <a:noFill/>
        <a:ln w="25400">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4"/>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138-4F4A-8B13-561866E46A0D}"/>
              </c:ext>
            </c:extLst>
          </c:dPt>
          <c:dPt>
            <c:idx val="1"/>
            <c:bubble3D val="0"/>
            <c:spPr>
              <a:solidFill>
                <a:srgbClr val="92D050"/>
              </a:solidFill>
              <a:ln w="19050">
                <a:solidFill>
                  <a:schemeClr val="lt1"/>
                </a:solidFill>
              </a:ln>
              <a:effectLst/>
            </c:spPr>
            <c:extLst>
              <c:ext xmlns:c16="http://schemas.microsoft.com/office/drawing/2014/chart" uri="{C3380CC4-5D6E-409C-BE32-E72D297353CC}">
                <c16:uniqueId val="{00000003-8138-4F4A-8B13-561866E46A0D}"/>
              </c:ext>
            </c:extLst>
          </c:dPt>
          <c:dPt>
            <c:idx val="2"/>
            <c:bubble3D val="0"/>
            <c:spPr>
              <a:solidFill>
                <a:srgbClr val="FFFF00"/>
              </a:solidFill>
              <a:ln w="19050">
                <a:solidFill>
                  <a:schemeClr val="lt1"/>
                </a:solidFill>
              </a:ln>
              <a:effectLst/>
            </c:spPr>
            <c:extLst>
              <c:ext xmlns:c16="http://schemas.microsoft.com/office/drawing/2014/chart" uri="{C3380CC4-5D6E-409C-BE32-E72D297353CC}">
                <c16:uniqueId val="{00000005-8138-4F4A-8B13-561866E46A0D}"/>
              </c:ext>
            </c:extLst>
          </c:dPt>
          <c:dPt>
            <c:idx val="3"/>
            <c:bubble3D val="0"/>
            <c:spPr>
              <a:solidFill>
                <a:srgbClr val="FF0000"/>
              </a:solidFill>
              <a:ln w="19050">
                <a:solidFill>
                  <a:schemeClr val="lt1"/>
                </a:solidFill>
              </a:ln>
              <a:effectLst/>
            </c:spPr>
            <c:extLst>
              <c:ext xmlns:c16="http://schemas.microsoft.com/office/drawing/2014/chart" uri="{C3380CC4-5D6E-409C-BE32-E72D297353CC}">
                <c16:uniqueId val="{00000007-8138-4F4A-8B13-561866E46A0D}"/>
              </c:ext>
            </c:extLst>
          </c:dPt>
          <c:dPt>
            <c:idx val="4"/>
            <c:bubble3D val="0"/>
            <c:spPr>
              <a:noFill/>
              <a:ln w="19050">
                <a:solidFill>
                  <a:schemeClr val="lt1"/>
                </a:solidFill>
              </a:ln>
              <a:effectLst/>
            </c:spPr>
            <c:extLst>
              <c:ext xmlns:c16="http://schemas.microsoft.com/office/drawing/2014/chart" uri="{C3380CC4-5D6E-409C-BE32-E72D297353CC}">
                <c16:uniqueId val="{00000009-8138-4F4A-8B13-561866E46A0D}"/>
              </c:ext>
            </c:extLst>
          </c:dPt>
          <c:val>
            <c:numRef>
              <c:f>'Process 4'!$AS$19:$AS$23</c:f>
              <c:numCache>
                <c:formatCode>0%</c:formatCode>
                <c:ptCount val="5"/>
                <c:pt idx="0" formatCode="General">
                  <c:v>0</c:v>
                </c:pt>
                <c:pt idx="1">
                  <c:v>0.25</c:v>
                </c:pt>
                <c:pt idx="2">
                  <c:v>0.5</c:v>
                </c:pt>
                <c:pt idx="3">
                  <c:v>0.25</c:v>
                </c:pt>
                <c:pt idx="4">
                  <c:v>1</c:v>
                </c:pt>
              </c:numCache>
            </c:numRef>
          </c:val>
          <c:extLst>
            <c:ext xmlns:c16="http://schemas.microsoft.com/office/drawing/2014/chart" uri="{C3380CC4-5D6E-409C-BE32-E72D297353CC}">
              <c16:uniqueId val="{0000000A-8138-4F4A-8B13-561866E46A0D}"/>
            </c:ext>
          </c:extLst>
        </c:ser>
        <c:ser>
          <c:idx val="5"/>
          <c:order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C-8138-4F4A-8B13-561866E46A0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E-8138-4F4A-8B13-561866E46A0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0-8138-4F4A-8B13-561866E46A0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2-8138-4F4A-8B13-561866E46A0D}"/>
              </c:ext>
            </c:extLst>
          </c:dPt>
          <c:val>
            <c:numRef>
              <c:f>'Process 4'!$AS$20:$AS$23</c:f>
              <c:numCache>
                <c:formatCode>0%</c:formatCode>
                <c:ptCount val="4"/>
                <c:pt idx="0">
                  <c:v>0.25</c:v>
                </c:pt>
                <c:pt idx="1">
                  <c:v>0.5</c:v>
                </c:pt>
                <c:pt idx="2">
                  <c:v>0.25</c:v>
                </c:pt>
                <c:pt idx="3">
                  <c:v>1</c:v>
                </c:pt>
              </c:numCache>
            </c:numRef>
          </c:val>
          <c:extLst>
            <c:ext xmlns:c16="http://schemas.microsoft.com/office/drawing/2014/chart" uri="{C3380CC4-5D6E-409C-BE32-E72D297353CC}">
              <c16:uniqueId val="{00000013-8138-4F4A-8B13-561866E46A0D}"/>
            </c:ext>
          </c:extLst>
        </c:ser>
        <c:ser>
          <c:idx val="6"/>
          <c:order val="2"/>
          <c:dPt>
            <c:idx val="0"/>
            <c:bubble3D val="0"/>
            <c:spPr>
              <a:solidFill>
                <a:schemeClr val="bg1"/>
              </a:solidFill>
              <a:ln w="19050">
                <a:solidFill>
                  <a:schemeClr val="lt1"/>
                </a:solidFill>
              </a:ln>
              <a:effectLst/>
            </c:spPr>
            <c:extLst>
              <c:ext xmlns:c16="http://schemas.microsoft.com/office/drawing/2014/chart" uri="{C3380CC4-5D6E-409C-BE32-E72D297353CC}">
                <c16:uniqueId val="{00000015-8138-4F4A-8B13-561866E46A0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7-8138-4F4A-8B13-561866E46A0D}"/>
              </c:ext>
            </c:extLst>
          </c:dPt>
          <c:dPt>
            <c:idx val="2"/>
            <c:bubble3D val="0"/>
            <c:spPr>
              <a:solidFill>
                <a:schemeClr val="bg1"/>
              </a:solidFill>
              <a:ln w="19050">
                <a:solidFill>
                  <a:schemeClr val="lt1"/>
                </a:solidFill>
              </a:ln>
              <a:effectLst/>
            </c:spPr>
            <c:extLst>
              <c:ext xmlns:c16="http://schemas.microsoft.com/office/drawing/2014/chart" uri="{C3380CC4-5D6E-409C-BE32-E72D297353CC}">
                <c16:uniqueId val="{00000019-8138-4F4A-8B13-561866E46A0D}"/>
              </c:ext>
            </c:extLst>
          </c:dPt>
          <c:val>
            <c:numRef>
              <c:f>'Process 4'!$AT$19:$AT$21</c:f>
              <c:numCache>
                <c:formatCode>0%</c:formatCode>
                <c:ptCount val="3"/>
                <c:pt idx="0">
                  <c:v>#N/A</c:v>
                </c:pt>
                <c:pt idx="1">
                  <c:v>0.04</c:v>
                </c:pt>
                <c:pt idx="2">
                  <c:v>1.38</c:v>
                </c:pt>
              </c:numCache>
            </c:numRef>
          </c:val>
          <c:extLst>
            <c:ext xmlns:c16="http://schemas.microsoft.com/office/drawing/2014/chart" uri="{C3380CC4-5D6E-409C-BE32-E72D297353CC}">
              <c16:uniqueId val="{0000001A-8138-4F4A-8B13-561866E46A0D}"/>
            </c:ext>
          </c:extLst>
        </c:ser>
        <c:ser>
          <c:idx val="7"/>
          <c:order val="3"/>
          <c:dPt>
            <c:idx val="0"/>
            <c:bubble3D val="0"/>
            <c:spPr>
              <a:solidFill>
                <a:schemeClr val="accent1"/>
              </a:solidFill>
              <a:ln w="19050">
                <a:solidFill>
                  <a:schemeClr val="lt1"/>
                </a:solidFill>
              </a:ln>
              <a:effectLst/>
            </c:spPr>
            <c:extLst>
              <c:ext xmlns:c16="http://schemas.microsoft.com/office/drawing/2014/chart" uri="{C3380CC4-5D6E-409C-BE32-E72D297353CC}">
                <c16:uniqueId val="{0000001C-8138-4F4A-8B13-561866E46A0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E-8138-4F4A-8B13-561866E46A0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20-8138-4F4A-8B13-561866E46A0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22-8138-4F4A-8B13-561866E46A0D}"/>
              </c:ext>
            </c:extLst>
          </c:dPt>
          <c:val>
            <c:numRef>
              <c:f>'Process 4'!$AS$20:$AS$23</c:f>
              <c:numCache>
                <c:formatCode>0%</c:formatCode>
                <c:ptCount val="4"/>
                <c:pt idx="0">
                  <c:v>0.25</c:v>
                </c:pt>
                <c:pt idx="1">
                  <c:v>0.5</c:v>
                </c:pt>
                <c:pt idx="2">
                  <c:v>0.25</c:v>
                </c:pt>
                <c:pt idx="3">
                  <c:v>1</c:v>
                </c:pt>
              </c:numCache>
            </c:numRef>
          </c:val>
          <c:extLst>
            <c:ext xmlns:c16="http://schemas.microsoft.com/office/drawing/2014/chart" uri="{C3380CC4-5D6E-409C-BE32-E72D297353CC}">
              <c16:uniqueId val="{00000023-8138-4F4A-8B13-561866E46A0D}"/>
            </c:ext>
          </c:extLst>
        </c:ser>
        <c:ser>
          <c:idx val="2"/>
          <c:order val="4"/>
          <c:dPt>
            <c:idx val="0"/>
            <c:bubble3D val="0"/>
            <c:spPr>
              <a:solidFill>
                <a:schemeClr val="bg1"/>
              </a:solidFill>
              <a:ln w="19050">
                <a:solidFill>
                  <a:schemeClr val="lt1"/>
                </a:solidFill>
              </a:ln>
              <a:effectLst/>
            </c:spPr>
            <c:extLst>
              <c:ext xmlns:c16="http://schemas.microsoft.com/office/drawing/2014/chart" uri="{C3380CC4-5D6E-409C-BE32-E72D297353CC}">
                <c16:uniqueId val="{00000025-8138-4F4A-8B13-561866E46A0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27-8138-4F4A-8B13-561866E46A0D}"/>
              </c:ext>
            </c:extLst>
          </c:dPt>
          <c:dPt>
            <c:idx val="2"/>
            <c:bubble3D val="0"/>
            <c:spPr>
              <a:solidFill>
                <a:schemeClr val="bg1"/>
              </a:solidFill>
              <a:ln w="19050">
                <a:solidFill>
                  <a:schemeClr val="lt1"/>
                </a:solidFill>
              </a:ln>
              <a:effectLst/>
            </c:spPr>
            <c:extLst>
              <c:ext xmlns:c16="http://schemas.microsoft.com/office/drawing/2014/chart" uri="{C3380CC4-5D6E-409C-BE32-E72D297353CC}">
                <c16:uniqueId val="{00000029-8138-4F4A-8B13-561866E46A0D}"/>
              </c:ext>
            </c:extLst>
          </c:dPt>
          <c:val>
            <c:numRef>
              <c:f>'Process 4'!$AT$19:$AT$21</c:f>
              <c:numCache>
                <c:formatCode>0%</c:formatCode>
                <c:ptCount val="3"/>
                <c:pt idx="0">
                  <c:v>#N/A</c:v>
                </c:pt>
                <c:pt idx="1">
                  <c:v>0.04</c:v>
                </c:pt>
                <c:pt idx="2">
                  <c:v>1.38</c:v>
                </c:pt>
              </c:numCache>
            </c:numRef>
          </c:val>
          <c:extLst>
            <c:ext xmlns:c16="http://schemas.microsoft.com/office/drawing/2014/chart" uri="{C3380CC4-5D6E-409C-BE32-E72D297353CC}">
              <c16:uniqueId val="{0000002A-8138-4F4A-8B13-561866E46A0D}"/>
            </c:ext>
          </c:extLst>
        </c:ser>
        <c:ser>
          <c:idx val="3"/>
          <c:order val="5"/>
          <c:dPt>
            <c:idx val="0"/>
            <c:bubble3D val="0"/>
            <c:spPr>
              <a:solidFill>
                <a:schemeClr val="accent1"/>
              </a:solidFill>
              <a:ln w="19050">
                <a:solidFill>
                  <a:schemeClr val="lt1"/>
                </a:solidFill>
              </a:ln>
              <a:effectLst/>
            </c:spPr>
            <c:extLst>
              <c:ext xmlns:c16="http://schemas.microsoft.com/office/drawing/2014/chart" uri="{C3380CC4-5D6E-409C-BE32-E72D297353CC}">
                <c16:uniqueId val="{0000002C-8138-4F4A-8B13-561866E46A0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2E-8138-4F4A-8B13-561866E46A0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30-8138-4F4A-8B13-561866E46A0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32-8138-4F4A-8B13-561866E46A0D}"/>
              </c:ext>
            </c:extLst>
          </c:dPt>
          <c:val>
            <c:numRef>
              <c:f>'Process 4'!$AS$20:$AS$23</c:f>
              <c:numCache>
                <c:formatCode>0%</c:formatCode>
                <c:ptCount val="4"/>
                <c:pt idx="0">
                  <c:v>0.25</c:v>
                </c:pt>
                <c:pt idx="1">
                  <c:v>0.5</c:v>
                </c:pt>
                <c:pt idx="2">
                  <c:v>0.25</c:v>
                </c:pt>
                <c:pt idx="3">
                  <c:v>1</c:v>
                </c:pt>
              </c:numCache>
            </c:numRef>
          </c:val>
          <c:extLst>
            <c:ext xmlns:c16="http://schemas.microsoft.com/office/drawing/2014/chart" uri="{C3380CC4-5D6E-409C-BE32-E72D297353CC}">
              <c16:uniqueId val="{00000033-8138-4F4A-8B13-561866E46A0D}"/>
            </c:ext>
          </c:extLst>
        </c:ser>
        <c:ser>
          <c:idx val="0"/>
          <c:order val="6"/>
          <c:dPt>
            <c:idx val="0"/>
            <c:bubble3D val="0"/>
            <c:spPr>
              <a:solidFill>
                <a:schemeClr val="bg1"/>
              </a:solidFill>
              <a:ln w="19050">
                <a:solidFill>
                  <a:schemeClr val="lt1"/>
                </a:solidFill>
              </a:ln>
              <a:effectLst/>
            </c:spPr>
            <c:extLst>
              <c:ext xmlns:c16="http://schemas.microsoft.com/office/drawing/2014/chart" uri="{C3380CC4-5D6E-409C-BE32-E72D297353CC}">
                <c16:uniqueId val="{00000035-8138-4F4A-8B13-561866E46A0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37-8138-4F4A-8B13-561866E46A0D}"/>
              </c:ext>
            </c:extLst>
          </c:dPt>
          <c:dPt>
            <c:idx val="2"/>
            <c:bubble3D val="0"/>
            <c:spPr>
              <a:solidFill>
                <a:schemeClr val="bg1"/>
              </a:solidFill>
              <a:ln w="19050">
                <a:solidFill>
                  <a:schemeClr val="lt1"/>
                </a:solidFill>
              </a:ln>
              <a:effectLst/>
            </c:spPr>
            <c:extLst>
              <c:ext xmlns:c16="http://schemas.microsoft.com/office/drawing/2014/chart" uri="{C3380CC4-5D6E-409C-BE32-E72D297353CC}">
                <c16:uniqueId val="{00000039-8138-4F4A-8B13-561866E46A0D}"/>
              </c:ext>
            </c:extLst>
          </c:dPt>
          <c:dLbls>
            <c:dLbl>
              <c:idx val="0"/>
              <c:layout>
                <c:manualLayout>
                  <c:x val="0.26376228245614164"/>
                  <c:y val="-0.13957760795667665"/>
                </c:manualLayout>
              </c:layout>
              <c:spPr>
                <a:noFill/>
                <a:ln>
                  <a:noFill/>
                </a:ln>
                <a:effectLst/>
              </c:spPr>
              <c:txPr>
                <a:bodyPr rot="0" spcFirstLastPara="1" vertOverflow="ellipsis" vert="horz" wrap="square" lIns="38100" tIns="19050" rIns="38100" bIns="19050" anchor="ctr" anchorCtr="1">
                  <a:noAutofit/>
                </a:bodyPr>
                <a:lstStyle/>
                <a:p>
                  <a:pPr>
                    <a:defRPr sz="1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2271392541013418"/>
                      <c:h val="9.0748948845741084E-2"/>
                    </c:manualLayout>
                  </c15:layout>
                </c:ext>
                <c:ext xmlns:c16="http://schemas.microsoft.com/office/drawing/2014/chart" uri="{C3380CC4-5D6E-409C-BE32-E72D297353CC}">
                  <c16:uniqueId val="{00000035-8138-4F4A-8B13-561866E46A0D}"/>
                </c:ext>
              </c:extLst>
            </c:dLbl>
            <c:dLbl>
              <c:idx val="1"/>
              <c:delete val="1"/>
              <c:extLst>
                <c:ext xmlns:c15="http://schemas.microsoft.com/office/drawing/2012/chart" uri="{CE6537A1-D6FC-4f65-9D91-7224C49458BB}"/>
                <c:ext xmlns:c16="http://schemas.microsoft.com/office/drawing/2014/chart" uri="{C3380CC4-5D6E-409C-BE32-E72D297353CC}">
                  <c16:uniqueId val="{00000037-8138-4F4A-8B13-561866E46A0D}"/>
                </c:ext>
              </c:extLst>
            </c:dLbl>
            <c:dLbl>
              <c:idx val="2"/>
              <c:delete val="1"/>
              <c:extLst>
                <c:ext xmlns:c15="http://schemas.microsoft.com/office/drawing/2012/chart" uri="{CE6537A1-D6FC-4f65-9D91-7224C49458BB}"/>
                <c:ext xmlns:c16="http://schemas.microsoft.com/office/drawing/2014/chart" uri="{C3380CC4-5D6E-409C-BE32-E72D297353CC}">
                  <c16:uniqueId val="{00000039-8138-4F4A-8B13-561866E46A0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'Process 4'!$AT$19:$AT$21</c:f>
              <c:numCache>
                <c:formatCode>0%</c:formatCode>
                <c:ptCount val="3"/>
                <c:pt idx="0">
                  <c:v>#N/A</c:v>
                </c:pt>
                <c:pt idx="1">
                  <c:v>0.04</c:v>
                </c:pt>
                <c:pt idx="2">
                  <c:v>1.38</c:v>
                </c:pt>
              </c:numCache>
            </c:numRef>
          </c:val>
          <c:extLst>
            <c:ext xmlns:c16="http://schemas.microsoft.com/office/drawing/2014/chart" uri="{C3380CC4-5D6E-409C-BE32-E72D297353CC}">
              <c16:uniqueId val="{0000003A-8138-4F4A-8B13-561866E46A0D}"/>
            </c:ext>
          </c:extLst>
        </c:ser>
        <c:ser>
          <c:idx val="1"/>
          <c:order val="7"/>
          <c:dPt>
            <c:idx val="0"/>
            <c:bubble3D val="0"/>
            <c:spPr>
              <a:solidFill>
                <a:schemeClr val="accent1"/>
              </a:solidFill>
              <a:ln w="19050">
                <a:solidFill>
                  <a:schemeClr val="lt1"/>
                </a:solidFill>
              </a:ln>
              <a:effectLst/>
            </c:spPr>
            <c:extLst>
              <c:ext xmlns:c16="http://schemas.microsoft.com/office/drawing/2014/chart" uri="{C3380CC4-5D6E-409C-BE32-E72D297353CC}">
                <c16:uniqueId val="{0000003C-8138-4F4A-8B13-561866E46A0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3E-8138-4F4A-8B13-561866E46A0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40-8138-4F4A-8B13-561866E46A0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42-8138-4F4A-8B13-561866E46A0D}"/>
              </c:ext>
            </c:extLst>
          </c:dPt>
          <c:val>
            <c:numRef>
              <c:f>'Process 4'!$AS$20:$AS$23</c:f>
              <c:numCache>
                <c:formatCode>0%</c:formatCode>
                <c:ptCount val="4"/>
                <c:pt idx="0">
                  <c:v>0.25</c:v>
                </c:pt>
                <c:pt idx="1">
                  <c:v>0.5</c:v>
                </c:pt>
                <c:pt idx="2">
                  <c:v>0.25</c:v>
                </c:pt>
                <c:pt idx="3">
                  <c:v>1</c:v>
                </c:pt>
              </c:numCache>
            </c:numRef>
          </c:val>
          <c:extLst>
            <c:ext xmlns:c16="http://schemas.microsoft.com/office/drawing/2014/chart" uri="{C3380CC4-5D6E-409C-BE32-E72D297353CC}">
              <c16:uniqueId val="{00000043-8138-4F4A-8B13-561866E46A0D}"/>
            </c:ext>
          </c:extLst>
        </c:ser>
        <c:dLbls>
          <c:showLegendKey val="0"/>
          <c:showVal val="0"/>
          <c:showCatName val="0"/>
          <c:showSerName val="0"/>
          <c:showPercent val="0"/>
          <c:showBubbleSize val="0"/>
          <c:showLeaderLines val="1"/>
        </c:dLbls>
        <c:firstSliceAng val="270"/>
      </c:pieChart>
      <c:spPr>
        <a:noFill/>
        <a:ln w="25400">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4"/>
          <c:order val="0"/>
          <c:spPr>
            <a:ln>
              <a:noFill/>
            </a:ln>
          </c:spPr>
          <c:dPt>
            <c:idx val="0"/>
            <c:bubble3D val="0"/>
            <c:spPr>
              <a:noFill/>
              <a:ln w="19050">
                <a:noFill/>
              </a:ln>
              <a:effectLst/>
            </c:spPr>
            <c:extLst>
              <c:ext xmlns:c16="http://schemas.microsoft.com/office/drawing/2014/chart" uri="{C3380CC4-5D6E-409C-BE32-E72D297353CC}">
                <c16:uniqueId val="{00000001-C5DC-CF48-BBD4-C6D2FC8F19CA}"/>
              </c:ext>
            </c:extLst>
          </c:dPt>
          <c:dPt>
            <c:idx val="1"/>
            <c:bubble3D val="0"/>
            <c:spPr>
              <a:solidFill>
                <a:schemeClr val="tx1"/>
              </a:solidFill>
              <a:ln w="19050">
                <a:noFill/>
              </a:ln>
              <a:effectLst/>
            </c:spPr>
            <c:extLst>
              <c:ext xmlns:c16="http://schemas.microsoft.com/office/drawing/2014/chart" uri="{C3380CC4-5D6E-409C-BE32-E72D297353CC}">
                <c16:uniqueId val="{00000003-C5DC-CF48-BBD4-C6D2FC8F19CA}"/>
              </c:ext>
            </c:extLst>
          </c:dPt>
          <c:dPt>
            <c:idx val="2"/>
            <c:bubble3D val="0"/>
            <c:spPr>
              <a:noFill/>
              <a:ln w="19050">
                <a:noFill/>
              </a:ln>
              <a:effectLst/>
            </c:spPr>
            <c:extLst>
              <c:ext xmlns:c16="http://schemas.microsoft.com/office/drawing/2014/chart" uri="{C3380CC4-5D6E-409C-BE32-E72D297353CC}">
                <c16:uniqueId val="{00000005-C5DC-CF48-BBD4-C6D2FC8F19CA}"/>
              </c:ext>
            </c:extLst>
          </c:dPt>
          <c:dLbls>
            <c:dLbl>
              <c:idx val="0"/>
              <c:layout>
                <c:manualLayout>
                  <c:x val="0.2080988903673413"/>
                  <c:y val="0.15261378471962453"/>
                </c:manualLayout>
              </c:layout>
              <c:spPr>
                <a:noFill/>
                <a:ln>
                  <a:noFill/>
                </a:ln>
                <a:effectLst/>
              </c:spPr>
              <c:txPr>
                <a:bodyPr rot="0" spcFirstLastPara="1" vertOverflow="ellipsis" vert="horz" wrap="square" lIns="38100" tIns="19050" rIns="38100" bIns="19050" anchor="ctr" anchorCtr="1">
                  <a:spAutoFit/>
                </a:bodyPr>
                <a:lstStyle/>
                <a:p>
                  <a:pPr>
                    <a:defRPr sz="3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5DC-CF48-BBD4-C6D2FC8F19CA}"/>
                </c:ext>
              </c:extLst>
            </c:dLbl>
            <c:dLbl>
              <c:idx val="1"/>
              <c:delete val="1"/>
              <c:extLst>
                <c:ext xmlns:c15="http://schemas.microsoft.com/office/drawing/2012/chart" uri="{CE6537A1-D6FC-4f65-9D91-7224C49458BB}"/>
                <c:ext xmlns:c16="http://schemas.microsoft.com/office/drawing/2014/chart" uri="{C3380CC4-5D6E-409C-BE32-E72D297353CC}">
                  <c16:uniqueId val="{00000003-C5DC-CF48-BBD4-C6D2FC8F19CA}"/>
                </c:ext>
              </c:extLst>
            </c:dLbl>
            <c:dLbl>
              <c:idx val="2"/>
              <c:delete val="1"/>
              <c:extLst>
                <c:ext xmlns:c15="http://schemas.microsoft.com/office/drawing/2012/chart" uri="{CE6537A1-D6FC-4f65-9D91-7224C49458BB}"/>
                <c:ext xmlns:c16="http://schemas.microsoft.com/office/drawing/2014/chart" uri="{C3380CC4-5D6E-409C-BE32-E72D297353CC}">
                  <c16:uniqueId val="{00000005-C5DC-CF48-BBD4-C6D2FC8F19C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'Process 4'!$AT$19:$AT$21</c:f>
              <c:numCache>
                <c:formatCode>0%</c:formatCode>
                <c:ptCount val="3"/>
                <c:pt idx="0">
                  <c:v>#N/A</c:v>
                </c:pt>
                <c:pt idx="1">
                  <c:v>0.04</c:v>
                </c:pt>
                <c:pt idx="2">
                  <c:v>1.38</c:v>
                </c:pt>
              </c:numCache>
            </c:numRef>
          </c:val>
          <c:extLst>
            <c:ext xmlns:c16="http://schemas.microsoft.com/office/drawing/2014/chart" uri="{C3380CC4-5D6E-409C-BE32-E72D297353CC}">
              <c16:uniqueId val="{00000006-C5DC-CF48-BBD4-C6D2FC8F19CA}"/>
            </c:ext>
          </c:extLst>
        </c:ser>
        <c:ser>
          <c:idx val="5"/>
          <c:order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8-C5DC-CF48-BBD4-C6D2FC8F19C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A-C5DC-CF48-BBD4-C6D2FC8F19C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C-C5DC-CF48-BBD4-C6D2FC8F19C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E-C5DC-CF48-BBD4-C6D2FC8F19CA}"/>
              </c:ext>
            </c:extLst>
          </c:dPt>
          <c:val>
            <c:numRef>
              <c:f>'Process 4'!$AS$20:$AS$23</c:f>
              <c:numCache>
                <c:formatCode>0%</c:formatCode>
                <c:ptCount val="4"/>
                <c:pt idx="0">
                  <c:v>0.25</c:v>
                </c:pt>
                <c:pt idx="1">
                  <c:v>0.5</c:v>
                </c:pt>
                <c:pt idx="2">
                  <c:v>0.25</c:v>
                </c:pt>
                <c:pt idx="3">
                  <c:v>1</c:v>
                </c:pt>
              </c:numCache>
            </c:numRef>
          </c:val>
          <c:extLst>
            <c:ext xmlns:c16="http://schemas.microsoft.com/office/drawing/2014/chart" uri="{C3380CC4-5D6E-409C-BE32-E72D297353CC}">
              <c16:uniqueId val="{0000000F-C5DC-CF48-BBD4-C6D2FC8F19CA}"/>
            </c:ext>
          </c:extLst>
        </c:ser>
        <c:ser>
          <c:idx val="6"/>
          <c:order val="2"/>
          <c:dPt>
            <c:idx val="0"/>
            <c:bubble3D val="0"/>
            <c:spPr>
              <a:solidFill>
                <a:schemeClr val="bg1"/>
              </a:solidFill>
              <a:ln w="19050">
                <a:solidFill>
                  <a:schemeClr val="lt1"/>
                </a:solidFill>
              </a:ln>
              <a:effectLst/>
            </c:spPr>
            <c:extLst>
              <c:ext xmlns:c16="http://schemas.microsoft.com/office/drawing/2014/chart" uri="{C3380CC4-5D6E-409C-BE32-E72D297353CC}">
                <c16:uniqueId val="{00000011-C5DC-CF48-BBD4-C6D2FC8F19C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3-C5DC-CF48-BBD4-C6D2FC8F19CA}"/>
              </c:ext>
            </c:extLst>
          </c:dPt>
          <c:dPt>
            <c:idx val="2"/>
            <c:bubble3D val="0"/>
            <c:spPr>
              <a:solidFill>
                <a:schemeClr val="bg1"/>
              </a:solidFill>
              <a:ln w="19050">
                <a:solidFill>
                  <a:schemeClr val="lt1"/>
                </a:solidFill>
              </a:ln>
              <a:effectLst/>
            </c:spPr>
            <c:extLst>
              <c:ext xmlns:c16="http://schemas.microsoft.com/office/drawing/2014/chart" uri="{C3380CC4-5D6E-409C-BE32-E72D297353CC}">
                <c16:uniqueId val="{00000015-C5DC-CF48-BBD4-C6D2FC8F19CA}"/>
              </c:ext>
            </c:extLst>
          </c:dPt>
          <c:val>
            <c:numRef>
              <c:f>'Process 4'!$AT$19:$AT$21</c:f>
              <c:numCache>
                <c:formatCode>0%</c:formatCode>
                <c:ptCount val="3"/>
                <c:pt idx="0">
                  <c:v>#N/A</c:v>
                </c:pt>
                <c:pt idx="1">
                  <c:v>0.04</c:v>
                </c:pt>
                <c:pt idx="2">
                  <c:v>1.38</c:v>
                </c:pt>
              </c:numCache>
            </c:numRef>
          </c:val>
          <c:extLst>
            <c:ext xmlns:c16="http://schemas.microsoft.com/office/drawing/2014/chart" uri="{C3380CC4-5D6E-409C-BE32-E72D297353CC}">
              <c16:uniqueId val="{00000016-C5DC-CF48-BBD4-C6D2FC8F19CA}"/>
            </c:ext>
          </c:extLst>
        </c:ser>
        <c:ser>
          <c:idx val="7"/>
          <c:order val="3"/>
          <c:dPt>
            <c:idx val="0"/>
            <c:bubble3D val="0"/>
            <c:spPr>
              <a:solidFill>
                <a:schemeClr val="accent1"/>
              </a:solidFill>
              <a:ln w="19050">
                <a:solidFill>
                  <a:schemeClr val="lt1"/>
                </a:solidFill>
              </a:ln>
              <a:effectLst/>
            </c:spPr>
            <c:extLst>
              <c:ext xmlns:c16="http://schemas.microsoft.com/office/drawing/2014/chart" uri="{C3380CC4-5D6E-409C-BE32-E72D297353CC}">
                <c16:uniqueId val="{00000018-C5DC-CF48-BBD4-C6D2FC8F19C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A-C5DC-CF48-BBD4-C6D2FC8F19C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C-C5DC-CF48-BBD4-C6D2FC8F19C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E-C5DC-CF48-BBD4-C6D2FC8F19CA}"/>
              </c:ext>
            </c:extLst>
          </c:dPt>
          <c:val>
            <c:numRef>
              <c:f>'Process 4'!$AS$20:$AS$23</c:f>
              <c:numCache>
                <c:formatCode>0%</c:formatCode>
                <c:ptCount val="4"/>
                <c:pt idx="0">
                  <c:v>0.25</c:v>
                </c:pt>
                <c:pt idx="1">
                  <c:v>0.5</c:v>
                </c:pt>
                <c:pt idx="2">
                  <c:v>0.25</c:v>
                </c:pt>
                <c:pt idx="3">
                  <c:v>1</c:v>
                </c:pt>
              </c:numCache>
            </c:numRef>
          </c:val>
          <c:extLst>
            <c:ext xmlns:c16="http://schemas.microsoft.com/office/drawing/2014/chart" uri="{C3380CC4-5D6E-409C-BE32-E72D297353CC}">
              <c16:uniqueId val="{0000001F-C5DC-CF48-BBD4-C6D2FC8F19CA}"/>
            </c:ext>
          </c:extLst>
        </c:ser>
        <c:ser>
          <c:idx val="2"/>
          <c:order val="4"/>
          <c:dPt>
            <c:idx val="0"/>
            <c:bubble3D val="0"/>
            <c:spPr>
              <a:solidFill>
                <a:schemeClr val="bg1"/>
              </a:solidFill>
              <a:ln w="19050">
                <a:solidFill>
                  <a:schemeClr val="lt1"/>
                </a:solidFill>
              </a:ln>
              <a:effectLst/>
            </c:spPr>
            <c:extLst>
              <c:ext xmlns:c16="http://schemas.microsoft.com/office/drawing/2014/chart" uri="{C3380CC4-5D6E-409C-BE32-E72D297353CC}">
                <c16:uniqueId val="{00000021-C5DC-CF48-BBD4-C6D2FC8F19C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23-C5DC-CF48-BBD4-C6D2FC8F19CA}"/>
              </c:ext>
            </c:extLst>
          </c:dPt>
          <c:dPt>
            <c:idx val="2"/>
            <c:bubble3D val="0"/>
            <c:spPr>
              <a:solidFill>
                <a:schemeClr val="bg1"/>
              </a:solidFill>
              <a:ln w="19050">
                <a:solidFill>
                  <a:schemeClr val="lt1"/>
                </a:solidFill>
              </a:ln>
              <a:effectLst/>
            </c:spPr>
            <c:extLst>
              <c:ext xmlns:c16="http://schemas.microsoft.com/office/drawing/2014/chart" uri="{C3380CC4-5D6E-409C-BE32-E72D297353CC}">
                <c16:uniqueId val="{00000025-C5DC-CF48-BBD4-C6D2FC8F19CA}"/>
              </c:ext>
            </c:extLst>
          </c:dPt>
          <c:val>
            <c:numRef>
              <c:f>'Process 4'!$AT$19:$AT$21</c:f>
              <c:numCache>
                <c:formatCode>0%</c:formatCode>
                <c:ptCount val="3"/>
                <c:pt idx="0">
                  <c:v>#N/A</c:v>
                </c:pt>
                <c:pt idx="1">
                  <c:v>0.04</c:v>
                </c:pt>
                <c:pt idx="2">
                  <c:v>1.38</c:v>
                </c:pt>
              </c:numCache>
            </c:numRef>
          </c:val>
          <c:extLst>
            <c:ext xmlns:c16="http://schemas.microsoft.com/office/drawing/2014/chart" uri="{C3380CC4-5D6E-409C-BE32-E72D297353CC}">
              <c16:uniqueId val="{00000026-C5DC-CF48-BBD4-C6D2FC8F19CA}"/>
            </c:ext>
          </c:extLst>
        </c:ser>
        <c:ser>
          <c:idx val="3"/>
          <c:order val="5"/>
          <c:dPt>
            <c:idx val="0"/>
            <c:bubble3D val="0"/>
            <c:spPr>
              <a:solidFill>
                <a:schemeClr val="accent1"/>
              </a:solidFill>
              <a:ln w="19050">
                <a:solidFill>
                  <a:schemeClr val="lt1"/>
                </a:solidFill>
              </a:ln>
              <a:effectLst/>
            </c:spPr>
            <c:extLst>
              <c:ext xmlns:c16="http://schemas.microsoft.com/office/drawing/2014/chart" uri="{C3380CC4-5D6E-409C-BE32-E72D297353CC}">
                <c16:uniqueId val="{00000028-C5DC-CF48-BBD4-C6D2FC8F19C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2A-C5DC-CF48-BBD4-C6D2FC8F19C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2C-C5DC-CF48-BBD4-C6D2FC8F19C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2E-C5DC-CF48-BBD4-C6D2FC8F19CA}"/>
              </c:ext>
            </c:extLst>
          </c:dPt>
          <c:val>
            <c:numRef>
              <c:f>'Process 4'!$AS$20:$AS$23</c:f>
              <c:numCache>
                <c:formatCode>0%</c:formatCode>
                <c:ptCount val="4"/>
                <c:pt idx="0">
                  <c:v>0.25</c:v>
                </c:pt>
                <c:pt idx="1">
                  <c:v>0.5</c:v>
                </c:pt>
                <c:pt idx="2">
                  <c:v>0.25</c:v>
                </c:pt>
                <c:pt idx="3">
                  <c:v>1</c:v>
                </c:pt>
              </c:numCache>
            </c:numRef>
          </c:val>
          <c:extLst>
            <c:ext xmlns:c16="http://schemas.microsoft.com/office/drawing/2014/chart" uri="{C3380CC4-5D6E-409C-BE32-E72D297353CC}">
              <c16:uniqueId val="{0000002F-C5DC-CF48-BBD4-C6D2FC8F19CA}"/>
            </c:ext>
          </c:extLst>
        </c:ser>
        <c:ser>
          <c:idx val="0"/>
          <c:order val="6"/>
          <c:dPt>
            <c:idx val="0"/>
            <c:bubble3D val="0"/>
            <c:spPr>
              <a:solidFill>
                <a:schemeClr val="bg1"/>
              </a:solidFill>
              <a:ln w="19050">
                <a:solidFill>
                  <a:schemeClr val="lt1"/>
                </a:solidFill>
              </a:ln>
              <a:effectLst/>
            </c:spPr>
            <c:extLst>
              <c:ext xmlns:c16="http://schemas.microsoft.com/office/drawing/2014/chart" uri="{C3380CC4-5D6E-409C-BE32-E72D297353CC}">
                <c16:uniqueId val="{00000031-C5DC-CF48-BBD4-C6D2FC8F19C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33-C5DC-CF48-BBD4-C6D2FC8F19CA}"/>
              </c:ext>
            </c:extLst>
          </c:dPt>
          <c:dPt>
            <c:idx val="2"/>
            <c:bubble3D val="0"/>
            <c:spPr>
              <a:solidFill>
                <a:schemeClr val="bg1"/>
              </a:solidFill>
              <a:ln w="19050">
                <a:solidFill>
                  <a:schemeClr val="lt1"/>
                </a:solidFill>
              </a:ln>
              <a:effectLst/>
            </c:spPr>
            <c:extLst>
              <c:ext xmlns:c16="http://schemas.microsoft.com/office/drawing/2014/chart" uri="{C3380CC4-5D6E-409C-BE32-E72D297353CC}">
                <c16:uniqueId val="{00000035-C5DC-CF48-BBD4-C6D2FC8F19CA}"/>
              </c:ext>
            </c:extLst>
          </c:dPt>
          <c:dLbls>
            <c:dLbl>
              <c:idx val="0"/>
              <c:layout>
                <c:manualLayout>
                  <c:x val="0.26376228245614164"/>
                  <c:y val="-0.13957760795667665"/>
                </c:manualLayout>
              </c:layout>
              <c:spPr>
                <a:noFill/>
                <a:ln>
                  <a:noFill/>
                </a:ln>
                <a:effectLst/>
              </c:spPr>
              <c:txPr>
                <a:bodyPr rot="0" spcFirstLastPara="1" vertOverflow="ellipsis" vert="horz" wrap="square" lIns="38100" tIns="19050" rIns="38100" bIns="19050" anchor="ctr" anchorCtr="1">
                  <a:noAutofit/>
                </a:bodyPr>
                <a:lstStyle/>
                <a:p>
                  <a:pPr>
                    <a:defRPr sz="1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2271392541013418"/>
                      <c:h val="9.0748948845741084E-2"/>
                    </c:manualLayout>
                  </c15:layout>
                </c:ext>
                <c:ext xmlns:c16="http://schemas.microsoft.com/office/drawing/2014/chart" uri="{C3380CC4-5D6E-409C-BE32-E72D297353CC}">
                  <c16:uniqueId val="{00000031-C5DC-CF48-BBD4-C6D2FC8F19CA}"/>
                </c:ext>
              </c:extLst>
            </c:dLbl>
            <c:dLbl>
              <c:idx val="1"/>
              <c:delete val="1"/>
              <c:extLst>
                <c:ext xmlns:c15="http://schemas.microsoft.com/office/drawing/2012/chart" uri="{CE6537A1-D6FC-4f65-9D91-7224C49458BB}"/>
                <c:ext xmlns:c16="http://schemas.microsoft.com/office/drawing/2014/chart" uri="{C3380CC4-5D6E-409C-BE32-E72D297353CC}">
                  <c16:uniqueId val="{00000033-C5DC-CF48-BBD4-C6D2FC8F19CA}"/>
                </c:ext>
              </c:extLst>
            </c:dLbl>
            <c:dLbl>
              <c:idx val="2"/>
              <c:delete val="1"/>
              <c:extLst>
                <c:ext xmlns:c15="http://schemas.microsoft.com/office/drawing/2012/chart" uri="{CE6537A1-D6FC-4f65-9D91-7224C49458BB}"/>
                <c:ext xmlns:c16="http://schemas.microsoft.com/office/drawing/2014/chart" uri="{C3380CC4-5D6E-409C-BE32-E72D297353CC}">
                  <c16:uniqueId val="{00000035-C5DC-CF48-BBD4-C6D2FC8F19C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'Process 4'!$AT$19:$AT$21</c:f>
              <c:numCache>
                <c:formatCode>0%</c:formatCode>
                <c:ptCount val="3"/>
                <c:pt idx="0">
                  <c:v>#N/A</c:v>
                </c:pt>
                <c:pt idx="1">
                  <c:v>0.04</c:v>
                </c:pt>
                <c:pt idx="2">
                  <c:v>1.38</c:v>
                </c:pt>
              </c:numCache>
            </c:numRef>
          </c:val>
          <c:extLst>
            <c:ext xmlns:c16="http://schemas.microsoft.com/office/drawing/2014/chart" uri="{C3380CC4-5D6E-409C-BE32-E72D297353CC}">
              <c16:uniqueId val="{00000036-C5DC-CF48-BBD4-C6D2FC8F19CA}"/>
            </c:ext>
          </c:extLst>
        </c:ser>
        <c:ser>
          <c:idx val="1"/>
          <c:order val="7"/>
          <c:dPt>
            <c:idx val="0"/>
            <c:bubble3D val="0"/>
            <c:spPr>
              <a:solidFill>
                <a:schemeClr val="accent1"/>
              </a:solidFill>
              <a:ln w="19050">
                <a:solidFill>
                  <a:schemeClr val="lt1"/>
                </a:solidFill>
              </a:ln>
              <a:effectLst/>
            </c:spPr>
            <c:extLst>
              <c:ext xmlns:c16="http://schemas.microsoft.com/office/drawing/2014/chart" uri="{C3380CC4-5D6E-409C-BE32-E72D297353CC}">
                <c16:uniqueId val="{00000038-C5DC-CF48-BBD4-C6D2FC8F19C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3A-C5DC-CF48-BBD4-C6D2FC8F19C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3C-C5DC-CF48-BBD4-C6D2FC8F19C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3E-C5DC-CF48-BBD4-C6D2FC8F19CA}"/>
              </c:ext>
            </c:extLst>
          </c:dPt>
          <c:val>
            <c:numRef>
              <c:f>'Process 4'!$AS$20:$AS$23</c:f>
              <c:numCache>
                <c:formatCode>0%</c:formatCode>
                <c:ptCount val="4"/>
                <c:pt idx="0">
                  <c:v>0.25</c:v>
                </c:pt>
                <c:pt idx="1">
                  <c:v>0.5</c:v>
                </c:pt>
                <c:pt idx="2">
                  <c:v>0.25</c:v>
                </c:pt>
                <c:pt idx="3">
                  <c:v>1</c:v>
                </c:pt>
              </c:numCache>
            </c:numRef>
          </c:val>
          <c:extLst>
            <c:ext xmlns:c16="http://schemas.microsoft.com/office/drawing/2014/chart" uri="{C3380CC4-5D6E-409C-BE32-E72D297353CC}">
              <c16:uniqueId val="{0000003F-C5DC-CF48-BBD4-C6D2FC8F19CA}"/>
            </c:ext>
          </c:extLst>
        </c:ser>
        <c:dLbls>
          <c:showLegendKey val="0"/>
          <c:showVal val="0"/>
          <c:showCatName val="0"/>
          <c:showSerName val="0"/>
          <c:showPercent val="0"/>
          <c:showBubbleSize val="0"/>
          <c:showLeaderLines val="1"/>
        </c:dLbls>
        <c:firstSliceAng val="270"/>
      </c:pieChart>
      <c:spPr>
        <a:noFill/>
        <a:ln w="25400">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4"/>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723-654B-B953-9BCFB84B778A}"/>
              </c:ext>
            </c:extLst>
          </c:dPt>
          <c:dPt>
            <c:idx val="1"/>
            <c:bubble3D val="0"/>
            <c:spPr>
              <a:solidFill>
                <a:srgbClr val="92D050"/>
              </a:solidFill>
              <a:ln w="19050">
                <a:solidFill>
                  <a:schemeClr val="lt1"/>
                </a:solidFill>
              </a:ln>
              <a:effectLst/>
            </c:spPr>
            <c:extLst>
              <c:ext xmlns:c16="http://schemas.microsoft.com/office/drawing/2014/chart" uri="{C3380CC4-5D6E-409C-BE32-E72D297353CC}">
                <c16:uniqueId val="{00000003-7723-654B-B953-9BCFB84B778A}"/>
              </c:ext>
            </c:extLst>
          </c:dPt>
          <c:dPt>
            <c:idx val="2"/>
            <c:bubble3D val="0"/>
            <c:spPr>
              <a:solidFill>
                <a:srgbClr val="FFFF00"/>
              </a:solidFill>
              <a:ln w="19050">
                <a:solidFill>
                  <a:schemeClr val="lt1"/>
                </a:solidFill>
              </a:ln>
              <a:effectLst/>
            </c:spPr>
            <c:extLst>
              <c:ext xmlns:c16="http://schemas.microsoft.com/office/drawing/2014/chart" uri="{C3380CC4-5D6E-409C-BE32-E72D297353CC}">
                <c16:uniqueId val="{00000005-7723-654B-B953-9BCFB84B778A}"/>
              </c:ext>
            </c:extLst>
          </c:dPt>
          <c:dPt>
            <c:idx val="3"/>
            <c:bubble3D val="0"/>
            <c:spPr>
              <a:solidFill>
                <a:srgbClr val="FF0000"/>
              </a:solidFill>
              <a:ln w="19050">
                <a:solidFill>
                  <a:schemeClr val="lt1"/>
                </a:solidFill>
              </a:ln>
              <a:effectLst/>
            </c:spPr>
            <c:extLst>
              <c:ext xmlns:c16="http://schemas.microsoft.com/office/drawing/2014/chart" uri="{C3380CC4-5D6E-409C-BE32-E72D297353CC}">
                <c16:uniqueId val="{00000007-7723-654B-B953-9BCFB84B778A}"/>
              </c:ext>
            </c:extLst>
          </c:dPt>
          <c:dPt>
            <c:idx val="4"/>
            <c:bubble3D val="0"/>
            <c:spPr>
              <a:noFill/>
              <a:ln w="19050">
                <a:solidFill>
                  <a:schemeClr val="lt1"/>
                </a:solidFill>
              </a:ln>
              <a:effectLst/>
            </c:spPr>
            <c:extLst>
              <c:ext xmlns:c16="http://schemas.microsoft.com/office/drawing/2014/chart" uri="{C3380CC4-5D6E-409C-BE32-E72D297353CC}">
                <c16:uniqueId val="{00000009-7723-654B-B953-9BCFB84B778A}"/>
              </c:ext>
            </c:extLst>
          </c:dPt>
          <c:val>
            <c:numRef>
              <c:f>'Process 5'!$AS$19:$AS$23</c:f>
              <c:numCache>
                <c:formatCode>0%</c:formatCode>
                <c:ptCount val="5"/>
                <c:pt idx="0" formatCode="General">
                  <c:v>0</c:v>
                </c:pt>
                <c:pt idx="1">
                  <c:v>0.25</c:v>
                </c:pt>
                <c:pt idx="2">
                  <c:v>0.5</c:v>
                </c:pt>
                <c:pt idx="3">
                  <c:v>0.25</c:v>
                </c:pt>
                <c:pt idx="4">
                  <c:v>1</c:v>
                </c:pt>
              </c:numCache>
            </c:numRef>
          </c:val>
          <c:extLst>
            <c:ext xmlns:c16="http://schemas.microsoft.com/office/drawing/2014/chart" uri="{C3380CC4-5D6E-409C-BE32-E72D297353CC}">
              <c16:uniqueId val="{0000000A-7723-654B-B953-9BCFB84B778A}"/>
            </c:ext>
          </c:extLst>
        </c:ser>
        <c:ser>
          <c:idx val="5"/>
          <c:order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C-7723-654B-B953-9BCFB84B778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E-7723-654B-B953-9BCFB84B778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0-7723-654B-B953-9BCFB84B778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2-7723-654B-B953-9BCFB84B778A}"/>
              </c:ext>
            </c:extLst>
          </c:dPt>
          <c:val>
            <c:numRef>
              <c:f>'Process 5'!$AS$20:$AS$23</c:f>
              <c:numCache>
                <c:formatCode>0%</c:formatCode>
                <c:ptCount val="4"/>
                <c:pt idx="0">
                  <c:v>0.25</c:v>
                </c:pt>
                <c:pt idx="1">
                  <c:v>0.5</c:v>
                </c:pt>
                <c:pt idx="2">
                  <c:v>0.25</c:v>
                </c:pt>
                <c:pt idx="3">
                  <c:v>1</c:v>
                </c:pt>
              </c:numCache>
            </c:numRef>
          </c:val>
          <c:extLst>
            <c:ext xmlns:c16="http://schemas.microsoft.com/office/drawing/2014/chart" uri="{C3380CC4-5D6E-409C-BE32-E72D297353CC}">
              <c16:uniqueId val="{00000013-7723-654B-B953-9BCFB84B778A}"/>
            </c:ext>
          </c:extLst>
        </c:ser>
        <c:ser>
          <c:idx val="6"/>
          <c:order val="2"/>
          <c:dPt>
            <c:idx val="0"/>
            <c:bubble3D val="0"/>
            <c:spPr>
              <a:solidFill>
                <a:schemeClr val="bg1"/>
              </a:solidFill>
              <a:ln w="19050">
                <a:solidFill>
                  <a:schemeClr val="lt1"/>
                </a:solidFill>
              </a:ln>
              <a:effectLst/>
            </c:spPr>
            <c:extLst>
              <c:ext xmlns:c16="http://schemas.microsoft.com/office/drawing/2014/chart" uri="{C3380CC4-5D6E-409C-BE32-E72D297353CC}">
                <c16:uniqueId val="{00000015-7723-654B-B953-9BCFB84B778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7-7723-654B-B953-9BCFB84B778A}"/>
              </c:ext>
            </c:extLst>
          </c:dPt>
          <c:dPt>
            <c:idx val="2"/>
            <c:bubble3D val="0"/>
            <c:spPr>
              <a:solidFill>
                <a:schemeClr val="bg1"/>
              </a:solidFill>
              <a:ln w="19050">
                <a:solidFill>
                  <a:schemeClr val="lt1"/>
                </a:solidFill>
              </a:ln>
              <a:effectLst/>
            </c:spPr>
            <c:extLst>
              <c:ext xmlns:c16="http://schemas.microsoft.com/office/drawing/2014/chart" uri="{C3380CC4-5D6E-409C-BE32-E72D297353CC}">
                <c16:uniqueId val="{00000019-7723-654B-B953-9BCFB84B778A}"/>
              </c:ext>
            </c:extLst>
          </c:dPt>
          <c:val>
            <c:numRef>
              <c:f>'Process 5'!$AT$19:$AT$21</c:f>
              <c:numCache>
                <c:formatCode>0%</c:formatCode>
                <c:ptCount val="3"/>
                <c:pt idx="0">
                  <c:v>#N/A</c:v>
                </c:pt>
                <c:pt idx="1">
                  <c:v>0.04</c:v>
                </c:pt>
                <c:pt idx="2">
                  <c:v>1.38</c:v>
                </c:pt>
              </c:numCache>
            </c:numRef>
          </c:val>
          <c:extLst>
            <c:ext xmlns:c16="http://schemas.microsoft.com/office/drawing/2014/chart" uri="{C3380CC4-5D6E-409C-BE32-E72D297353CC}">
              <c16:uniqueId val="{0000001A-7723-654B-B953-9BCFB84B778A}"/>
            </c:ext>
          </c:extLst>
        </c:ser>
        <c:ser>
          <c:idx val="7"/>
          <c:order val="3"/>
          <c:dPt>
            <c:idx val="0"/>
            <c:bubble3D val="0"/>
            <c:spPr>
              <a:solidFill>
                <a:schemeClr val="accent1"/>
              </a:solidFill>
              <a:ln w="19050">
                <a:solidFill>
                  <a:schemeClr val="lt1"/>
                </a:solidFill>
              </a:ln>
              <a:effectLst/>
            </c:spPr>
            <c:extLst>
              <c:ext xmlns:c16="http://schemas.microsoft.com/office/drawing/2014/chart" uri="{C3380CC4-5D6E-409C-BE32-E72D297353CC}">
                <c16:uniqueId val="{0000001C-7723-654B-B953-9BCFB84B778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E-7723-654B-B953-9BCFB84B778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20-7723-654B-B953-9BCFB84B778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22-7723-654B-B953-9BCFB84B778A}"/>
              </c:ext>
            </c:extLst>
          </c:dPt>
          <c:val>
            <c:numRef>
              <c:f>'Process 5'!$AS$20:$AS$23</c:f>
              <c:numCache>
                <c:formatCode>0%</c:formatCode>
                <c:ptCount val="4"/>
                <c:pt idx="0">
                  <c:v>0.25</c:v>
                </c:pt>
                <c:pt idx="1">
                  <c:v>0.5</c:v>
                </c:pt>
                <c:pt idx="2">
                  <c:v>0.25</c:v>
                </c:pt>
                <c:pt idx="3">
                  <c:v>1</c:v>
                </c:pt>
              </c:numCache>
            </c:numRef>
          </c:val>
          <c:extLst>
            <c:ext xmlns:c16="http://schemas.microsoft.com/office/drawing/2014/chart" uri="{C3380CC4-5D6E-409C-BE32-E72D297353CC}">
              <c16:uniqueId val="{00000023-7723-654B-B953-9BCFB84B778A}"/>
            </c:ext>
          </c:extLst>
        </c:ser>
        <c:ser>
          <c:idx val="2"/>
          <c:order val="4"/>
          <c:dPt>
            <c:idx val="0"/>
            <c:bubble3D val="0"/>
            <c:spPr>
              <a:solidFill>
                <a:schemeClr val="bg1"/>
              </a:solidFill>
              <a:ln w="19050">
                <a:solidFill>
                  <a:schemeClr val="lt1"/>
                </a:solidFill>
              </a:ln>
              <a:effectLst/>
            </c:spPr>
            <c:extLst>
              <c:ext xmlns:c16="http://schemas.microsoft.com/office/drawing/2014/chart" uri="{C3380CC4-5D6E-409C-BE32-E72D297353CC}">
                <c16:uniqueId val="{00000025-7723-654B-B953-9BCFB84B778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27-7723-654B-B953-9BCFB84B778A}"/>
              </c:ext>
            </c:extLst>
          </c:dPt>
          <c:dPt>
            <c:idx val="2"/>
            <c:bubble3D val="0"/>
            <c:spPr>
              <a:solidFill>
                <a:schemeClr val="bg1"/>
              </a:solidFill>
              <a:ln w="19050">
                <a:solidFill>
                  <a:schemeClr val="lt1"/>
                </a:solidFill>
              </a:ln>
              <a:effectLst/>
            </c:spPr>
            <c:extLst>
              <c:ext xmlns:c16="http://schemas.microsoft.com/office/drawing/2014/chart" uri="{C3380CC4-5D6E-409C-BE32-E72D297353CC}">
                <c16:uniqueId val="{00000029-7723-654B-B953-9BCFB84B778A}"/>
              </c:ext>
            </c:extLst>
          </c:dPt>
          <c:val>
            <c:numRef>
              <c:f>'Process 5'!$AT$19:$AT$21</c:f>
              <c:numCache>
                <c:formatCode>0%</c:formatCode>
                <c:ptCount val="3"/>
                <c:pt idx="0">
                  <c:v>#N/A</c:v>
                </c:pt>
                <c:pt idx="1">
                  <c:v>0.04</c:v>
                </c:pt>
                <c:pt idx="2">
                  <c:v>1.38</c:v>
                </c:pt>
              </c:numCache>
            </c:numRef>
          </c:val>
          <c:extLst>
            <c:ext xmlns:c16="http://schemas.microsoft.com/office/drawing/2014/chart" uri="{C3380CC4-5D6E-409C-BE32-E72D297353CC}">
              <c16:uniqueId val="{0000002A-7723-654B-B953-9BCFB84B778A}"/>
            </c:ext>
          </c:extLst>
        </c:ser>
        <c:ser>
          <c:idx val="3"/>
          <c:order val="5"/>
          <c:dPt>
            <c:idx val="0"/>
            <c:bubble3D val="0"/>
            <c:spPr>
              <a:solidFill>
                <a:schemeClr val="accent1"/>
              </a:solidFill>
              <a:ln w="19050">
                <a:solidFill>
                  <a:schemeClr val="lt1"/>
                </a:solidFill>
              </a:ln>
              <a:effectLst/>
            </c:spPr>
            <c:extLst>
              <c:ext xmlns:c16="http://schemas.microsoft.com/office/drawing/2014/chart" uri="{C3380CC4-5D6E-409C-BE32-E72D297353CC}">
                <c16:uniqueId val="{0000002C-7723-654B-B953-9BCFB84B778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2E-7723-654B-B953-9BCFB84B778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30-7723-654B-B953-9BCFB84B778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32-7723-654B-B953-9BCFB84B778A}"/>
              </c:ext>
            </c:extLst>
          </c:dPt>
          <c:val>
            <c:numRef>
              <c:f>'Process 5'!$AS$20:$AS$23</c:f>
              <c:numCache>
                <c:formatCode>0%</c:formatCode>
                <c:ptCount val="4"/>
                <c:pt idx="0">
                  <c:v>0.25</c:v>
                </c:pt>
                <c:pt idx="1">
                  <c:v>0.5</c:v>
                </c:pt>
                <c:pt idx="2">
                  <c:v>0.25</c:v>
                </c:pt>
                <c:pt idx="3">
                  <c:v>1</c:v>
                </c:pt>
              </c:numCache>
            </c:numRef>
          </c:val>
          <c:extLst>
            <c:ext xmlns:c16="http://schemas.microsoft.com/office/drawing/2014/chart" uri="{C3380CC4-5D6E-409C-BE32-E72D297353CC}">
              <c16:uniqueId val="{00000033-7723-654B-B953-9BCFB84B778A}"/>
            </c:ext>
          </c:extLst>
        </c:ser>
        <c:ser>
          <c:idx val="0"/>
          <c:order val="6"/>
          <c:dPt>
            <c:idx val="0"/>
            <c:bubble3D val="0"/>
            <c:spPr>
              <a:solidFill>
                <a:schemeClr val="bg1"/>
              </a:solidFill>
              <a:ln w="19050">
                <a:solidFill>
                  <a:schemeClr val="lt1"/>
                </a:solidFill>
              </a:ln>
              <a:effectLst/>
            </c:spPr>
            <c:extLst>
              <c:ext xmlns:c16="http://schemas.microsoft.com/office/drawing/2014/chart" uri="{C3380CC4-5D6E-409C-BE32-E72D297353CC}">
                <c16:uniqueId val="{00000035-7723-654B-B953-9BCFB84B778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37-7723-654B-B953-9BCFB84B778A}"/>
              </c:ext>
            </c:extLst>
          </c:dPt>
          <c:dPt>
            <c:idx val="2"/>
            <c:bubble3D val="0"/>
            <c:spPr>
              <a:solidFill>
                <a:schemeClr val="bg1"/>
              </a:solidFill>
              <a:ln w="19050">
                <a:solidFill>
                  <a:schemeClr val="lt1"/>
                </a:solidFill>
              </a:ln>
              <a:effectLst/>
            </c:spPr>
            <c:extLst>
              <c:ext xmlns:c16="http://schemas.microsoft.com/office/drawing/2014/chart" uri="{C3380CC4-5D6E-409C-BE32-E72D297353CC}">
                <c16:uniqueId val="{00000039-7723-654B-B953-9BCFB84B778A}"/>
              </c:ext>
            </c:extLst>
          </c:dPt>
          <c:dLbls>
            <c:dLbl>
              <c:idx val="0"/>
              <c:layout>
                <c:manualLayout>
                  <c:x val="0.26376228245614164"/>
                  <c:y val="-0.13957760795667665"/>
                </c:manualLayout>
              </c:layout>
              <c:spPr>
                <a:noFill/>
                <a:ln>
                  <a:noFill/>
                </a:ln>
                <a:effectLst/>
              </c:spPr>
              <c:txPr>
                <a:bodyPr rot="0" spcFirstLastPara="1" vertOverflow="ellipsis" vert="horz" wrap="square" lIns="38100" tIns="19050" rIns="38100" bIns="19050" anchor="ctr" anchorCtr="1">
                  <a:noAutofit/>
                </a:bodyPr>
                <a:lstStyle/>
                <a:p>
                  <a:pPr>
                    <a:defRPr sz="1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2271392541013418"/>
                      <c:h val="9.0748948845741084E-2"/>
                    </c:manualLayout>
                  </c15:layout>
                </c:ext>
                <c:ext xmlns:c16="http://schemas.microsoft.com/office/drawing/2014/chart" uri="{C3380CC4-5D6E-409C-BE32-E72D297353CC}">
                  <c16:uniqueId val="{00000035-7723-654B-B953-9BCFB84B778A}"/>
                </c:ext>
              </c:extLst>
            </c:dLbl>
            <c:dLbl>
              <c:idx val="1"/>
              <c:delete val="1"/>
              <c:extLst>
                <c:ext xmlns:c15="http://schemas.microsoft.com/office/drawing/2012/chart" uri="{CE6537A1-D6FC-4f65-9D91-7224C49458BB}"/>
                <c:ext xmlns:c16="http://schemas.microsoft.com/office/drawing/2014/chart" uri="{C3380CC4-5D6E-409C-BE32-E72D297353CC}">
                  <c16:uniqueId val="{00000037-7723-654B-B953-9BCFB84B778A}"/>
                </c:ext>
              </c:extLst>
            </c:dLbl>
            <c:dLbl>
              <c:idx val="2"/>
              <c:delete val="1"/>
              <c:extLst>
                <c:ext xmlns:c15="http://schemas.microsoft.com/office/drawing/2012/chart" uri="{CE6537A1-D6FC-4f65-9D91-7224C49458BB}"/>
                <c:ext xmlns:c16="http://schemas.microsoft.com/office/drawing/2014/chart" uri="{C3380CC4-5D6E-409C-BE32-E72D297353CC}">
                  <c16:uniqueId val="{00000039-7723-654B-B953-9BCFB84B778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'Process 5'!$AT$19:$AT$21</c:f>
              <c:numCache>
                <c:formatCode>0%</c:formatCode>
                <c:ptCount val="3"/>
                <c:pt idx="0">
                  <c:v>#N/A</c:v>
                </c:pt>
                <c:pt idx="1">
                  <c:v>0.04</c:v>
                </c:pt>
                <c:pt idx="2">
                  <c:v>1.38</c:v>
                </c:pt>
              </c:numCache>
            </c:numRef>
          </c:val>
          <c:extLst>
            <c:ext xmlns:c16="http://schemas.microsoft.com/office/drawing/2014/chart" uri="{C3380CC4-5D6E-409C-BE32-E72D297353CC}">
              <c16:uniqueId val="{0000003A-7723-654B-B953-9BCFB84B778A}"/>
            </c:ext>
          </c:extLst>
        </c:ser>
        <c:ser>
          <c:idx val="1"/>
          <c:order val="7"/>
          <c:dPt>
            <c:idx val="0"/>
            <c:bubble3D val="0"/>
            <c:spPr>
              <a:solidFill>
                <a:schemeClr val="accent1"/>
              </a:solidFill>
              <a:ln w="19050">
                <a:solidFill>
                  <a:schemeClr val="lt1"/>
                </a:solidFill>
              </a:ln>
              <a:effectLst/>
            </c:spPr>
            <c:extLst>
              <c:ext xmlns:c16="http://schemas.microsoft.com/office/drawing/2014/chart" uri="{C3380CC4-5D6E-409C-BE32-E72D297353CC}">
                <c16:uniqueId val="{0000003C-7723-654B-B953-9BCFB84B778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3E-7723-654B-B953-9BCFB84B778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40-7723-654B-B953-9BCFB84B778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42-7723-654B-B953-9BCFB84B778A}"/>
              </c:ext>
            </c:extLst>
          </c:dPt>
          <c:val>
            <c:numRef>
              <c:f>'Process 5'!$AS$20:$AS$23</c:f>
              <c:numCache>
                <c:formatCode>0%</c:formatCode>
                <c:ptCount val="4"/>
                <c:pt idx="0">
                  <c:v>0.25</c:v>
                </c:pt>
                <c:pt idx="1">
                  <c:v>0.5</c:v>
                </c:pt>
                <c:pt idx="2">
                  <c:v>0.25</c:v>
                </c:pt>
                <c:pt idx="3">
                  <c:v>1</c:v>
                </c:pt>
              </c:numCache>
            </c:numRef>
          </c:val>
          <c:extLst>
            <c:ext xmlns:c16="http://schemas.microsoft.com/office/drawing/2014/chart" uri="{C3380CC4-5D6E-409C-BE32-E72D297353CC}">
              <c16:uniqueId val="{00000043-7723-654B-B953-9BCFB84B778A}"/>
            </c:ext>
          </c:extLst>
        </c:ser>
        <c:dLbls>
          <c:showLegendKey val="0"/>
          <c:showVal val="0"/>
          <c:showCatName val="0"/>
          <c:showSerName val="0"/>
          <c:showPercent val="0"/>
          <c:showBubbleSize val="0"/>
          <c:showLeaderLines val="1"/>
        </c:dLbls>
        <c:firstSliceAng val="270"/>
      </c:pieChart>
      <c:spPr>
        <a:noFill/>
        <a:ln w="25400">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4"/>
          <c:order val="0"/>
          <c:spPr>
            <a:ln>
              <a:noFill/>
            </a:ln>
          </c:spPr>
          <c:dPt>
            <c:idx val="0"/>
            <c:bubble3D val="0"/>
            <c:spPr>
              <a:noFill/>
              <a:ln w="19050">
                <a:noFill/>
              </a:ln>
              <a:effectLst/>
            </c:spPr>
            <c:extLst>
              <c:ext xmlns:c16="http://schemas.microsoft.com/office/drawing/2014/chart" uri="{C3380CC4-5D6E-409C-BE32-E72D297353CC}">
                <c16:uniqueId val="{00000001-F345-4644-A9F6-F7F8D3533BC6}"/>
              </c:ext>
            </c:extLst>
          </c:dPt>
          <c:dPt>
            <c:idx val="1"/>
            <c:bubble3D val="0"/>
            <c:spPr>
              <a:solidFill>
                <a:schemeClr val="tx1"/>
              </a:solidFill>
              <a:ln w="19050">
                <a:noFill/>
              </a:ln>
              <a:effectLst/>
            </c:spPr>
            <c:extLst>
              <c:ext xmlns:c16="http://schemas.microsoft.com/office/drawing/2014/chart" uri="{C3380CC4-5D6E-409C-BE32-E72D297353CC}">
                <c16:uniqueId val="{00000003-F345-4644-A9F6-F7F8D3533BC6}"/>
              </c:ext>
            </c:extLst>
          </c:dPt>
          <c:dPt>
            <c:idx val="2"/>
            <c:bubble3D val="0"/>
            <c:spPr>
              <a:noFill/>
              <a:ln w="19050">
                <a:noFill/>
              </a:ln>
              <a:effectLst/>
            </c:spPr>
            <c:extLst>
              <c:ext xmlns:c16="http://schemas.microsoft.com/office/drawing/2014/chart" uri="{C3380CC4-5D6E-409C-BE32-E72D297353CC}">
                <c16:uniqueId val="{00000005-F345-4644-A9F6-F7F8D3533BC6}"/>
              </c:ext>
            </c:extLst>
          </c:dPt>
          <c:dLbls>
            <c:dLbl>
              <c:idx val="0"/>
              <c:layout>
                <c:manualLayout>
                  <c:x val="0.2080988903673413"/>
                  <c:y val="0.15261378471962453"/>
                </c:manualLayout>
              </c:layout>
              <c:spPr>
                <a:noFill/>
                <a:ln>
                  <a:noFill/>
                </a:ln>
                <a:effectLst/>
              </c:spPr>
              <c:txPr>
                <a:bodyPr rot="0" spcFirstLastPara="1" vertOverflow="ellipsis" vert="horz" wrap="square" lIns="38100" tIns="19050" rIns="38100" bIns="19050" anchor="ctr" anchorCtr="1">
                  <a:spAutoFit/>
                </a:bodyPr>
                <a:lstStyle/>
                <a:p>
                  <a:pPr>
                    <a:defRPr sz="3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345-4644-A9F6-F7F8D3533BC6}"/>
                </c:ext>
              </c:extLst>
            </c:dLbl>
            <c:dLbl>
              <c:idx val="1"/>
              <c:delete val="1"/>
              <c:extLst>
                <c:ext xmlns:c15="http://schemas.microsoft.com/office/drawing/2012/chart" uri="{CE6537A1-D6FC-4f65-9D91-7224C49458BB}"/>
                <c:ext xmlns:c16="http://schemas.microsoft.com/office/drawing/2014/chart" uri="{C3380CC4-5D6E-409C-BE32-E72D297353CC}">
                  <c16:uniqueId val="{00000003-F345-4644-A9F6-F7F8D3533BC6}"/>
                </c:ext>
              </c:extLst>
            </c:dLbl>
            <c:dLbl>
              <c:idx val="2"/>
              <c:delete val="1"/>
              <c:extLst>
                <c:ext xmlns:c15="http://schemas.microsoft.com/office/drawing/2012/chart" uri="{CE6537A1-D6FC-4f65-9D91-7224C49458BB}"/>
                <c:ext xmlns:c16="http://schemas.microsoft.com/office/drawing/2014/chart" uri="{C3380CC4-5D6E-409C-BE32-E72D297353CC}">
                  <c16:uniqueId val="{00000005-F345-4644-A9F6-F7F8D3533BC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'Process 5'!$AT$19:$AT$21</c:f>
              <c:numCache>
                <c:formatCode>0%</c:formatCode>
                <c:ptCount val="3"/>
                <c:pt idx="0">
                  <c:v>#N/A</c:v>
                </c:pt>
                <c:pt idx="1">
                  <c:v>0.04</c:v>
                </c:pt>
                <c:pt idx="2">
                  <c:v>1.38</c:v>
                </c:pt>
              </c:numCache>
            </c:numRef>
          </c:val>
          <c:extLst>
            <c:ext xmlns:c16="http://schemas.microsoft.com/office/drawing/2014/chart" uri="{C3380CC4-5D6E-409C-BE32-E72D297353CC}">
              <c16:uniqueId val="{00000006-F345-4644-A9F6-F7F8D3533BC6}"/>
            </c:ext>
          </c:extLst>
        </c:ser>
        <c:ser>
          <c:idx val="5"/>
          <c:order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8-F345-4644-A9F6-F7F8D3533BC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A-F345-4644-A9F6-F7F8D3533BC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C-F345-4644-A9F6-F7F8D3533BC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E-F345-4644-A9F6-F7F8D3533BC6}"/>
              </c:ext>
            </c:extLst>
          </c:dPt>
          <c:val>
            <c:numRef>
              <c:f>'Process 5'!$AS$20:$AS$23</c:f>
              <c:numCache>
                <c:formatCode>0%</c:formatCode>
                <c:ptCount val="4"/>
                <c:pt idx="0">
                  <c:v>0.25</c:v>
                </c:pt>
                <c:pt idx="1">
                  <c:v>0.5</c:v>
                </c:pt>
                <c:pt idx="2">
                  <c:v>0.25</c:v>
                </c:pt>
                <c:pt idx="3">
                  <c:v>1</c:v>
                </c:pt>
              </c:numCache>
            </c:numRef>
          </c:val>
          <c:extLst>
            <c:ext xmlns:c16="http://schemas.microsoft.com/office/drawing/2014/chart" uri="{C3380CC4-5D6E-409C-BE32-E72D297353CC}">
              <c16:uniqueId val="{0000000F-F345-4644-A9F6-F7F8D3533BC6}"/>
            </c:ext>
          </c:extLst>
        </c:ser>
        <c:ser>
          <c:idx val="6"/>
          <c:order val="2"/>
          <c:dPt>
            <c:idx val="0"/>
            <c:bubble3D val="0"/>
            <c:spPr>
              <a:solidFill>
                <a:schemeClr val="bg1"/>
              </a:solidFill>
              <a:ln w="19050">
                <a:solidFill>
                  <a:schemeClr val="lt1"/>
                </a:solidFill>
              </a:ln>
              <a:effectLst/>
            </c:spPr>
            <c:extLst>
              <c:ext xmlns:c16="http://schemas.microsoft.com/office/drawing/2014/chart" uri="{C3380CC4-5D6E-409C-BE32-E72D297353CC}">
                <c16:uniqueId val="{00000011-F345-4644-A9F6-F7F8D3533BC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3-F345-4644-A9F6-F7F8D3533BC6}"/>
              </c:ext>
            </c:extLst>
          </c:dPt>
          <c:dPt>
            <c:idx val="2"/>
            <c:bubble3D val="0"/>
            <c:spPr>
              <a:solidFill>
                <a:schemeClr val="bg1"/>
              </a:solidFill>
              <a:ln w="19050">
                <a:solidFill>
                  <a:schemeClr val="lt1"/>
                </a:solidFill>
              </a:ln>
              <a:effectLst/>
            </c:spPr>
            <c:extLst>
              <c:ext xmlns:c16="http://schemas.microsoft.com/office/drawing/2014/chart" uri="{C3380CC4-5D6E-409C-BE32-E72D297353CC}">
                <c16:uniqueId val="{00000015-F345-4644-A9F6-F7F8D3533BC6}"/>
              </c:ext>
            </c:extLst>
          </c:dPt>
          <c:val>
            <c:numRef>
              <c:f>'Process 5'!$AT$19:$AT$21</c:f>
              <c:numCache>
                <c:formatCode>0%</c:formatCode>
                <c:ptCount val="3"/>
                <c:pt idx="0">
                  <c:v>#N/A</c:v>
                </c:pt>
                <c:pt idx="1">
                  <c:v>0.04</c:v>
                </c:pt>
                <c:pt idx="2">
                  <c:v>1.38</c:v>
                </c:pt>
              </c:numCache>
            </c:numRef>
          </c:val>
          <c:extLst>
            <c:ext xmlns:c16="http://schemas.microsoft.com/office/drawing/2014/chart" uri="{C3380CC4-5D6E-409C-BE32-E72D297353CC}">
              <c16:uniqueId val="{00000016-F345-4644-A9F6-F7F8D3533BC6}"/>
            </c:ext>
          </c:extLst>
        </c:ser>
        <c:ser>
          <c:idx val="7"/>
          <c:order val="3"/>
          <c:dPt>
            <c:idx val="0"/>
            <c:bubble3D val="0"/>
            <c:spPr>
              <a:solidFill>
                <a:schemeClr val="accent1"/>
              </a:solidFill>
              <a:ln w="19050">
                <a:solidFill>
                  <a:schemeClr val="lt1"/>
                </a:solidFill>
              </a:ln>
              <a:effectLst/>
            </c:spPr>
            <c:extLst>
              <c:ext xmlns:c16="http://schemas.microsoft.com/office/drawing/2014/chart" uri="{C3380CC4-5D6E-409C-BE32-E72D297353CC}">
                <c16:uniqueId val="{00000018-F345-4644-A9F6-F7F8D3533BC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A-F345-4644-A9F6-F7F8D3533BC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C-F345-4644-A9F6-F7F8D3533BC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E-F345-4644-A9F6-F7F8D3533BC6}"/>
              </c:ext>
            </c:extLst>
          </c:dPt>
          <c:val>
            <c:numRef>
              <c:f>'Process 5'!$AS$20:$AS$23</c:f>
              <c:numCache>
                <c:formatCode>0%</c:formatCode>
                <c:ptCount val="4"/>
                <c:pt idx="0">
                  <c:v>0.25</c:v>
                </c:pt>
                <c:pt idx="1">
                  <c:v>0.5</c:v>
                </c:pt>
                <c:pt idx="2">
                  <c:v>0.25</c:v>
                </c:pt>
                <c:pt idx="3">
                  <c:v>1</c:v>
                </c:pt>
              </c:numCache>
            </c:numRef>
          </c:val>
          <c:extLst>
            <c:ext xmlns:c16="http://schemas.microsoft.com/office/drawing/2014/chart" uri="{C3380CC4-5D6E-409C-BE32-E72D297353CC}">
              <c16:uniqueId val="{0000001F-F345-4644-A9F6-F7F8D3533BC6}"/>
            </c:ext>
          </c:extLst>
        </c:ser>
        <c:ser>
          <c:idx val="2"/>
          <c:order val="4"/>
          <c:dPt>
            <c:idx val="0"/>
            <c:bubble3D val="0"/>
            <c:spPr>
              <a:solidFill>
                <a:schemeClr val="bg1"/>
              </a:solidFill>
              <a:ln w="19050">
                <a:solidFill>
                  <a:schemeClr val="lt1"/>
                </a:solidFill>
              </a:ln>
              <a:effectLst/>
            </c:spPr>
            <c:extLst>
              <c:ext xmlns:c16="http://schemas.microsoft.com/office/drawing/2014/chart" uri="{C3380CC4-5D6E-409C-BE32-E72D297353CC}">
                <c16:uniqueId val="{00000021-F345-4644-A9F6-F7F8D3533BC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23-F345-4644-A9F6-F7F8D3533BC6}"/>
              </c:ext>
            </c:extLst>
          </c:dPt>
          <c:dPt>
            <c:idx val="2"/>
            <c:bubble3D val="0"/>
            <c:spPr>
              <a:solidFill>
                <a:schemeClr val="bg1"/>
              </a:solidFill>
              <a:ln w="19050">
                <a:solidFill>
                  <a:schemeClr val="lt1"/>
                </a:solidFill>
              </a:ln>
              <a:effectLst/>
            </c:spPr>
            <c:extLst>
              <c:ext xmlns:c16="http://schemas.microsoft.com/office/drawing/2014/chart" uri="{C3380CC4-5D6E-409C-BE32-E72D297353CC}">
                <c16:uniqueId val="{00000025-F345-4644-A9F6-F7F8D3533BC6}"/>
              </c:ext>
            </c:extLst>
          </c:dPt>
          <c:val>
            <c:numRef>
              <c:f>'Process 5'!$AT$19:$AT$21</c:f>
              <c:numCache>
                <c:formatCode>0%</c:formatCode>
                <c:ptCount val="3"/>
                <c:pt idx="0">
                  <c:v>#N/A</c:v>
                </c:pt>
                <c:pt idx="1">
                  <c:v>0.04</c:v>
                </c:pt>
                <c:pt idx="2">
                  <c:v>1.38</c:v>
                </c:pt>
              </c:numCache>
            </c:numRef>
          </c:val>
          <c:extLst>
            <c:ext xmlns:c16="http://schemas.microsoft.com/office/drawing/2014/chart" uri="{C3380CC4-5D6E-409C-BE32-E72D297353CC}">
              <c16:uniqueId val="{00000026-F345-4644-A9F6-F7F8D3533BC6}"/>
            </c:ext>
          </c:extLst>
        </c:ser>
        <c:ser>
          <c:idx val="3"/>
          <c:order val="5"/>
          <c:dPt>
            <c:idx val="0"/>
            <c:bubble3D val="0"/>
            <c:spPr>
              <a:solidFill>
                <a:schemeClr val="accent1"/>
              </a:solidFill>
              <a:ln w="19050">
                <a:solidFill>
                  <a:schemeClr val="lt1"/>
                </a:solidFill>
              </a:ln>
              <a:effectLst/>
            </c:spPr>
            <c:extLst>
              <c:ext xmlns:c16="http://schemas.microsoft.com/office/drawing/2014/chart" uri="{C3380CC4-5D6E-409C-BE32-E72D297353CC}">
                <c16:uniqueId val="{00000028-F345-4644-A9F6-F7F8D3533BC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2A-F345-4644-A9F6-F7F8D3533BC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2C-F345-4644-A9F6-F7F8D3533BC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2E-F345-4644-A9F6-F7F8D3533BC6}"/>
              </c:ext>
            </c:extLst>
          </c:dPt>
          <c:val>
            <c:numRef>
              <c:f>'Process 5'!$AS$20:$AS$23</c:f>
              <c:numCache>
                <c:formatCode>0%</c:formatCode>
                <c:ptCount val="4"/>
                <c:pt idx="0">
                  <c:v>0.25</c:v>
                </c:pt>
                <c:pt idx="1">
                  <c:v>0.5</c:v>
                </c:pt>
                <c:pt idx="2">
                  <c:v>0.25</c:v>
                </c:pt>
                <c:pt idx="3">
                  <c:v>1</c:v>
                </c:pt>
              </c:numCache>
            </c:numRef>
          </c:val>
          <c:extLst>
            <c:ext xmlns:c16="http://schemas.microsoft.com/office/drawing/2014/chart" uri="{C3380CC4-5D6E-409C-BE32-E72D297353CC}">
              <c16:uniqueId val="{0000002F-F345-4644-A9F6-F7F8D3533BC6}"/>
            </c:ext>
          </c:extLst>
        </c:ser>
        <c:ser>
          <c:idx val="0"/>
          <c:order val="6"/>
          <c:dPt>
            <c:idx val="0"/>
            <c:bubble3D val="0"/>
            <c:spPr>
              <a:solidFill>
                <a:schemeClr val="bg1"/>
              </a:solidFill>
              <a:ln w="19050">
                <a:solidFill>
                  <a:schemeClr val="lt1"/>
                </a:solidFill>
              </a:ln>
              <a:effectLst/>
            </c:spPr>
            <c:extLst>
              <c:ext xmlns:c16="http://schemas.microsoft.com/office/drawing/2014/chart" uri="{C3380CC4-5D6E-409C-BE32-E72D297353CC}">
                <c16:uniqueId val="{00000031-F345-4644-A9F6-F7F8D3533BC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33-F345-4644-A9F6-F7F8D3533BC6}"/>
              </c:ext>
            </c:extLst>
          </c:dPt>
          <c:dPt>
            <c:idx val="2"/>
            <c:bubble3D val="0"/>
            <c:spPr>
              <a:solidFill>
                <a:schemeClr val="bg1"/>
              </a:solidFill>
              <a:ln w="19050">
                <a:solidFill>
                  <a:schemeClr val="lt1"/>
                </a:solidFill>
              </a:ln>
              <a:effectLst/>
            </c:spPr>
            <c:extLst>
              <c:ext xmlns:c16="http://schemas.microsoft.com/office/drawing/2014/chart" uri="{C3380CC4-5D6E-409C-BE32-E72D297353CC}">
                <c16:uniqueId val="{00000035-F345-4644-A9F6-F7F8D3533BC6}"/>
              </c:ext>
            </c:extLst>
          </c:dPt>
          <c:dLbls>
            <c:dLbl>
              <c:idx val="0"/>
              <c:layout>
                <c:manualLayout>
                  <c:x val="0.26376228245614164"/>
                  <c:y val="-0.13957760795667665"/>
                </c:manualLayout>
              </c:layout>
              <c:spPr>
                <a:noFill/>
                <a:ln>
                  <a:noFill/>
                </a:ln>
                <a:effectLst/>
              </c:spPr>
              <c:txPr>
                <a:bodyPr rot="0" spcFirstLastPara="1" vertOverflow="ellipsis" vert="horz" wrap="square" lIns="38100" tIns="19050" rIns="38100" bIns="19050" anchor="ctr" anchorCtr="1">
                  <a:noAutofit/>
                </a:bodyPr>
                <a:lstStyle/>
                <a:p>
                  <a:pPr>
                    <a:defRPr sz="1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2271392541013418"/>
                      <c:h val="9.0748948845741084E-2"/>
                    </c:manualLayout>
                  </c15:layout>
                </c:ext>
                <c:ext xmlns:c16="http://schemas.microsoft.com/office/drawing/2014/chart" uri="{C3380CC4-5D6E-409C-BE32-E72D297353CC}">
                  <c16:uniqueId val="{00000031-F345-4644-A9F6-F7F8D3533BC6}"/>
                </c:ext>
              </c:extLst>
            </c:dLbl>
            <c:dLbl>
              <c:idx val="1"/>
              <c:delete val="1"/>
              <c:extLst>
                <c:ext xmlns:c15="http://schemas.microsoft.com/office/drawing/2012/chart" uri="{CE6537A1-D6FC-4f65-9D91-7224C49458BB}"/>
                <c:ext xmlns:c16="http://schemas.microsoft.com/office/drawing/2014/chart" uri="{C3380CC4-5D6E-409C-BE32-E72D297353CC}">
                  <c16:uniqueId val="{00000033-F345-4644-A9F6-F7F8D3533BC6}"/>
                </c:ext>
              </c:extLst>
            </c:dLbl>
            <c:dLbl>
              <c:idx val="2"/>
              <c:delete val="1"/>
              <c:extLst>
                <c:ext xmlns:c15="http://schemas.microsoft.com/office/drawing/2012/chart" uri="{CE6537A1-D6FC-4f65-9D91-7224C49458BB}"/>
                <c:ext xmlns:c16="http://schemas.microsoft.com/office/drawing/2014/chart" uri="{C3380CC4-5D6E-409C-BE32-E72D297353CC}">
                  <c16:uniqueId val="{00000035-F345-4644-A9F6-F7F8D3533BC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'Process 5'!$AT$19:$AT$21</c:f>
              <c:numCache>
                <c:formatCode>0%</c:formatCode>
                <c:ptCount val="3"/>
                <c:pt idx="0">
                  <c:v>#N/A</c:v>
                </c:pt>
                <c:pt idx="1">
                  <c:v>0.04</c:v>
                </c:pt>
                <c:pt idx="2">
                  <c:v>1.38</c:v>
                </c:pt>
              </c:numCache>
            </c:numRef>
          </c:val>
          <c:extLst>
            <c:ext xmlns:c16="http://schemas.microsoft.com/office/drawing/2014/chart" uri="{C3380CC4-5D6E-409C-BE32-E72D297353CC}">
              <c16:uniqueId val="{00000036-F345-4644-A9F6-F7F8D3533BC6}"/>
            </c:ext>
          </c:extLst>
        </c:ser>
        <c:ser>
          <c:idx val="1"/>
          <c:order val="7"/>
          <c:dPt>
            <c:idx val="0"/>
            <c:bubble3D val="0"/>
            <c:spPr>
              <a:solidFill>
                <a:schemeClr val="accent1"/>
              </a:solidFill>
              <a:ln w="19050">
                <a:solidFill>
                  <a:schemeClr val="lt1"/>
                </a:solidFill>
              </a:ln>
              <a:effectLst/>
            </c:spPr>
            <c:extLst>
              <c:ext xmlns:c16="http://schemas.microsoft.com/office/drawing/2014/chart" uri="{C3380CC4-5D6E-409C-BE32-E72D297353CC}">
                <c16:uniqueId val="{00000038-F345-4644-A9F6-F7F8D3533BC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3A-F345-4644-A9F6-F7F8D3533BC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3C-F345-4644-A9F6-F7F8D3533BC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3E-F345-4644-A9F6-F7F8D3533BC6}"/>
              </c:ext>
            </c:extLst>
          </c:dPt>
          <c:val>
            <c:numRef>
              <c:f>'Process 5'!$AS$20:$AS$23</c:f>
              <c:numCache>
                <c:formatCode>0%</c:formatCode>
                <c:ptCount val="4"/>
                <c:pt idx="0">
                  <c:v>0.25</c:v>
                </c:pt>
                <c:pt idx="1">
                  <c:v>0.5</c:v>
                </c:pt>
                <c:pt idx="2">
                  <c:v>0.25</c:v>
                </c:pt>
                <c:pt idx="3">
                  <c:v>1</c:v>
                </c:pt>
              </c:numCache>
            </c:numRef>
          </c:val>
          <c:extLst>
            <c:ext xmlns:c16="http://schemas.microsoft.com/office/drawing/2014/chart" uri="{C3380CC4-5D6E-409C-BE32-E72D297353CC}">
              <c16:uniqueId val="{0000003F-F345-4644-A9F6-F7F8D3533BC6}"/>
            </c:ext>
          </c:extLst>
        </c:ser>
        <c:dLbls>
          <c:showLegendKey val="0"/>
          <c:showVal val="0"/>
          <c:showCatName val="0"/>
          <c:showSerName val="0"/>
          <c:showPercent val="0"/>
          <c:showBubbleSize val="0"/>
          <c:showLeaderLines val="1"/>
        </c:dLbls>
        <c:firstSliceAng val="270"/>
      </c:pieChart>
      <c:spPr>
        <a:noFill/>
        <a:ln w="25400">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plotArea>
      <c:layout>
        <c:manualLayout>
          <c:layoutTarget val="inner"/>
          <c:xMode val="edge"/>
          <c:yMode val="edge"/>
          <c:x val="6.783525136281042E-2"/>
          <c:y val="5.9116792267919299E-2"/>
          <c:w val="0.90771851902081779"/>
          <c:h val="0.85617410121656268"/>
        </c:manualLayout>
      </c:layout>
      <c:lineChart>
        <c:grouping val="standard"/>
        <c:varyColors val="0"/>
        <c:ser>
          <c:idx val="0"/>
          <c:order val="0"/>
          <c:tx>
            <c:strRef>
              <c:f>'Global Temperatures'!$B$1</c:f>
              <c:strCache>
                <c:ptCount val="1"/>
                <c:pt idx="0">
                  <c:v>Column1</c:v>
                </c:pt>
              </c:strCache>
            </c:strRef>
          </c:tx>
          <c:spPr>
            <a:ln w="38100" cap="rnd" cmpd="sng" algn="ctr">
              <a:solidFill>
                <a:schemeClr val="accent2"/>
              </a:solidFill>
              <a:prstDash val="solid"/>
              <a:round/>
            </a:ln>
            <a:effectLst/>
          </c:spPr>
          <c:marker>
            <c:symbol val="circle"/>
            <c:size val="5"/>
            <c:spPr>
              <a:solidFill>
                <a:schemeClr val="accent2"/>
              </a:solidFill>
              <a:ln w="12700" cap="flat" cmpd="sng" algn="ctr">
                <a:solidFill>
                  <a:schemeClr val="accent2"/>
                </a:solidFill>
                <a:prstDash val="solid"/>
                <a:round/>
              </a:ln>
              <a:effectLst/>
            </c:spPr>
          </c:marker>
          <c:cat>
            <c:strRef>
              <c:f>'Global Temperatures'!$A$2:$A$145</c:f>
              <c:strCache>
                <c:ptCount val="144"/>
                <c:pt idx="0">
                  <c:v>1880</c:v>
                </c:pt>
                <c:pt idx="1">
                  <c:v>1881</c:v>
                </c:pt>
                <c:pt idx="2">
                  <c:v>1882</c:v>
                </c:pt>
                <c:pt idx="3">
                  <c:v>1883</c:v>
                </c:pt>
                <c:pt idx="4">
                  <c:v>1884</c:v>
                </c:pt>
                <c:pt idx="5">
                  <c:v>1885</c:v>
                </c:pt>
                <c:pt idx="6">
                  <c:v>1886</c:v>
                </c:pt>
                <c:pt idx="7">
                  <c:v>1887</c:v>
                </c:pt>
                <c:pt idx="8">
                  <c:v>1888</c:v>
                </c:pt>
                <c:pt idx="9">
                  <c:v>1889</c:v>
                </c:pt>
                <c:pt idx="10">
                  <c:v>1890</c:v>
                </c:pt>
                <c:pt idx="11">
                  <c:v>1891</c:v>
                </c:pt>
                <c:pt idx="12">
                  <c:v>1892</c:v>
                </c:pt>
                <c:pt idx="13">
                  <c:v>1893</c:v>
                </c:pt>
                <c:pt idx="14">
                  <c:v>1894</c:v>
                </c:pt>
                <c:pt idx="15">
                  <c:v>1895</c:v>
                </c:pt>
                <c:pt idx="16">
                  <c:v>1896</c:v>
                </c:pt>
                <c:pt idx="17">
                  <c:v>1897</c:v>
                </c:pt>
                <c:pt idx="18">
                  <c:v>1898</c:v>
                </c:pt>
                <c:pt idx="19">
                  <c:v>1899</c:v>
                </c:pt>
                <c:pt idx="20">
                  <c:v>1900</c:v>
                </c:pt>
                <c:pt idx="21">
                  <c:v>1901</c:v>
                </c:pt>
                <c:pt idx="22">
                  <c:v>1902</c:v>
                </c:pt>
                <c:pt idx="23">
                  <c:v>1903</c:v>
                </c:pt>
                <c:pt idx="24">
                  <c:v>1904</c:v>
                </c:pt>
                <c:pt idx="25">
                  <c:v>1905</c:v>
                </c:pt>
                <c:pt idx="26">
                  <c:v>1906</c:v>
                </c:pt>
                <c:pt idx="27">
                  <c:v>1907</c:v>
                </c:pt>
                <c:pt idx="28">
                  <c:v>1908</c:v>
                </c:pt>
                <c:pt idx="29">
                  <c:v>1909</c:v>
                </c:pt>
                <c:pt idx="30">
                  <c:v>1910</c:v>
                </c:pt>
                <c:pt idx="31">
                  <c:v>1911</c:v>
                </c:pt>
                <c:pt idx="32">
                  <c:v>1912</c:v>
                </c:pt>
                <c:pt idx="33">
                  <c:v>1913</c:v>
                </c:pt>
                <c:pt idx="34">
                  <c:v>1914</c:v>
                </c:pt>
                <c:pt idx="35">
                  <c:v>1915</c:v>
                </c:pt>
                <c:pt idx="36">
                  <c:v>1916</c:v>
                </c:pt>
                <c:pt idx="37">
                  <c:v>1917</c:v>
                </c:pt>
                <c:pt idx="38">
                  <c:v>1918</c:v>
                </c:pt>
                <c:pt idx="39">
                  <c:v>1919</c:v>
                </c:pt>
                <c:pt idx="40">
                  <c:v>1920</c:v>
                </c:pt>
                <c:pt idx="41">
                  <c:v>1921</c:v>
                </c:pt>
                <c:pt idx="42">
                  <c:v>1922</c:v>
                </c:pt>
                <c:pt idx="43">
                  <c:v>1923</c:v>
                </c:pt>
                <c:pt idx="44">
                  <c:v>1924</c:v>
                </c:pt>
                <c:pt idx="45">
                  <c:v>1925</c:v>
                </c:pt>
                <c:pt idx="46">
                  <c:v>1926</c:v>
                </c:pt>
                <c:pt idx="47">
                  <c:v>1927</c:v>
                </c:pt>
                <c:pt idx="48">
                  <c:v>1928</c:v>
                </c:pt>
                <c:pt idx="49">
                  <c:v>1929</c:v>
                </c:pt>
                <c:pt idx="50">
                  <c:v>1930</c:v>
                </c:pt>
                <c:pt idx="51">
                  <c:v>1931</c:v>
                </c:pt>
                <c:pt idx="52">
                  <c:v>1932</c:v>
                </c:pt>
                <c:pt idx="53">
                  <c:v>1933</c:v>
                </c:pt>
                <c:pt idx="54">
                  <c:v>1934</c:v>
                </c:pt>
                <c:pt idx="55">
                  <c:v>1935</c:v>
                </c:pt>
                <c:pt idx="56">
                  <c:v>1936</c:v>
                </c:pt>
                <c:pt idx="57">
                  <c:v>1937</c:v>
                </c:pt>
                <c:pt idx="58">
                  <c:v>1938</c:v>
                </c:pt>
                <c:pt idx="59">
                  <c:v>1939</c:v>
                </c:pt>
                <c:pt idx="60">
                  <c:v>1940</c:v>
                </c:pt>
                <c:pt idx="61">
                  <c:v>1941</c:v>
                </c:pt>
                <c:pt idx="62">
                  <c:v>1942</c:v>
                </c:pt>
                <c:pt idx="63">
                  <c:v>1943</c:v>
                </c:pt>
                <c:pt idx="64">
                  <c:v>1944</c:v>
                </c:pt>
                <c:pt idx="65">
                  <c:v>1945</c:v>
                </c:pt>
                <c:pt idx="66">
                  <c:v>1946</c:v>
                </c:pt>
                <c:pt idx="67">
                  <c:v>1947</c:v>
                </c:pt>
                <c:pt idx="68">
                  <c:v>1948</c:v>
                </c:pt>
                <c:pt idx="69">
                  <c:v>1949</c:v>
                </c:pt>
                <c:pt idx="70">
                  <c:v>1950</c:v>
                </c:pt>
                <c:pt idx="71">
                  <c:v>1951</c:v>
                </c:pt>
                <c:pt idx="72">
                  <c:v>1952</c:v>
                </c:pt>
                <c:pt idx="73">
                  <c:v>1953</c:v>
                </c:pt>
                <c:pt idx="74">
                  <c:v>1954</c:v>
                </c:pt>
                <c:pt idx="75">
                  <c:v>1955</c:v>
                </c:pt>
                <c:pt idx="76">
                  <c:v>1956</c:v>
                </c:pt>
                <c:pt idx="77">
                  <c:v>1957</c:v>
                </c:pt>
                <c:pt idx="78">
                  <c:v>1958</c:v>
                </c:pt>
                <c:pt idx="79">
                  <c:v>1959</c:v>
                </c:pt>
                <c:pt idx="80">
                  <c:v>1960</c:v>
                </c:pt>
                <c:pt idx="81">
                  <c:v>1961</c:v>
                </c:pt>
                <c:pt idx="82">
                  <c:v>1962</c:v>
                </c:pt>
                <c:pt idx="83">
                  <c:v>1963</c:v>
                </c:pt>
                <c:pt idx="84">
                  <c:v>1964</c:v>
                </c:pt>
                <c:pt idx="85">
                  <c:v>1965</c:v>
                </c:pt>
                <c:pt idx="86">
                  <c:v>1966</c:v>
                </c:pt>
                <c:pt idx="87">
                  <c:v>1967</c:v>
                </c:pt>
                <c:pt idx="88">
                  <c:v>1968</c:v>
                </c:pt>
                <c:pt idx="89">
                  <c:v>1969</c:v>
                </c:pt>
                <c:pt idx="90">
                  <c:v>1970</c:v>
                </c:pt>
                <c:pt idx="91">
                  <c:v>1971</c:v>
                </c:pt>
                <c:pt idx="92">
                  <c:v>1972</c:v>
                </c:pt>
                <c:pt idx="93">
                  <c:v>1973</c:v>
                </c:pt>
                <c:pt idx="94">
                  <c:v>1974</c:v>
                </c:pt>
                <c:pt idx="95">
                  <c:v>1975</c:v>
                </c:pt>
                <c:pt idx="96">
                  <c:v>1976</c:v>
                </c:pt>
                <c:pt idx="97">
                  <c:v>1977</c:v>
                </c:pt>
                <c:pt idx="98">
                  <c:v>1978</c:v>
                </c:pt>
                <c:pt idx="99">
                  <c:v>1979</c:v>
                </c:pt>
                <c:pt idx="100">
                  <c:v>1980</c:v>
                </c:pt>
                <c:pt idx="101">
                  <c:v>1981</c:v>
                </c:pt>
                <c:pt idx="102">
                  <c:v>1982</c:v>
                </c:pt>
                <c:pt idx="103">
                  <c:v>1983</c:v>
                </c:pt>
                <c:pt idx="104">
                  <c:v>1984</c:v>
                </c:pt>
                <c:pt idx="105">
                  <c:v>1985</c:v>
                </c:pt>
                <c:pt idx="106">
                  <c:v>1986</c:v>
                </c:pt>
                <c:pt idx="107">
                  <c:v>1987</c:v>
                </c:pt>
                <c:pt idx="108">
                  <c:v>1988</c:v>
                </c:pt>
                <c:pt idx="109">
                  <c:v>1989</c:v>
                </c:pt>
                <c:pt idx="110">
                  <c:v>1990</c:v>
                </c:pt>
                <c:pt idx="111">
                  <c:v>1991</c:v>
                </c:pt>
                <c:pt idx="112">
                  <c:v>1992</c:v>
                </c:pt>
                <c:pt idx="113">
                  <c:v>1993</c:v>
                </c:pt>
                <c:pt idx="114">
                  <c:v>1994</c:v>
                </c:pt>
                <c:pt idx="115">
                  <c:v>1995</c:v>
                </c:pt>
                <c:pt idx="116">
                  <c:v>1996</c:v>
                </c:pt>
                <c:pt idx="117">
                  <c:v>1997</c:v>
                </c:pt>
                <c:pt idx="118">
                  <c:v>1998</c:v>
                </c:pt>
                <c:pt idx="119">
                  <c:v>1999</c:v>
                </c:pt>
                <c:pt idx="120">
                  <c:v>2000</c:v>
                </c:pt>
                <c:pt idx="121">
                  <c:v>2001</c:v>
                </c:pt>
                <c:pt idx="122">
                  <c:v>2002</c:v>
                </c:pt>
                <c:pt idx="123">
                  <c:v>2003</c:v>
                </c:pt>
                <c:pt idx="124">
                  <c:v>2004</c:v>
                </c:pt>
                <c:pt idx="125">
                  <c:v>2005</c:v>
                </c:pt>
                <c:pt idx="126">
                  <c:v>2006</c:v>
                </c:pt>
                <c:pt idx="127">
                  <c:v>2007</c:v>
                </c:pt>
                <c:pt idx="128">
                  <c:v>2008</c:v>
                </c:pt>
                <c:pt idx="129">
                  <c:v>2009</c:v>
                </c:pt>
                <c:pt idx="130">
                  <c:v>2010</c:v>
                </c:pt>
                <c:pt idx="131">
                  <c:v>2011</c:v>
                </c:pt>
                <c:pt idx="132">
                  <c:v>2012</c:v>
                </c:pt>
                <c:pt idx="133">
                  <c:v>2013</c:v>
                </c:pt>
                <c:pt idx="134">
                  <c:v>2014</c:v>
                </c:pt>
                <c:pt idx="135">
                  <c:v>2015</c:v>
                </c:pt>
                <c:pt idx="136">
                  <c:v>2016</c:v>
                </c:pt>
                <c:pt idx="137">
                  <c:v>2017</c:v>
                </c:pt>
                <c:pt idx="138">
                  <c:v>2018</c:v>
                </c:pt>
                <c:pt idx="139">
                  <c:v>2019</c:v>
                </c:pt>
                <c:pt idx="140">
                  <c:v>2020</c:v>
                </c:pt>
                <c:pt idx="141">
                  <c:v>2021</c:v>
                </c:pt>
                <c:pt idx="142">
                  <c:v>2022</c:v>
                </c:pt>
                <c:pt idx="143">
                  <c:v>2023</c:v>
                </c:pt>
              </c:strCache>
            </c:strRef>
          </c:cat>
          <c:val>
            <c:numRef>
              <c:f>'Global Temperatures'!$B$2:$B$145</c:f>
              <c:numCache>
                <c:formatCode>General</c:formatCode>
                <c:ptCount val="144"/>
                <c:pt idx="0">
                  <c:v>-0.17</c:v>
                </c:pt>
                <c:pt idx="1">
                  <c:v>-0.13</c:v>
                </c:pt>
                <c:pt idx="2">
                  <c:v>-0.12</c:v>
                </c:pt>
                <c:pt idx="3">
                  <c:v>-0.22</c:v>
                </c:pt>
                <c:pt idx="4">
                  <c:v>-0.31</c:v>
                </c:pt>
                <c:pt idx="5">
                  <c:v>-0.33</c:v>
                </c:pt>
                <c:pt idx="6">
                  <c:v>-0.26</c:v>
                </c:pt>
                <c:pt idx="7">
                  <c:v>-0.31</c:v>
                </c:pt>
                <c:pt idx="8">
                  <c:v>-0.17</c:v>
                </c:pt>
                <c:pt idx="9">
                  <c:v>-0.08</c:v>
                </c:pt>
                <c:pt idx="10">
                  <c:v>-0.28000000000000003</c:v>
                </c:pt>
                <c:pt idx="11">
                  <c:v>-0.19</c:v>
                </c:pt>
                <c:pt idx="12">
                  <c:v>-0.26</c:v>
                </c:pt>
                <c:pt idx="13">
                  <c:v>-0.32</c:v>
                </c:pt>
                <c:pt idx="14">
                  <c:v>-0.23</c:v>
                </c:pt>
                <c:pt idx="15">
                  <c:v>-0.19</c:v>
                </c:pt>
                <c:pt idx="16">
                  <c:v>-0.06</c:v>
                </c:pt>
                <c:pt idx="17">
                  <c:v>-7.0000000000000007E-2</c:v>
                </c:pt>
                <c:pt idx="18">
                  <c:v>-0.23</c:v>
                </c:pt>
                <c:pt idx="19">
                  <c:v>-0.16</c:v>
                </c:pt>
                <c:pt idx="20">
                  <c:v>-0.09</c:v>
                </c:pt>
                <c:pt idx="21">
                  <c:v>-0.13</c:v>
                </c:pt>
                <c:pt idx="22">
                  <c:v>-0.23</c:v>
                </c:pt>
                <c:pt idx="23">
                  <c:v>-0.32</c:v>
                </c:pt>
                <c:pt idx="24">
                  <c:v>-0.43</c:v>
                </c:pt>
                <c:pt idx="25">
                  <c:v>-0.24</c:v>
                </c:pt>
                <c:pt idx="26">
                  <c:v>-0.21</c:v>
                </c:pt>
                <c:pt idx="27">
                  <c:v>-0.33</c:v>
                </c:pt>
                <c:pt idx="28">
                  <c:v>-0.4</c:v>
                </c:pt>
                <c:pt idx="29">
                  <c:v>-0.44</c:v>
                </c:pt>
                <c:pt idx="30">
                  <c:v>-0.4</c:v>
                </c:pt>
                <c:pt idx="31">
                  <c:v>-0.41</c:v>
                </c:pt>
                <c:pt idx="32">
                  <c:v>-0.33</c:v>
                </c:pt>
                <c:pt idx="33">
                  <c:v>-0.33</c:v>
                </c:pt>
                <c:pt idx="34">
                  <c:v>-0.15</c:v>
                </c:pt>
                <c:pt idx="35">
                  <c:v>-0.1</c:v>
                </c:pt>
                <c:pt idx="36">
                  <c:v>-0.32</c:v>
                </c:pt>
                <c:pt idx="37">
                  <c:v>-0.44</c:v>
                </c:pt>
                <c:pt idx="38">
                  <c:v>-0.28999999999999998</c:v>
                </c:pt>
                <c:pt idx="39">
                  <c:v>-0.24</c:v>
                </c:pt>
                <c:pt idx="40">
                  <c:v>-0.25</c:v>
                </c:pt>
                <c:pt idx="41">
                  <c:v>-0.18</c:v>
                </c:pt>
                <c:pt idx="42">
                  <c:v>-0.25</c:v>
                </c:pt>
                <c:pt idx="43">
                  <c:v>-0.24</c:v>
                </c:pt>
                <c:pt idx="44">
                  <c:v>-0.23</c:v>
                </c:pt>
                <c:pt idx="45">
                  <c:v>-0.2</c:v>
                </c:pt>
                <c:pt idx="46">
                  <c:v>-0.09</c:v>
                </c:pt>
                <c:pt idx="47">
                  <c:v>-0.18</c:v>
                </c:pt>
                <c:pt idx="48">
                  <c:v>-0.17</c:v>
                </c:pt>
                <c:pt idx="49">
                  <c:v>-0.31</c:v>
                </c:pt>
                <c:pt idx="50">
                  <c:v>-0.11</c:v>
                </c:pt>
                <c:pt idx="51">
                  <c:v>-0.06</c:v>
                </c:pt>
                <c:pt idx="52">
                  <c:v>-0.12</c:v>
                </c:pt>
                <c:pt idx="53">
                  <c:v>-0.25</c:v>
                </c:pt>
                <c:pt idx="54">
                  <c:v>-0.11</c:v>
                </c:pt>
                <c:pt idx="55">
                  <c:v>-0.16</c:v>
                </c:pt>
                <c:pt idx="56">
                  <c:v>-0.12</c:v>
                </c:pt>
                <c:pt idx="57">
                  <c:v>0.01</c:v>
                </c:pt>
                <c:pt idx="58">
                  <c:v>0.01</c:v>
                </c:pt>
                <c:pt idx="59">
                  <c:v>0.01</c:v>
                </c:pt>
                <c:pt idx="60">
                  <c:v>0.16</c:v>
                </c:pt>
                <c:pt idx="61">
                  <c:v>0.22</c:v>
                </c:pt>
                <c:pt idx="62">
                  <c:v>0.09</c:v>
                </c:pt>
                <c:pt idx="63">
                  <c:v>0.1</c:v>
                </c:pt>
                <c:pt idx="64">
                  <c:v>0.23</c:v>
                </c:pt>
                <c:pt idx="65">
                  <c:v>0.14000000000000001</c:v>
                </c:pt>
                <c:pt idx="66">
                  <c:v>-0.04</c:v>
                </c:pt>
                <c:pt idx="67">
                  <c:v>-0.01</c:v>
                </c:pt>
                <c:pt idx="68">
                  <c:v>-0.06</c:v>
                </c:pt>
                <c:pt idx="69">
                  <c:v>-0.06</c:v>
                </c:pt>
                <c:pt idx="70">
                  <c:v>-0.12</c:v>
                </c:pt>
                <c:pt idx="71">
                  <c:v>-0.01</c:v>
                </c:pt>
                <c:pt idx="72">
                  <c:v>0.05</c:v>
                </c:pt>
                <c:pt idx="73">
                  <c:v>0.13</c:v>
                </c:pt>
                <c:pt idx="74">
                  <c:v>-7.0000000000000007E-2</c:v>
                </c:pt>
                <c:pt idx="75">
                  <c:v>-0.13</c:v>
                </c:pt>
                <c:pt idx="76">
                  <c:v>-0.17</c:v>
                </c:pt>
                <c:pt idx="77">
                  <c:v>0.06</c:v>
                </c:pt>
                <c:pt idx="78">
                  <c:v>0.08</c:v>
                </c:pt>
                <c:pt idx="79">
                  <c:v>7.0000000000000007E-2</c:v>
                </c:pt>
                <c:pt idx="80">
                  <c:v>0.03</c:v>
                </c:pt>
                <c:pt idx="81">
                  <c:v>7.0000000000000007E-2</c:v>
                </c:pt>
                <c:pt idx="82">
                  <c:v>0.05</c:v>
                </c:pt>
                <c:pt idx="83">
                  <c:v>0.08</c:v>
                </c:pt>
                <c:pt idx="84">
                  <c:v>-0.15</c:v>
                </c:pt>
                <c:pt idx="85">
                  <c:v>-0.06</c:v>
                </c:pt>
                <c:pt idx="86">
                  <c:v>-0.02</c:v>
                </c:pt>
                <c:pt idx="87">
                  <c:v>0.01</c:v>
                </c:pt>
                <c:pt idx="88">
                  <c:v>-0.06</c:v>
                </c:pt>
                <c:pt idx="89">
                  <c:v>0.09</c:v>
                </c:pt>
                <c:pt idx="90">
                  <c:v>0.06</c:v>
                </c:pt>
                <c:pt idx="91">
                  <c:v>-0.05</c:v>
                </c:pt>
                <c:pt idx="92">
                  <c:v>0.03</c:v>
                </c:pt>
                <c:pt idx="93">
                  <c:v>0.2</c:v>
                </c:pt>
                <c:pt idx="94">
                  <c:v>-0.05</c:v>
                </c:pt>
                <c:pt idx="95">
                  <c:v>0.02</c:v>
                </c:pt>
                <c:pt idx="96">
                  <c:v>-0.03</c:v>
                </c:pt>
                <c:pt idx="97">
                  <c:v>0.21</c:v>
                </c:pt>
                <c:pt idx="98">
                  <c:v>0.11</c:v>
                </c:pt>
                <c:pt idx="99">
                  <c:v>0.22</c:v>
                </c:pt>
                <c:pt idx="100">
                  <c:v>0.28999999999999998</c:v>
                </c:pt>
                <c:pt idx="101">
                  <c:v>0.35</c:v>
                </c:pt>
                <c:pt idx="102">
                  <c:v>0.19</c:v>
                </c:pt>
                <c:pt idx="103">
                  <c:v>0.35</c:v>
                </c:pt>
                <c:pt idx="104">
                  <c:v>0.2</c:v>
                </c:pt>
                <c:pt idx="105">
                  <c:v>0.17</c:v>
                </c:pt>
                <c:pt idx="106">
                  <c:v>0.21</c:v>
                </c:pt>
                <c:pt idx="107">
                  <c:v>0.34</c:v>
                </c:pt>
                <c:pt idx="108">
                  <c:v>0.42</c:v>
                </c:pt>
                <c:pt idx="109">
                  <c:v>0.31</c:v>
                </c:pt>
                <c:pt idx="110">
                  <c:v>0.45</c:v>
                </c:pt>
                <c:pt idx="111">
                  <c:v>0.42</c:v>
                </c:pt>
                <c:pt idx="112">
                  <c:v>0.23</c:v>
                </c:pt>
                <c:pt idx="113">
                  <c:v>0.27</c:v>
                </c:pt>
                <c:pt idx="114">
                  <c:v>0.32</c:v>
                </c:pt>
                <c:pt idx="115">
                  <c:v>0.48</c:v>
                </c:pt>
                <c:pt idx="116">
                  <c:v>0.36</c:v>
                </c:pt>
                <c:pt idx="117">
                  <c:v>0.5</c:v>
                </c:pt>
                <c:pt idx="118">
                  <c:v>0.63</c:v>
                </c:pt>
                <c:pt idx="119">
                  <c:v>0.42</c:v>
                </c:pt>
                <c:pt idx="120">
                  <c:v>0.43</c:v>
                </c:pt>
                <c:pt idx="121">
                  <c:v>0.55000000000000004</c:v>
                </c:pt>
                <c:pt idx="122">
                  <c:v>0.62</c:v>
                </c:pt>
                <c:pt idx="123">
                  <c:v>0.63</c:v>
                </c:pt>
                <c:pt idx="124">
                  <c:v>0.55000000000000004</c:v>
                </c:pt>
                <c:pt idx="125">
                  <c:v>0.7</c:v>
                </c:pt>
                <c:pt idx="126">
                  <c:v>0.66</c:v>
                </c:pt>
                <c:pt idx="127">
                  <c:v>0.66</c:v>
                </c:pt>
                <c:pt idx="128">
                  <c:v>0.55000000000000004</c:v>
                </c:pt>
                <c:pt idx="129">
                  <c:v>0.66</c:v>
                </c:pt>
                <c:pt idx="130">
                  <c:v>0.73</c:v>
                </c:pt>
                <c:pt idx="131">
                  <c:v>0.63</c:v>
                </c:pt>
                <c:pt idx="132">
                  <c:v>0.66</c:v>
                </c:pt>
                <c:pt idx="133">
                  <c:v>0.68</c:v>
                </c:pt>
                <c:pt idx="134">
                  <c:v>0.76</c:v>
                </c:pt>
                <c:pt idx="135">
                  <c:v>0.91</c:v>
                </c:pt>
                <c:pt idx="136">
                  <c:v>1.03</c:v>
                </c:pt>
                <c:pt idx="137">
                  <c:v>0.94</c:v>
                </c:pt>
                <c:pt idx="138">
                  <c:v>0.87</c:v>
                </c:pt>
                <c:pt idx="139">
                  <c:v>0.98</c:v>
                </c:pt>
                <c:pt idx="140">
                  <c:v>1.02</c:v>
                </c:pt>
                <c:pt idx="141">
                  <c:v>0.87</c:v>
                </c:pt>
                <c:pt idx="142">
                  <c:v>0.9</c:v>
                </c:pt>
                <c:pt idx="143">
                  <c:v>1.19</c:v>
                </c:pt>
              </c:numCache>
            </c:numRef>
          </c:val>
          <c:smooth val="0"/>
          <c:extLst>
            <c:ext xmlns:c16="http://schemas.microsoft.com/office/drawing/2014/chart" uri="{C3380CC4-5D6E-409C-BE32-E72D297353CC}">
              <c16:uniqueId val="{00000000-95BB-B94B-BFEF-3F6C3D3486E9}"/>
            </c:ext>
          </c:extLst>
        </c:ser>
        <c:dLbls>
          <c:showLegendKey val="0"/>
          <c:showVal val="0"/>
          <c:showCatName val="0"/>
          <c:showSerName val="0"/>
          <c:showPercent val="0"/>
          <c:showBubbleSize val="0"/>
        </c:dLbls>
        <c:marker val="1"/>
        <c:smooth val="0"/>
        <c:axId val="67451136"/>
        <c:axId val="66437120"/>
      </c:lineChart>
      <c:catAx>
        <c:axId val="67451136"/>
        <c:scaling>
          <c:orientation val="minMax"/>
        </c:scaling>
        <c:delete val="0"/>
        <c:axPos val="b"/>
        <c:numFmt formatCode="General" sourceLinked="0"/>
        <c:majorTickMark val="none"/>
        <c:minorTickMark val="none"/>
        <c:tickLblPos val="low"/>
        <c:spPr>
          <a:noFill/>
          <a:ln w="25400" cap="flat" cmpd="sng" algn="ctr">
            <a:solidFill>
              <a:srgbClr val="000000"/>
            </a:solidFill>
            <a:prstDash val="solid"/>
            <a:round/>
          </a:ln>
          <a:effectLst/>
        </c:spPr>
        <c:txPr>
          <a:bodyPr rot="-60000000" spcFirstLastPara="1" vertOverflow="ellipsis" vert="horz" wrap="square" anchor="ctr" anchorCtr="1"/>
          <a:lstStyle/>
          <a:p>
            <a:pPr>
              <a:defRPr sz="1000" b="0" i="0" u="none" strike="noStrike" kern="1200" baseline="0" smtId="4294967295">
                <a:solidFill>
                  <a:srgbClr val="0F283E"/>
                </a:solidFill>
                <a:latin typeface="Open Sans Light"/>
                <a:ea typeface="+mn-ea"/>
                <a:cs typeface="+mn-cs"/>
              </a:defRPr>
            </a:pPr>
            <a:endParaRPr lang="en-US"/>
          </a:p>
        </c:txPr>
        <c:crossAx val="66437120"/>
        <c:crosses val="autoZero"/>
        <c:auto val="0"/>
        <c:lblAlgn val="ctr"/>
        <c:lblOffset val="100"/>
        <c:noMultiLvlLbl val="0"/>
      </c:catAx>
      <c:valAx>
        <c:axId val="66437120"/>
        <c:scaling>
          <c:orientation val="minMax"/>
        </c:scaling>
        <c:delete val="0"/>
        <c:axPos val="l"/>
        <c:majorGridlines>
          <c:spPr>
            <a:ln w="9525" cap="flat" cmpd="sng" algn="ctr">
              <a:solidFill>
                <a:srgbClr val="2F2F2F"/>
              </a:solidFill>
              <a:prstDash val="dot"/>
              <a:round/>
            </a:ln>
            <a:effectLst/>
          </c:spPr>
        </c:majorGridlines>
        <c:title>
          <c:tx>
            <c:rich>
              <a:bodyPr rot="-5400000" spcFirstLastPara="1" vertOverflow="ellipsis" vert="horz" wrap="square" anchor="ctr" anchorCtr="1"/>
              <a:lstStyle/>
              <a:p>
                <a:pPr>
                  <a:defRPr sz="1800" b="1" i="0" u="none" strike="noStrike" kern="1200" baseline="0">
                    <a:solidFill>
                      <a:schemeClr val="tx1"/>
                    </a:solidFill>
                    <a:latin typeface="+mn-lt"/>
                    <a:ea typeface="+mn-ea"/>
                    <a:cs typeface="+mn-cs"/>
                  </a:defRPr>
                </a:pPr>
                <a:r>
                  <a:rPr lang="en-US" sz="1000" b="0">
                    <a:solidFill>
                      <a:srgbClr val="0F283E"/>
                    </a:solidFill>
                    <a:latin typeface="Open Sans Light"/>
                  </a:rPr>
                  <a:t>Temperature in degrees Celsius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solidFill>
                  <a:latin typeface="+mn-lt"/>
                  <a:ea typeface="+mn-ea"/>
                  <a:cs typeface="+mn-cs"/>
                </a:defRPr>
              </a:pPr>
              <a:endParaRPr lang="en-US"/>
            </a:p>
          </c:txPr>
        </c:title>
        <c:numFmt formatCode="#,##0.0" sourceLinked="0"/>
        <c:majorTickMark val="none"/>
        <c:minorTickMark val="none"/>
        <c:tickLblPos val="low"/>
        <c:spPr>
          <a:noFill/>
          <a:ln w="12700" cap="flat" cmpd="sng" algn="ctr">
            <a:noFill/>
            <a:prstDash val="solid"/>
            <a:round/>
          </a:ln>
          <a:effectLst/>
        </c:spPr>
        <c:txPr>
          <a:bodyPr rot="-60000000" spcFirstLastPara="1" vertOverflow="ellipsis" vert="horz" wrap="square" anchor="ctr" anchorCtr="1"/>
          <a:lstStyle/>
          <a:p>
            <a:pPr>
              <a:defRPr sz="1000" b="0" i="0" u="none" strike="noStrike" kern="1200" baseline="0" smtId="4294967295">
                <a:solidFill>
                  <a:srgbClr val="0F283E"/>
                </a:solidFill>
                <a:latin typeface="Open Sans Light"/>
                <a:ea typeface="+mn-ea"/>
                <a:cs typeface="+mn-cs"/>
              </a:defRPr>
            </a:pPr>
            <a:endParaRPr lang="en-US"/>
          </a:p>
        </c:txPr>
        <c:crossAx val="67451136"/>
        <c:crosses val="autoZero"/>
        <c:crossBetween val="between"/>
      </c:valAx>
      <c:spPr>
        <a:solidFill>
          <a:schemeClr val="bg1"/>
        </a:solidFill>
        <a:ln>
          <a:noFill/>
        </a:ln>
        <a:effectLst/>
      </c:spPr>
    </c:plotArea>
    <c:plotVisOnly val="1"/>
    <c:dispBlanksAs val="gap"/>
    <c:showDLblsOverMax val="1"/>
  </c:chart>
  <c:spPr>
    <a:solidFill>
      <a:schemeClr val="bg1"/>
    </a:solidFill>
    <a:ln w="12700" cap="flat" cmpd="sng" algn="ctr">
      <a:solidFill>
        <a:schemeClr val="tx1">
          <a:tint val="75000"/>
        </a:schemeClr>
      </a:solidFill>
      <a:prstDash val="solid"/>
      <a:round/>
    </a:ln>
    <a:effectLst/>
  </c:spPr>
  <c:txPr>
    <a:bodyPr/>
    <a:lstStyle/>
    <a:p>
      <a:pPr>
        <a:defRPr sz="1800" smtId="4294967295"/>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entityId">
        <cx:lvl ptCount="50">
          <cx:pt idx="0">1040</cx:pt>
          <cx:pt idx="1">1003</cx:pt>
          <cx:pt idx="2">1951</cx:pt>
          <cx:pt idx="3">1945</cx:pt>
          <cx:pt idx="4">5599</cx:pt>
          <cx:pt idx="5">7636</cx:pt>
          <cx:pt idx="6">7798</cx:pt>
          <cx:pt idx="7">8831</cx:pt>
          <cx:pt idx="8">11032</cx:pt>
          <cx:pt idx="9">12004</cx:pt>
          <cx:pt idx="10">13656</cx:pt>
          <cx:pt idx="11">14987</cx:pt>
          <cx:pt idx="12">14713</cx:pt>
          <cx:pt idx="13">14808</cx:pt>
          <cx:pt idx="14">14882</cx:pt>
          <cx:pt idx="15">16121</cx:pt>
          <cx:pt idx="16">16480</cx:pt>
          <cx:pt idx="17">19283</cx:pt>
          <cx:pt idx="18">20543</cx:pt>
          <cx:pt idx="19">20487</cx:pt>
          <cx:pt idx="20">19840</cx:pt>
          <cx:pt idx="21">21196</cx:pt>
          <cx:pt idx="22">21412</cx:pt>
          <cx:pt idx="23">21512</cx:pt>
          <cx:pt idx="24">21502</cx:pt>
          <cx:pt idx="25">21789</cx:pt>
          <cx:pt idx="26">23611</cx:pt>
          <cx:pt idx="27">23624</cx:pt>
          <cx:pt idx="28">22869</cx:pt>
          <cx:pt idx="29">23097</cx:pt>
          <cx:pt idx="30">23117</cx:pt>
          <cx:pt idx="31">23132</cx:pt>
          <cx:pt idx="32">23035</cx:pt>
          <cx:pt idx="33">23161</cx:pt>
          <cx:pt idx="34">24230</cx:pt>
          <cx:pt idx="35">24293</cx:pt>
          <cx:pt idx="36">24561</cx:pt>
          <cx:pt idx="37">25623</cx:pt>
          <cx:pt idx="38">27664</cx:pt>
          <cx:pt idx="39">31410</cx:pt>
          <cx:pt idx="40">31418</cx:pt>
          <cx:pt idx="41">33025</cx:pt>
          <cx:pt idx="42">33145</cx:pt>
          <cx:pt idx="43">34626</cx:pt>
          <cx:pt idx="44">35364</cx:pt>
          <cx:pt idx="45">35022</cx:pt>
          <cx:pt idx="46">35841</cx:pt>
          <cx:pt idx="47">36684</cx:pt>
          <cx:pt idx="48">36208</cx:pt>
          <cx:pt idx="49">36927</cx:pt>
        </cx:lvl>
      </cx:strDim>
      <cx:strDim type="cat">
        <cx:f>_xlchart.v6.1</cx:f>
        <cx:nf>_xlchart.v6.0</cx:nf>
      </cx:strDim>
      <cx:numDim type="colorVal">
        <cx:f>_xlchart.v6.3</cx:f>
        <cx:nf>_xlchart.v6.2</cx:nf>
      </cx:numDim>
    </cx:data>
  </cx:chartData>
  <cx:chart>
    <cx:title pos="t" align="ctr" overlay="0">
      <cx:tx>
        <cx:txData>
          <cx:v>CO2e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a:rPr>
            <a:t>CO2e</a:t>
          </a:r>
        </a:p>
      </cx:txPr>
    </cx:title>
    <cx:plotArea>
      <cx:plotAreaRegion>
        <cx:series layoutId="regionMap" uniqueId="{759D01AE-0208-4045-B743-058F8BEBFD21}">
          <cx:tx>
            <cx:txData>
              <cx:f>_xlchart.v6.2</cx:f>
              <cx:v>CO2e(kg/MWh)</cx:v>
            </cx:txData>
          </cx:tx>
          <cx:dataLabels pos="ctr">
            <cx:visibility seriesName="0" categoryName="0" value="1"/>
          </cx:dataLabels>
          <cx:dataId val="0"/>
          <cx:layoutPr>
            <cx:geography cultureLanguage="en-US" cultureRegion="US" attribution="Powered by Bing">
              <cx:geoCache provider="{E9337A44-BEBE-4D9F-B70C-5C5E7DAFC167}">
                <cx:binary>7HrZdtw4su2v1PLzpQvz0Kv7PJDM1JCyLMkql+0XLpVlgxMIEuAA8OtvpKq6267u4z73PF9ZS1aK
A4BAxI4dO/DXz/Evn/svT/6naPsh/OVz/Nurep7Hv/z8c/hcf7FP4bVtPnsX3Nf59Wdnf3Zfvzaf
v/z87J+2ZjA/E4TZz5/rJz9/ia/+66/wNvPFlU/z02GYmzndL198evgSln4OP7z631z86cvLax7T
+OVvr56ebTOUTZh983l+9celq+e/vaJCE/nqp5+/fckfl2+fLDz5a3LwqPk3z3x5CvPfXmUYsdeI
UyIFErAkLMmrn7Yvv1/CGC5JrSjVilHJX/00OD/Xf3vF+GuEEaFKMMkE0lS9+im45eUSeq21lhgh
RRGSCpN/GOfO9cm44R/m+OPzT8Ni71wzzAFe/Oqn8fe7zqvjSCEOZqaaY8IY0xSmMH5+eoAVwc34
/1TLhhteTdvtYp9N6Mu6/+0ba/ybAcBYPxxAfD+Aj7S3Y4QBVCvyWtl80U/NetvoorbPPx6KgyW/
HwsrxSkmlDLNGUfo+7ESDrjnPcNvWt4n1I65zQhFIuVakW7in0Ibjfpcu0rN6AKNJGR74XqemuEa
UTQZ++wmp6R5axZWIy0vKm/QRVLD8qVRSDX2ZvEsZOyExLhf9UG3lX9ULUonwTJXPaZpPrak4ddh
bvFdO7m2yVNbTcNckIGYXFHP55ysIttCvq1UzyXv7VR37yZNzOoLwYZVuhImYee8EYmEfFjItcdj
80uK/XLqq2mRxb6mfjvatempPcmZtyWPYr9VuOPbp8whkXeZsU2uZuILJDmjb1kmx/3UzrrO3m0o
a9hwoKupdDYWc9fOsbqQvW/CxcuO/Px7LP6x+7+722c3Jt+Y+o9g/MfH/3p0Fr7/en7mn388R/M/
P735Owz88K6LL+4ccuHPN333ZpjMH7M7I8V3H/4FNr6N6f/pxf8pahAEEfsD1AAA+Ol9400zNE/f
Y8fLk39gh5SvJRFCaIoxJ5SdYeAP7FDkteAEYENgjRlAyzfggV4LCvAhldQCIOSMOH+AB5WvsVYC
cENoxIgW+v8FPIQ6w8M38MEUFRIrxqXEGNAD/ym6TWJbP7SmvgpWLienBk7zgYzhRJNlZc9mF3Ld
7vaByqxI1vQ5amJT9ghvl13ts/ZQVYs8+ln7d1rhLNe01+8bNfcXtc5MTptFu5OLfDouws5dEbua
X4Vql/64tEu1Fzxjm4AA5z3PWcdFuerUlXy08XKq2PWgumXNfTI+N1aZX/AQdJWv3FeFFu0HvW3v
cegrkbMqpF/2ed0LWFI6NmuGypm1y73ZHL6e3dDUeRzCdpirrF+LPaumB56m5gYewWPpkVwvRpfd
N9XYhrKO7Xbp6eTe7Fsa8hgo+nX3fj21FKXHakz0mHyo74gOYsr1fl55P3ThQKxoyga3/VFIvg55
vSX7ztScHwmNY9EGuCzRhE8aN7+4zvHcqHl9o1g6qrWfi2xCrjSrW00eGja/68ZW3lUO0/uKURRz
JzzDR5cWWHGvsr3US6VzJVd2IOOKc5GmvoQ5dyUNMyuY0zYnmZR5FemvS9eNl7ipbyRL5AIv9Vuj
9nUuSUKsL+Vak4LxjeVDb3Z2M2d+rfIwiDlXYp/zys6XehvmX1hIbZuPzY4P2QoIxdpEbe7DwGE/
+HKzK3I5t+hj0xJeLrCWQ1fN76shoWu9+V9Sl1ihExo++a1N17geZW6TqkvepYPBMy/71piHwAY6
lACn/RvV2um2H2oLpu5tLfPROgEgH8RdR7OqzGq5fqx8Re4TYPaBGxFv0j5+mQk1KR/SLg7V1Ji7
fWvDddR97ltBC6pwvOlFV+U9FlW5DFl1j+n8wQQ3FHyW3VUtfGVO24z69T5q46Ynb0z4hLZp+dq0
K74XduSn1kz0XSdYW2Z8WG54CJMo5tWCybbR+jcLQZ+2yJbbbCTZgWzoCxvsJ7ltLhSWD9PV2rIl
7xuK3qZe4lBan9RHZerlcc8WV7Rr1R/EVPVLsdtlsZeILbw9VsINfdEP2/apNrtDJU5LMx5CNoWY
d63H+Q67fOBytodmCCu6X93eFx2q0c04aUmLiFN1v47kbuP44x70R+SX3COqD14iO15q0Yy6YLKe
/MUawGOQIeJXXqlHU41fEFmqlLeyHw+eKXTJ+3VVb+uejfmgVVO0tSCXBjDnAd5gcklDfRum5qSE
3q4iHmwAZ2Z1LBYTNvIm6LCbC1VFb4rFjx9tk43Lg5+ThCmFY5st1d26DC73Uze+SStdy7CKeFyQ
vkiM1lddt6/TPdmJspdLha0u1JLaU0dR2x2aMA59HpHjbwKn1UFSV1/VtsKHaZy3XMgsK/Eo1K/M
28TzeT8NSGaXZg71Rad6k1eCZEdepTXXKG3HgQE1MLHvPkROU2nbaTupRh7ZMNt8rBJechVYl3e+
5fe1s91hFN2ai622hVo7VrSTna7bju6lW5bxYmWhKVZszZtt5RtYoN33x6lH/IrPyr+JaM7eb6as
l/60oM6Utg9jnzfGqUPMqD2240mk+IFUUZTOB3IV92o/cLjr1HPk3uCeTk3OWRZ9PrmJoJIvnMqr
TqwKkMpP91R7+qi4qgshRlXWHNdbkcY9XVRZ5WSh+677uLd6yVmU24kz3OYAEJ/6TrV5vS51zIEp
+yPhAudxX2/73aSvS72vcFXKY80N63PZjMtFrMJnVompFLLWXV6LAZeOoOWqsqkvnKv8TdMvnyCx
iOM29+vlsE8bRGnlsj2fx20ThbXN/JkMkG0Okslww2ylj6vB74wU6pJmFp0aJMfCD6q96GVm83r3
l2FUKMeQYA+DdKnAQ7ZeEj+gK5QkLird1VdiY/EgpEInMW8oB7qvjmFE5GaRWJ/iIJtDJP1DJfZU
yGDkxTbqoPLKN1+XJi0uT1Kx3I6AvRte+1JTMl1NGts9b003lSjSO49dkblIUsEhRN/Uo2luGxRV
0fUjZNm90yUnDb5O81Qdt2U6RWunA9pjeObOx8LYcTu0fT/ezJSafAeye+V3/ZvSs70y3D9P2iyH
pdt+s5YtB4QTPiwLpBvs6yvlg7lctp6WtlK3K64e5jDQW2rJkKtl5fcba+zRZ+HWpPZhQSG73+r2
LoJdr6vICURjf2uk3Y9RdBpSY2M4ysUaxJHvwZes02bI+brMhWcx/cK6lPJtAbs+TEtjxPXezml5
kwIy7kAgc/qcNJGO+YxoMnXONpfQQQxqR4e60uP+zjZIZx+2QGIqGynVXjY8kAKt3SD3PHa479lB
zhinywmbd13nZFvu6w5UJnQ9u1077MGtOKY5advW5Qh7+yU5HHmOln16SxzJ6nJs/f4rHZf4q3Uo
XksoAU7LNISLKWXbXKxWRlHg1K3XSHQbQH8/gA3Wer5MFu0HbAExVZeJp9SqtgQ+116vSC8050Ta
B7UvzbVFNpSU8oOUejsmoszzRJbsIswbvwtJTcdNTfhI/dwOuR0AXruJgoG61MVjjYx5z1I1lrKF
6sKPXQDSYSm7bPzO1hLtfMk3t+Ath+y2b7ljIz35cbH1AeqIEYecpEWrHDIXOvIAuS1XqVZtEeTS
5HvX19cp4MGUuwrrcoXqBPVK3WVX2TQJIH4VWrocQen2FvNMzIWb96k5dnzSB6f07suaLqLszIQ+
Bt7WuIwtau9V7aeHVrdQMWmRmsJhzS9CU8WjV0hc7riOaz51cUU5Sl6GXPo0/9pDCV1WQeMb2yrL
8x42/8NOG3YUgV/QuVqmvNnnJeVq2Cg831RFcHS9NE22rXnWBHOgMbO3LInWnBnQ1BdWEHXFGoZ+
raq6LcyIqrowC1XdcUxQuYG7zKho/Dx/APDeDxSMdHIa/8Zk10Fgc2Rz2NFqyvsOpZhr39WHbV7a
lPuFk2KexT4WTNT27TAFhQvR1cth5vWbkW/jUW92vtkWya9ErcZUDFTx+9D7pTsEPvQXbBD+oGHT
rtUSprXsB5aeY6XqTxo49y8kCXmqWD2IokmrvAkIqFlZGWz0GwsCRkGS/DBbGn5NVWdyYTg79tlu
ChI5uvIk7b4IbSs+0pGtWxHU6C8bKgEHeqLf9G1KX0hWmWKeGvwEeNpcN1uGD2li4sO6diEVnbey
OmZTU6tyRjvJzWz9MQ0zfViwowcutiF3SXaHjjX6Qke7HHhc19Mu1+02BbM9BNn5vB22WLS8I7nr
xvopTVuccuIcO+LGzSIf8egPE1nnwrrY5LSap0MmanEkK5LPUInHmzE0UC9P+/hu3LDkBeB5+9XN
ODzqAfUfDEa9KXlq9bVLprpuZI+u0VhNRwn+egKpQNzTfd6KDY3uiuwIBth5lmPJxkMaJAbuj8SB
82opnJzrDqDZDsdNjPyi7bPhKiLg4qPut0fne3rMkD/M49S+bYyv87a1620rJTkBSKwlBCAEi1wJ
EBZAPtr5pqizaTx0thWHxLB1RbemKXc2QKx71p7GBjhKb9EEBGruP9ed4Pul7Ovt0EyL+LrObnsW
NtaqGHsd36yERHrcPHPH/1///49UQ64Y/mH9/xRq0NigbPyu+P/9sb8Lh1i81phyIbgCYY4zkNb+
LhwS9lpSQQmof9/U/fo1QiDjaQQPMQZK2D/qftATQRDDFOgykYxhmN3f1Y/vVBxQWP/4/K1o+H3V
zxTXQv2uOmAQHjADVeJb0XB3+7RkYRH3du3tXgxNXO59HyD04jaFT98Y5t8Mdn7ZPyWGl8G0xloi
pEHrIC+i3zcKpeGR9bKe2X2dpfHjwBx5TPOq33fN7EUOkuv40SDJnvTa+sv/xdAgsiIFIooAo36/
zibrcJwdZve7jjC09pk+rGmT8SAXgR+pipjkAXlCC5Aksib/8fDn13+/ckkYwUhppWHj/jw8oY0Z
dNvT+95mXVOobJ2nAs3LPl437jxctErd/HhMAj7yr4OCqzAsscCSnjXWb8w9jEO1mFGTew5A+Qg5
hl6BJrED8hGt348zVzesoTD4ghcfLup5mZ8FwOlFnwmwwyRcczFK08bLkHlTHfZ9Z09CkTAVFV8R
Pq3n8qZsdpf1eRixrcvYD5QWP17H97Lz2WtAOANFnYMwhoFU/EkKVpuiS5Q1ucdLBr6y9OwK9FOg
QSpE/Ng3yZ1ix8N/UKD1vzGe0BAeQPBhYP0nhxEZkm3kHt+3eMWPQ7Y3F5Mc6q+ojdN9wnt84GzE
t1Do1Hue6qX5XW/9Tm79cWBKihVVEloG4Dd/jpVV66EDLgTCQibiQ3MOmKSXeGfWCd/+2MD43zgK
xRoiSyEYkKs/gUCV5DwgtOB7yNXxIRvroTuuDa76vKI0PMeOsacVhHKITmRtMcoNgiVrZbxruzr7
D9v9r4gkKUUM0BKyNZCOP3ktAfldT8Aw75d5giBhsurdDZktWvNm6PT/IkgkwB7EJfyTnJy7Kt8E
CR5b1GR0Jfc+zKocUt2DbGiiOy0SuZP1Lbuia3CnaWrAy3W/41u76miK1OJsy3G7u1Mm1vhgJh7N
oUNE3czdqg94FvGurtdpg7e2EGVcDXG71jVa+t9z83/rKy/a7J/gRRLYP+j/cKrBY79fRNubalFJ
4/uqatF0BEnVX774TZzt+NF7mxW92gD3EhjQqk0fTLP3TRGSni7HZIEkNh2b+ot923tf4gqFZ+VR
fPixo/0bFJSUMcUQg8n+S1Mni2RZRcXwPd8lGOTFzEDwxo8YVRg0Dv+fPPucQb+DQAE9OaYg5yIM
DTJotH1vGDsb0qIuhfttpO7EZ8ufKh3PPyjUAgui8c5TEUReNVXlD2ht6yHftqTfNUvXjDkd0vxM
3QqejgABUAZB0FAGwHn2iRcTBcgaIgcpVd8EkChPCVN1k0Fb5opIWNAOSsDpx2aEFfx5WbAS2GcK
nksYlNt/ctpddVpOTTL3Dryk0CMQ+rKVWft2on2aL4e1BlrfyrUFQZdnPZQJq63qo65N0+Y9vBsV
KYKgR1qyHpCd5XHdTTZf1iIsuBiwSTTPKl7tJaK7Njmqt+yXMbNmLpF0zuebSTUvmJZ1KBFBEBlt
2BaofGsxguLYu5ypcbhfhrk+qWDbG2KVu13bSk6lch4t+Uj67AOGCuEtdqn/jLqAyx54QA2l6Q61
U4J6+jlxl8T1nGpo+M6Qv6+R5hZqPNqOdxMCMa2ItRZVzlwAGUvWaspBYMrG98vQt1tJKynfaT3V
KJ9AchG5J+u05pYbv0MJqhO06Waifpuy3qsCZMi5u9zjPpN8Whbmr8iUmuyqUpjdELPUYz6uFZT8
Wr9L24qXQrLV+Ptso5jlLZ8HXkyBdHVhazOOd9LY3hdRs7oqVbvp9yDjQtrtwEdkWs51mUv6MNl6
MyDhgNQq8QwSmXWcPwXNgCaA8oFvgQICEK8jZIHQJHgsydDXZUWHrFCh6lkeoccgb1QnuwUyM66x
Got9WED0uqYGtemNoG66ySJ0ZY4GeuB1B4p9hPrXNDVIInr+rIZOuNyQGnqpTetBqrLm1hPmj143
OXRSx48bQvsHHFRzTVYVSwU84Lc0O1fwZgoXUpPqSHbqPlkd+AdHM55PYqyfwVHiF7NU7ZzvtRlK
tMD2FHU1DxfejLy0WK4FOJZFIF9VQ4wqT1kGtbybn9mERBF5Y8bHjKumO62DCh00goZe20e5Vg5p
cIA+OVlaaVXW5XNiUokuZ1xXBP7HZCN8LKAIzXCdNylLwpaqw3r8kNWroDDdrh18maZkFdRuZ/Kz
8/jgug4sDaKgOyGjgAwBgrOnSW2SHkK/jSm3pup/iVmAHUvVDEkhJboUq9SAK9oBVjQJvBLa5BiS
KRsmeIfGcvyofYCdFXiHTW1alxUIeVVuegP3gk4+bH23AmQ3zNwvIHDNxZ4Ee6r4tuUGdMx4mHsF
aGQ3/hSrXb/fCAnPYa/ZlVgEAA8DHJLM6oP19RTyCSJUgUZK4fVp4jA5qDjcCWhd9X4BxbfsknWn
bujI44T4+SbX65t5XgGfAc4q0FqZtqbEeIa/mD3CmtYGiA9B0HrOd9m57qigc/fkCWTqfO4p3OFr
3N4uwwQQoznMykxW32jp4gNowpDUmwwQ9QUjgcOpm4pDEpXt5C8rpwJolmdTauhuPYawwK8vs4V+
h2lzOrF454B2knzhTbqbXrhI1wvm3w6285fGrPh22WFHVgbMMJENP6541wdC2vSwNFBu0L4lj21F
ID3PcdzKdGaP0KDnT9gmWBSEJIzU1Wt4bhw4Q3v+bfVpDLlpgX2ibuVPqocsqs/0aOwh24LOOn1s
OwvsNzYhPbwQhb2bhnQd2148kQj8vg09bO0Ek4lEtc+M9hJsAXToyk0ZukU1hLRwFboNvu/cDbgR
7B05z3ZwEySe4EC4rmBGqEVAwp0DvY3jbvxYLT1k89SRzB8qooGlh91Cb9SJ5K6m4GHmKzyz5s5t
Kd5MmR9s8UJwljNV6UCIff69+KFn6gNiSWtLOE3B+oJl3dTmchQLe7PxpG5qy9lTLanvLyDtwARH
Ets9V9mwtYfR4uq3PoN2Sj68hBCueBuPa/RnGgSZZy79dq/YFp57HWCPxkoBuYOP2mBIwAPjgG3u
XKp0tW0ucMJADJCgVwJ2+nYI0KiA5bgTXTPxACo7KMpZ3cNs16Xxl9sGGXc+uyeoaPgWmRYyU8cW
eHO7Al1lqgXZZdxMVl/auoIaEIsBvBZ6E4oeFHzdkIqDA8+sA5vNWOn3cW3kY9upqT/ME2ouKNHg
I33d86fabmDTOFpY/wsIdD2ND3AGBazSd42+EYlTkPwhwkZxHt5usypAdwY6NuPxY4udO0Ez0V8C
3Z+gyU1hVxsSVNlDIgc7bEBB9dBU77M6xbuYjHjyaoZ4Rb21B9LsmSgNh4j3PsBMXjyRxRaH09YA
BHAMHP0AkjeADzOTCXc6VmS7Uu68Qe3EAJqIq6ZL6zG06uc96nyGcjQcdjEDKSIK2og52Yx9B2dw
+BNtW/xIMgU1gG6hDGFR4ceNejAyJQmvOeA8tFRTo8ePwowQ6BPe4t3LCiETAUcOZwnWO99cvBS8
+5aNH3dMIUQNlKgNQDfKNyhpHxdQux/d+bzVAboB8W5XG+zTC2N8SZsJhLqtHPuMXlFVw9p3Puqb
gagsbxdiS78sUMmcrebHNeqy3XC/l/48nVrAKkAlZk/jAl2TYqiNvum7AcJqT7QqJd3pcQk9VjkP
BuCo6SC4CFOAjnXw0EuoweUXcPAqPtRNJehhW+V0mRo4AXTgeun5Q/Tb4IthY91eZB7xJ+h/gNfA
3fr9EBGUrf3CrrrJZe6gtdr6a7sKeLpfajK9g+NkG7hI1YGh93NyadoX7IukzS6cwQDyQEXMuSRn
M9QrtQWfeDHA71h0LtzXlgAunIHVGwkZ58V3KxMhrcUZ9N4om/SbhzR0/+KfDFq4Fy0IARfrMLHu
jVwUuIhCi79kHBodtUle/eEQdrPq6yjXbi2sX/1l1g760KeRPxkBWsqLV4jYQVB0pMK3cBIKAnka
8G3Lz2oDNCsaV4hhwEM+8wGQCPpcWSEnAiKE522z5815Qdlmwfsaz3toH21wLQER8iXUnvgWM1gC
uBx+5LVwW4l7A5ElqwkyjIRDZUc3gtMsrQO0pw1+yyXZ76FSB6dGGSZLMW8A2i8IyLq5s6WrJBgb
DoSc0/fcgpWo3CBszgloyJOhaSvGdQZQcAbOQhynTGmAq+U823aZIczolGBcM6b4YBPzoF1DqfZe
xwTEjxtY95JW6DluhM1Z2TIfce6BC+3vVqyaeDkv61C/xaFF7moAGL310NUyUDTOMIJpHHg7wtXu
H2e+AAkxWaffo21sLoYxntcLbaQ7thD5blHRviWUf66zKis63Qbox08ImimA7Ftn2q+GBpdLMlU5
FVBSF6ujEMAR0mPbjJCRUrPtxQySpwaGksT7rk1g52aEDXV82+NFtrT0iAYFLXAzuRm6utFeNePY
vqEsYFxA1rRXUNnHywGPQyr6cRzeVI66rzr2wBcEiQCGQDKrHBrUMzSuY5jR9XQG/+u2MiBE6roG
TrUwBxVMP/RXmSOgwoBStBRTX23ZO9MS2B5vR/gJTVUwEuV7vAMFcIPDeZu/pP4M/hOcRCjtmdJN
tYoPnZmB4cUpK5Zpg5g5F8pdDyi7UQ2hqutpqHLkYXpwLgnEJuKAH7Bqg5nGl2RS1YDbO29c98UB
x4Tsokd9aM85HGdt9b5SFXjQS2FokBnG675vR4C8GTDNiSirE+hp/lLWTt802rAraBrjWxO5fo+z
OTyTPalS0I5dQQ0G+zoIAvnTt5DcFmsArXbRkMcVRi5ecFO3HYAjHDql0J4ZICb6M98cK61urIdj
jmUFR4Ee4czJ+LHrI3QCZ8A9P0EIzT04T1Nl3XXm+FGYMzLvu4MMBLVdfUl43Xxhq0DhxMcFIm7O
EMl5N+mb7HeGMYFGkkFmtt2g2JWUO5JXULDF+TJAfQMd5MVfuDksx54RoqBWmfkT6nb8qBQGyY5r
QCXQecAkss0gbVQVgUrCCkgsYk3isQbFutwnSa9GHiEednOGgxfKDO23r8IQ6LvpwaKj6axUB5Fm
coSR68faL/GXWIv9pmap+WVcTAddWKkBnaHa2Y+QEBeZS2ERKRIbszufCRcLoNODOlBP4yUxPPu8
jJQ/wzGH/UsPrPKr62MAur3BERDgVeSEx4BuMJCyix7ElQ8MpuvLpar6Op+moZ0Ok4vT/2XvzLbb
NrK2fSvfDcALKBQKwClAkBSpWZYt+QRLHoR5nnH1/wM56dju7qTzH6cPuntFIUECVbv2fieeLHOG
0rfRUUSpSj4iB4geFD0+YpciX3ZZZ22yVGu5ds06fIw1O/tSNQvvZJV60tEply5qpVJjYs31aDJ8
u9fb1GvdUT2/wQr/KDz/Uhf+BqD8icIz6b4gxU5+JnjU26t+I3gc9e4NJkbaaTm24+pAX78RPK54
x4JWQOpoPgFrNuz/d2m4/Q7lN50DkJAUNtjYHyyPeEcBtMEzlERGijj077A8vwJvrmuBpUIombyb
oczt7z+AnBATcTZwUn5vNtvCmG8tg2qxLgtVr28Zff4covpPFwS1h+fZcDdl/AJQZXzrWtSFdTYt
4eyMcUoO64Zeq9yByERb8BcQ9q843/YFUddzv6BXHEf8gvO5qUK0Bl12tqtYvaTbaPHWrHbW+FfA
/K/YG5fiUUMJQEjoti5/+WptPMXRkBnynG0zeGJDVVn9SmlSIqKqrszkdpZSr7ZB7c/v6n/4lqwk
KETH0aHRfpXoTg3csK618twJYOnSqTcY3io54Gifi7/A4f+NFeCLsgINd5NpAef8CjLOVY4SeE7k
eaog8xgB6Ui8KdVphsfe5rQogeHiU8Hh7fhLy5BMDawYW+Y8AdZAkvUXWP2/f33Uzo5SALm2sqX4
haZIjZg5Nwrl2ZmQTfpu0WyIbMZ//f9dC4MHxCtLmIXzy4KKEPfm8bLIs9lN4AlS676inpzvh62t
/vOnui2YH8F711Xg9iivLVtnaf3K9CR04xw/gzyPYfzaic4NGGD+LqvydhEI3rf/pUr9smoBtqXd
i1ye1wzgOnVGhhlHoTEz6L3/iu00trvz61fCJmPA223c9a+EkhOaxrhqhnnGQkFz/UagGKFG9523
Xf3sNBkTkVrYpBvhtMS9eRGNoXnx5zf2P6xgpSOFFvq2Vbcm4+eyFwpDhKHK5HnGPnEysxJtdrO1
RrXWsUIZfIogywS9+rIOMJlvm9faGFAqyF8x0P9p9UpputLdnjQc+M8fJstdNRdZzeYdmRvf+tSp
hBtgknGDP//i/+lSCrsADBpHy7/x7HPtMGLbjXlOLG6v60ZsWS2fKfWO4un/+cV+LvWUbyl1uENX
crLAPP26fOu4r/KmqbVTCEaweprWwjOZAF3rBFA5lgvV4c+vaPxcgrdL2g5no6kUW0f+G5lfZ6sU
EN7uSUdseZBOSaPftd18ryYNrrQLea5v0wCSNlCFiC1VwB6cba2knXcS1RzXrVl+qyDfoZ5lBU3x
wlhbIbQ3WObPP7L1dsT+sSVQfCibaspCRNJhKo7Gnx9/6cypnJHonbpcL/b6Gq/7KlHaPjK6bPAq
vVjgFBkW2ir0q7ReVGDwZnct4EoRLGnO5BkWIQ8ytKL+62oW/ddZZCzd71OtgMOId3SGoDCWwZjn
IQYDsd6GnlyBrOopL2s3JM1eeN2uS4V5MYm0ee431sqJpHlqU26gtzDv3UZJDpaIbMX90K+xlvqx
GzbG0egs3rqz43baFW6sMh+rUWh60ZCY6pCXDdfYACrVxWCzjaPrnhyliD2AJOO6iytWSC0ZocDs
+/Wg0XKr0xs31/VRAQ7fGmV8Qn/Yf4VFap7tGgvKqTCS5d5Ao3+riV4D66mzKPlkLC6PzF5NhSRv
Ah/60OQQFWWfqZcsEax2ievgZTFcAHJsV5zQI8BtAUz6pV5DcRwbu7lvVV8crImx104iOXrU39Hy
JtfihHlDHzWsH2cwDTi/EJjCnCV3FLrwwyJFcngjyN+o47cJtV8F98edQvu+66L1gxiBlmt3gwMK
BQVkzG33NSsiITxl9m6wdqFh+s7Suh+GeuHf0sLFvHDDkncptrF77blvEu0tcpHtlCs5qfd1p3LT
W4q4TY+RnHsgN9veBtVYSZgJXA72Kd4akzeO/g1811PB9AubNge5rgEbvgGkTdKwatDFWy+2yrib
uDlqBK6Vs5T+qIe2Or2Nkhr4Vnfo5AhFLOZNAGJadlYEbc+5qKqY/Vfp0RIFxeoY17EG8bVbrAJI
BkAf5MJeJOdNnzEceUZpspZHRr4PnR7ytk4/ODuk6/NtbTicRT1+i3m/YP4THpwa831tRuvVaiMj
940ECnesGutFwaYh2SlbN0feZ7QPkbmK47pOkb0TkZKfynEs3ztrslzlDfLrppsrwwMTMBzEhXp7
SvJqvIjyjUro8nn2p3Kthp3ehQp0bk0mT1fwYp5tpcs1lkH9XMi4woiYua6fWB1AP7SHv5Tr8j5z
dSsYqriuT8hBEzoj9J7eiizzDsjIKb00HAoAg7Z/deRaXaADHq5dZQ0lPGcaMgtmVCZ/3VBddIgt
NwHBx5PKs7bbd9aivsyrbey6viwvoTrbaL8JOSbPHepkZ6RVeRirobp2MaJMfrl28adoY+Dsqscf
gVzyAA8Rno2lt5uD003quQZhQ65Zr58UpqiTKQvcMfMk109l3mSoHcXqd4jW252D1MfPsqn8lOI/
6ndwy90u01v7sDWjaHRnOM/dJjEIGnpAb6R52ReO6LfCBAtQ6eH9AOR3gZylvkjbuNsv1rB8C6Nq
CmIt0e4WtyqekmyUfr6UvVeXSQY23SUeAtEXu5fsD4DuXSiK2B/G1tgXCDXT1tHAnyEsMbaFVYVY
0kRnrGz4p94HpbBNy2sR90R4MDtYnks6XecoTGOxdmUyTrjEQi4kczfcyQHbm1PVHbB8F+/WasGc
U1TDY52ppvbHstsPOJJAivUvud1VT26eCC9xjXnfaaG5G3I+hxv2xR2n0prx4Nf4Uslm8upI54na
qBAuwR/KWyRf9S3yOha1hl+4f3mjDTSRsiW6jdoJqroX6VnNG4yETwwMnWrbf41anYJUra7xftFX
lqzew2S19oDmxBmQ9QZZEs8AqlWjwyFDxa0+1H/1HBoQZm+Il73k7bHHXAMWM1ghHIaQGPLafHs3
Y667w3cdHkoJGrO6otrOzFFdB621U1jj3o+1ZOsPsdUc5SzRhb2RT3XNst1UrfAmGVjds6iaiH4u
HpDHmJWo2PNxVxefUII79etSj3KjFntkrXbfBWUqp29oUprItzLN+gif7160sdsdcwS7sVfOUYIn
ykjjz93Yv6TAqoElkyjyw4Xy8ZTjjNIekrWuzKMjYowMoGW+ypMsiKepOaaaWvcYf+tHlAyF7bm2
nB5xDRb3UBSvIl+fZiGNm6wXAFcqt3NfuO0QyKEWX6M+jr6uSTI9RIPNk2PHp0EDLutCRdjT6o1x
ki1ek3f2SVlAQbt5yuvC7xR13M8GdM7H3p31s2yq5arpkEerdU40ry2yAYceTyFF4QTLpJXjXAaz
0edXc9vKmxV9zk1jyOG+SJzGbysDo8yo5QFSe/Nz5arx3Ksa4bUVikR5nWMmPi7MGH/FOrle0eSU
Cze0dmnhyBNyhc9hrU0PUx9l6OgG/QoDsPUpm1QW+W0e4+1KSwPqczGjaxfQ7KrFzXTS3MnF6j1G
3YtIpvpc2MgUysQazobSNXQXfVe0B4OSt9doZscdKkoReokMbVwKaAHfq6yuj2Nprg91EoeX+jKs
d32sV547RtMzgQANrpSuk8lpTubZ8p0KjY3nhJOTXasZgPvgxkN3ZMrVLlN7rR71pBWur2VDUW5a
fj0DF3Wm64kT/tUYm+5qqOvxMHMQnsu0K/Jd7cYhqL3BeBFT3A6ZDI0ESrmGbI1Ge7yLxIhvoExD
q2Zd5u1zNvcmPtPcupwTQRnF5+n2flOP5bQTRTuEWO0qcdXby2p5KKgMJ3ByW1IQjelbJdQQ7l2t
WeECwHelbERg5mo9doOd3HeF0TwOxtJ9cPJFBuO8Zv6aIm3PbCU9qQN7Y5lK7Z1ZT3big/jHXxHo
cA71+jL6oYZTfCe5VbfjypxS5kDYvlWFyQ36sPlRbyftykp6xBSJ2Zh7RzNb20MJau2bzrYmvxKJ
2x0G1u4rQOX8sXbM/stkhfbXSfUq2esQvZ0P+QXrkla53XqhA26/bgaPXRujZjraff1qxXN026XI
CryVKIaTOc1xBbtcNvhlk2bxJMi6n3E632g5vLDQVdjv3IiePVqXeUZRVNmxZw2yd87ZoMPiSnt8
iuGrkdVEa3oDLmzrXohX76Z087z30PprCIdNnloOgCSPWJ/yefgwx80cSu+tX/8HC/0LLNRxNqX5
f4dCd9/yl+ml/faj1P37a34DQm3SLphwTZ0ZzWDkwZX+OxDKn7CxA1+pX13upvsO97lAKwtcwFxH
Dsa/XO7OOwROgIhI5wWooW7+HRzUcM2fkAkLQT1oFjZ3Hep+g2l/GcOydIxT1CCwtWqJn/q0L+ud
qs1pYNdhvpjtlsaobpbbvBLr5OfxiEDHdv0y1Ot9OiZl6q3majyFCV4Or0Q35SeuPn2be6XtQFVS
H/Aj86Ajb0tHo9AP+SepofAxmYD2ZcTmW0w9CtrZJcyCm5gcw8KyHtJ+Ki/nuV+vc5RkUFiDjs2j
6ULph2nRnpShZ7uhCmdPw/zh9VipPNNV7XluYANUAYOnzVZ6mPhwwjNbVV/YaxJeVFrb30MhyFPb
JZ9Su9GeEjTo76OmxDbezOWBLjoK6qg2vdrp6husheCJc3c3YkmzNNrYMuSbGuivpViyvYs1kt7e
hGePyh4fcPZat+bWLbt9tSv1tQ8s/OB70fT1vlm5eoy4Vpmz7iV2f0V/YnqDEHeJ4bwPx+HKCHEO
0rk8TM1qXM5TjUAxw4AlHMxbGHgvq6W4REz4hOdcwHn18ylbok90CUhCqtHLTfMOU9ynxhqRqVTV
w5xqK1xXqe9qM2a4ceoBZzC1M0nwctvu+xlDTWgTYZLR6fMRGs5h3tptZvNgr7Z+Y2aatu/HrHoA
Ocg/4LCXDG5meTDLvPabKDT3IKazV/Z948VQUd1a3+pKrsdQaqdeLs1LJY32fe32OF6TkGbPrPNg
cgS932QdQ2d1PMfqm5tljNsnmTnvVZdUh2oGzTC6JbpUYWYHEJDG0W2UE7S585ivtdZ40pweIxlG
J1lUnU2l7Io74YbDF01v2hIOXTfvgPnM6yJpaIcnESOoq+JmDfK4fDA1A566Ldt4Jyrzvst7d985
YbkzzVgBLGDXTZMxITlGG3E5zo17aBuzzi6i2jAgoZfKSw3L8XpnVNW1MObhHCEbHfAbadYjfVVy
loXSP0m++K5b+sQvMP4nO4t7We0Npw1beOZFP09I0fqLKtUtz7Iwgb5qpbVqB2CrKnxdXHu6ygX9
vBeVMqNLTMzWg+H3EdoYD/8U+v/F1oQHBiDvvxd6wnKq9uVr9WOh//6a3wo9GhQqvYmdBawLkNHh
3Pjd0qTjXoK3UlhPHOgDG/zud8aLlCRCfbBT/BF18nueCRYp1yAGhTQMdP+G/rfyTN4A+h/wNh0W
zrG3dCXUmZT9X41NehHj6dRW7ez0YZO6e5BxZxme2tGVZXtK9cJOGsh7x4nTg43fKbEuTRIlpiAq
AHDt3kN6LGs2mhs6mXlV/hY/pDERbHFEzlvEzvA9bydzEitJLq1oGhsaIv5pOBzDZuVaj7o1Utki
ELJimONLYyws5C7gVbaGOFSbfG0EZihOpi1ROmbmhKEFkDoc9WdRtiF2QdW39fKQUh4NNGoymmyc
tPMQuzdJ0mM6dSWoChO3VvgACqhV8qFdkdDaixZmfmRVjVP/0x59+192DVSYoKP479vm9ltZdks+
vvySBfTbC39vkuQ7ssg2FoslClv5w95x9HcWWwPWDYyYrbW1Qr/vHfGOf6TATEEpUJZatFa/7x33
nQ2pswX4YAxUkEl/p0v6Dkb/sHmkg7HQ3PYg7gLDeCO6f+SLc6zDa1Hry9Gyy2zZYelNDPKtJvOa
WIkK3atIgS1JXmiL/dSrxgU2bdsL6VSGvl8bwlz8GJjRRQ/f59YuhuXWsFRHw651vyCjCm8mpZZz
sRg6w8yAFGotYDO8Quu6IDUWuVtVLmpPMztDC+x1qcnaikNDBG0aAxsbovrQdkt7WtImvt7avcDW
1vUxFJqJrwSTYdC6ep0GWASahyhr5/II3dNARc+6/bKmpir9zKjiFCmHqWheajfbsUHJfonLY0Lr
9E0zjOjLhDfvauY1T9ZSpcPO1VyJAjYPUwzCHTYGBuIO/agViaDSJuvWdaL8PJou/t8q7q/GqdMO
RpiufqiHhF5U/TgHQNXZPsVYN/oWN8WfZ9pPrVWdB5DiImqpQ90bc8t8dFpus4EmhEsgzj+VijSH
kknxKEQTBcLlzuNiN07T6ha3vWaqPcbz4k5f8+o2HZz2Jg5RHiD+zcoTGjhSh5w19LMptvfCFTrB
DE5xhck50oPFJpLEa7N6Tf3S0j8att1fDpV86iAcHoyuKx0O6BC0VSCSAwcdnOxQtoP5gewTsU8x
zx+KGnWTP65heCWrLNnR6mY4t8v1yrLG7t5WlZMGSoXWydQm/bXTVBnIwri3x9uC0KRdN8nmICMd
JduARrCrhHltYE99NpY6emwLc74Zu9SC+lWB1jm9bxWZ5oGPFfRmc35y8za8dOu0vLP0Xl5lUnxM
JkkSQUX3vKhh2Ze0bw/LYDWB0qziOOmFr1cGiGGWpvdECeg32GHtXTjL6SJS1SFLTSco5DT58UAc
U7gSIQh2UYXHFHRlT5JV9kry1BfaWG1fSRlWXtznxj2LHJ5knpuLbjUKb81dMzAcawJsF3KnSuuu
YrX5kFhnENKY+t0owou6p7VILG+dbW0fw3F5KK75lB1mm2iIQs8YjOSUj7H2JG07uqjzuLm3kNdd
LTgeTrbTNbsU1WvQGvPo57KNr82xYd2wbCdvRrV0qJc49IYyTnapDqHhM+9bgWOgVVim3vLGKJFV
dFCyWCLj0QnzOdl3rjGRymEZq1QDSto4ip37Sc25wqajuc7wIARxdQ9kJOiW9Kwmi40PKDSjNNCR
c55Vq9t3vROH8cdZrgRWDBhWkLa5FWh/rpKF64/JNeez+IgKqtK9PDXa0W9DM24DNAWa9TS7Zple
TJWAR8irNeXb4MiSuEiYcMaHMUnk9NBnyQCIQ0+amtewGmP6nGV9u5ZkgLwlhMQWaSFLrdx1N3Zb
iAjLLIqe4Zci4I7YSHg+WlWwPN+iR+ZlNUAgjbdQEmda7Ig8qtJxMO2YfRYdl96Rz0NVTv0XO3ON
TD1zj1xCyvIBr1LSl6bFlBBmvTl7CLIJEXKjJGGF6EMfvi+zQS2w0KZQvuhbEbKx6M//6W//l5Pa
lJyff3ZSP/Yv8Y/N7W8v+Fd3u7WwmMWR+nCwYlr8o7s1CAFVuiBnE6TD0Tcv/x8n9JYKauAj/eNo
RuPFf6DQUJNAxwvr7xzNb6KbH05mYBVO/s0EjbKCzL9flVxYsZK4Wpzlyi1XDewQV+ey7N+4RRJ+
cE3MG82PNrw+d5bsvhrLgtY+wYr6Jg/FhlGdxYbtp8MAK54YSNiXxbotCIXRTQ+NY0K/65mTPozr
sSgU4td7zV7mEuDfHR062jicXQJuhkIAPHxvefU81G7cQo7FqWrTtsNZaBiV82rW9pIMx0lZ+gzX
ZlO9wguwYS090bg340M9cpMftLKyRVDLWMggSqd2PXMvSbp0UNj7OpdlEqyJwowKETVeJNelv28L
iYWFbvkatj/Gm437DApPsa8KEcObQgfwpapdvg7aZ8K2EuI9ZdswRMbp3VxZ1z2mlAukvNGeGNHh
JUzqb+hiSaFKtlgOpac4tiriOQm8gn0T5SmNxsSyUclm0yyCCe9Hcxb2WpSGT1WYr+MoG7WLecJj
s8uI7VweNNK/Vn0HSJJG+1DW8H4HIo5iVPahXvXN0dAj0Gja92zE7H2vcuDtq3omdo6HUFhCFON3
Ucw/yOZfIJvEb4D1/ffOfQdMvSUG/1/1+n8Mv0Px+ec0z++v/72BZ1bVwTYd6fwrueO34ZecT0qA
Q8gFMo83oPNf5cF0mHAlcyYJEMjpbEWB+r2Bd9CPEgDGHxV9mOBPfyPUYxsSftBfbSgnxUuSMyGQ
XykKxs9ikwUNuIH3RT9mc+UX0WseaTfzEl6kDhb3qTySo3WCfA9Ajp4MOqjU7HY/3Lzb7xXpx/iC
t3yEHwrV20dAoGOYJt9ZuG8anh8kpxVZKLXjRPqxahf9enAeEgMr6Tp0GIoafaJN0fHz5OFVTZ9w
ID2jDCbxLEcwvnhX1lp0pa+al1TOvmdL1rZx3cSb09caPTz7O23kYNbrL2hq+JfQl5Sxp2Wf0k4E
2/9dJGRKsjx2a3VIiBfstGCx3CN2AgZ0nMCXsKTlAlHbV1vr3ZnmTs8GfzHLDws7r2U1HGfleAVE
ihTmORomG+35egfjtQ3/RGc5EC1W6nhmb3ZBl11KbbiDdSXLJxpgptz+TrnPhqkFRMO9rB2fAPQK
1zFWLGX7BZ07ZA+igXyHe8In+ul+1sL3pAe2QdYVAV6TT0Cz+oH8u9uos8+pUX5eI5wraUY0x5Qf
1MrHmHrUH2ZZfilmqdOtOou36NOXUka7CCbnkphTIrP0mj6v42LrPsnMm6hIo++arH/Kyl+UFdMk
cuGHrbFFFf8UKv7+2/zS/dRofH/Fb5XENd9ZuitM1yBpZFOA/9Bo6IrwXyFs9K7AYsAEf1QShTpc
8SdBONAW/ksP8lslERZcCglDzLwbBrYp0f9OJZFveRs/bGSDjgWpLc6azcCwNR0/1xLiJrWxqSr9
YsKg9XGEp0Mus3xxyD68Xg2tQcRBntxcVNm9PTlXXVePT2pMmwcidB8ave1OAxIUr3HslaFw0C6W
0FQhgpU0vsUirL0Mtg0drCoirqQTbqygJbAqlra1mHdSJpkoPA07p31BQqAjoKdXvXrscvLyyJ3M
1so81FnPDESMGaEtvj7iUSL31B37QuIqyVK5X1eChTBI4vpqHnOn7GnM7bLIjVPszgq/vwjdPrBj
XXbw1hLNWY87PhcElGWbiI2ERrz6CUZP42RXi/ggl6hrUHpURmX5vQxnhmNhL9YFc6ulh+T0oQx/
H+JlZxwwbI73XVxZ1Utahs7XzWtj71bRzV0TtHGljwp7jJ3oD/PapvWu5yOgxpgrcXYIYOj8Qbnx
OYS4Gv2pt61uj5s3HYO1SnELOVV6LCKUb3OZEDkK694jepgdlESO9byMjGSOGcXHpEseIqIieVhD
etWIsjqmYvqQVol5gH4C0Sjc6JhNEYE2TRHFH4maI5pgGZML25mvKtme42kYPnZRUfpD3t2axI6h
Ah/dmrFRfSF5fILvmogGtTpfNK6fzeh65wwLbY+HzjXSE8fiZ8xsbWCG2fCwOgOp6KtWHAZuqWYS
6WqhYzugeLH3jigPnJf345p8AAzCfpP057WrUD1l0fUaNxTRoX8mKQ3vZFUeM3y/O6iCHUQeii6m
vHNd68Yev/VtHBUohET2oca0vhtaXJdZMX7D/aauSEQKbye3QkShz8QoDgNJx9hAMzIaDogX3yJM
bwSQ0W4cse3gU8YVPY3xJWr09srpJxHQreoXdpUk+3JGEzBoUeyvXeN8TgYxHorRSj470NSnuV2W
oG4s7T4iZhDNQfQtRL10Y2n9g9Un80NJ7OlBr8EYyqROjtCLCukkra9ZLYTSldaw7x2LaBHicvct
Soh9hB3bt2LNPYwK9YGVFRc9ktxdSO3wOIogvcI5+VyZsvJHRI1BFLUoFLf4yaoiq7kr+y18FNGF
pY95ANqSeI6Y3xv4jzxs6B+0PLxY13Lyiq5uPKvXPloL+JSZzekpbiy0GLVMXs3Baj8Nq+2nRu+l
GcZXtBQNkoZh0bPLYsyGs1I9O35onWZnylUjo0+VpjdinrG8CmVxtGvTkSzVpZi1o8j04R5L8WQ/
5HixbxnIEHw06H2va0eovVklDixeaHe+kQ/p+45Icb/XDYKDsYiJUzlELcZSs+dqLKwMbS9T+oCv
Gs/ZON6mU2b448iyiNwxNzxnnpevTU1RDSIisU9Dn5RHjOnL5B56ltbsEx2hz37Dp828qpv6V6Np
JiIRprDeq3kY4tclJbbDI12nWVFyNPV0LRyrIwGT1SK8WCL5Bf7Xz3HpFocpIaUjbjSilEXFN8sm
hLmpOuAMpErMk/BRVGqBZY6DZ9YQCHrdmEHorvkBCCuBGkW4RJD7B3J0Z0hj7YUt9VGsCUm1hAcE
RdOfeq2R16kush2Ot/RcasnXsHPaXSLq5APRRsS0EGOYXIl2GQFfh9XcAVYZt00RPja5yBwPt417
Wcu8OhluvyetabzEaF/fo3PXHjLZ2S+isJJdlLmNvxYuVDRSOrYxA5IIwqrcdJyLfqXCpSJtve92
Ud/31zlC4ID3KfeVpi+Hdtu1yHLUXbGO5j5skMFpCFP5HYPxNo9lEiRLd5wwMQkvRI3MWQKBuoSq
vJvM5RkRvXVk9HS/tKK7s2cZT2DNBICaTv+klpQGUdcR9JnjhUT8uUN5ZZp4++v+NQSxC1Kt185A
gvHeGQdjo7DdgAmZ33uInG1qM6gHznKdIEm6WTV9vMLfnhIlPti7pJyFN3cpWwtnatBLERF2L5G3
TDge3TQl58ZoD4tGZj1Cmyt3oGqtJqEFrnBZif1cXvSZtDw1tcS/G9P94KDpypwqCypZZPxkROUe
mxnL7dKgitNHxOFA2HgX3eLLUpOnrmtm7w8GodV1R6hwWlR5SIa+IP4ySd0diabLrkHliHi0uQC+
xouq1a9zYz8WiV0FqzsNe72rE5/QI7zqUlZBXM7xnnTx+UT2w9cxW69yUlbPxpzn3jpZjZ8Lu7wR
dCaXYGhVUOpLup+SXmeathRaLdv1mhrJ0liWZN1FoNeaw3eGF8s9UWTUu0Z9WldUP6VjG0Gc9Z8E
iSsYTckbMRbiuUNzWryaiK1L1gDK40TG/pRlr4PK3f2MbDWqeddsdall6WKFuIuNEJw7pfSTOvyZ
yX/y9bxvb0M86H48Gt31JJ2Rwx1aQenRc2VYr7XbfJN9ku9zi4ZhnOVH1F3E92Rd8yF3eKu1la1H
DnD/2g5SENmfZjtJEfXsbopvKytP71wswhe6I9bLMeu5DXb2aShCZv6R3UWVGj86RKr4sjcfkgTW
YYyIDkhnh7qukvyzKJEeFIKYjgHqHIWJjczU1cp9x08tXGJg4VcKllX6o7l87mJigEdYIOTpfIYp
zrJAh9RARy1W4u+7ihu6wrV4sT3MJTes5uOP/CjIM9s+Q3wxlc77xrZ4LZq2B5RsFwpTMN4Ql7QZ
cm1urT5Mn9FGPDC+IRbLo2spqu5oDk6E3jlO68Dq8Omiaojlo2tlEyJo1XoAoYFcCUaH8LFREg8j
EMjaFAu/fDK6hh9V4qtVzqW1W3jOngCXuSGUpT+SZG0f7dlyPk1Zpz8P+vwlrcP+ZtVNlJYjOVZH
BOnmjVWoMTAQypVU1hpZhRWTeyVGN/ZCflBhrvXivnFc635Ck6z7VE2NFgMPog8Ilr92LQbMbaNG
PFOsOVs2d6sOdW1YbBl+1qA6Alqtgz8Ijnnc/qgVF4RovX4JQpg+dbg6PpdRc8qnmFCstIojdCDm
11x11kOJI/uLgTucsAapGFY1GK2LeqqQ6CRZDGs0W8v8Rc8dxIjV0D2sE8BTSPG8AsjPD26pbldV
nolW7+3dyHEwHw1tTVnOarS/hiRs+7Ho7Bu3t5KPVt3KK2NIrF1bTHlgJSazXVWv+a5t7AJ5qFnd
t6YEwVq4FddzJhwG5ZBfl0C3N5DojD+DtJS5W25KJ8kPkdHyAwL21O8BNgHh+FyHvlXaIbXSsABX
y5OPVLPsI0fc8JRPs/4A6R3iJ7GTC92a6HjDRp2actT+H3vnsSQ5cmbdVxmbPdqgxWI2EQiZIVKL
2sCyKqugAXeHcABP/59okmPNnp+kcU+z3nR3isgIAP6Je88tVrnRJeCR6U5fUxt2wN1ozDWZGJk6
RobNDZGZGv59XkVHWzLhz+rJKleTexNhjeygUMyrh36Z+jcTSvaXJ/S4D7uWHUlR9Fc3zdRL63gK
UX7XwjZz2JmU9Y1aRHW1vEaqr9uC9qHTzykb1mhNnzRE8RIJ55aRIeZxA/G6L+8Y7KC0Z7vhv2jU
OP57igmOnUA4cbKGgxtxI6qpX+HIQF/tlq5/wZOffYyBZpHZBsNTtTQYxjqIPeeqmfIPRFzNViUh
USn1MlWHYUCABP07DVeuWxrhqqt1/WYmEzELfOl+qnm8qjp6ggTdUITJ4XtTN+0tv6LY+v2S3qmG
krRqRtmv+nqsn4HwZ0hRA3unw7o8FW0nt3PdQ4lJAVoLY6m6laeEt9VWox8q11N4yJekXqFaKzdj
YQ2nullg9ttFA/kC/aYtnGR+DDGKtNcpzSYPgeZkSkw9yPhsioVaZNEM0n5AsCW6L8rNPBxSpKpS
u09tn/oljr5hJmdJdezDsjrCHzqPy101uZCMusLaMBABr0XgA8/RKaxILel8Z99nvvdmgycYCChJ
RbBn7Sis7yy/k9gEo5Ce8nFEn8ElrBCPhqmOfdiBgLwMqBxs2FR7GnuDITS7qcdJ9vQCljR2i+dn
8djPxpExijgorsl46J38JAoP5xSu/1+1at0fZlO6y0rl0NUB0YjnroyS/MNCbr2u3Uife+5HUhuW
xYv9Lgx/tqFI9/5Q37jQPcRLmavglSWUucl9ns4bdsDlFuvm8mlSWCNvEjdOeXVpA2HuoM4OxwU9
3IPAhPSeTW79qLXlHReR67VduyL2MosFm5XVgD3KrsdMk1AdyLLbTYiK10oVLRw4iZOS1/iCMaPe
9NMUQXmzig3irFtxLmeoUqrfDFVwMEQzxi2N+2Of5tFWQaX89JDs7yFkiVVS8mTCKhWSwdBmuzwl
QEO10GCdvPb5eLtMf68iY9xhELg6EPa+THS84F4glvQgE4Rtz3tpVZJSakhPJS3ttMJHqzdcN3Ir
ACxu5FzS33BRkrJQ5NlGIyLcRBXHeDIxpyMQQ6zaKKj3Bvax2NCcJI0G9c9sre/WhmnMKNJvXJPE
rVdwP4xr7yzzo9DZfphKRPIl3hkvbVCGpRpZfAWz4qcQvnvG1oFEWsgUmJjBvdvx4B9EsZ5BNq0X
hZtOlf3IoaPnh6w3o8s4peWmaHJ/X6IC2tiVyQOza1ngmdZ9GNbA4Du8Q+tBpJ9d0BRx0849I0lL
hpfSkCD+arPcWBUi5II170cK540FSodfo86z+sMQ3Yd0AtItxnDnepNlrloxfpkTB2uYm8thrhUW
CRrPfDV6PUrUhm3kzKKYSJXUj5nzfeLUzjbjbdBpN9M72RV3WRrG8yK/mqJ67wosazAtzHYzIBVv
VxBhNghJbKJkouRY5Pj7y25KgNZB1KNmtsy10cAl2yh4KgMWMnlq/aLhaumCHUrTYG0rNz+BvSjv
mT+YZjy40xBuRmGOl66n3gYmZsfyNv6ZUI0eIgkea9GsjNIiNH/qhhat6ItxX7v9EGtD2g9Fj4y2
FOpHn039MUAZuDJhFh6Za8VZNotDKHx2TDZAElISxoelzNJtmsvv9GuUYnOTz7G7FPWhGcSIrokY
mjeUJN2Kec/ZgSXzSin1nJNQsA5UH9xlvqPXclooHAl4SfQiofENhsLBNHyLLHnWFpTLrLBfG4NH
XjG67lb4KlxrzwnfsomtvYOmMo7McFxDR/Kel7ZEr7iU9h2Y2BNkjo9eBN1+7rIn5Vu/cGRR/81U
R00qmqestT+wJFUHZ2zcr87DS2WmyonBaL5O+Ft/CVEbmARw9PWY60HuGJMYkI/5RETMvQllJC3w
JIsw+TaStwBobBwVA4pZP0rLWtpVFSYJY6deazIc8GxQ/NcWPc7k7crBiR7JEiSjDohJ6/PnJQFM
FpX1xIpwD/hmqY52Qym55OlEq5PEfFQiOJeFJ66j71JYsxloV/ZS5jhV7KVqNmNYWUyRzUwg/vRD
ciEE/wv8yy87tR/douXhEebZMRJmeZw9DlfL0T+SUgzYLowy3Uz+4K4CQisQE03HJQ9KbnXrVXEk
rSurF6hcbrNA0YDXjW6IFsvHUeb1VHm55e1sj0o47WweCf6kRr0vWuwIo/xGdtWRcb25rnJhHsrU
OCdRR61TofMoZHAU1thvtYOoNij96ig8xn8yMrs1OV1yTWVqrxNXnlQ6PsBL+jLZj0Bymb1NNDUP
0hVNzGAmOKBGhYOABHBH78IAcamNKzynt9xyuzvYUSLWys/xJ6AVzkyRbvK2tvYIko1YeUN3aPrU
ZHLRkztSel9CJ9HDYJiM4RJNDkA7fytxA6MFIFIM71u+KnrnO/Y760mHXhn706zVuhha/dPrgvGJ
Zx8uUt9Ta1LEhqOSDKNMq8AzYrhngKYGc5Y8RzJlluU+8pszrLAOyI3jDjFunmjYBKmFIaoADnKU
nI9WtLTbMp/FZ4cD+sMj57JGD7EsP0rEVxN22NL4bP1aXQOzMvbsWjr0vEEwEXZSqFOA3GaN3q2A
AJGnR2W4BG+AxfxOncWtlYr6My+s8NpqJzkvfYZoOfd/pQptD15BoztKxtAPy+QmMEUD3axFbuqX
cPKGe9vO3OWiJjx6Kx3U7Y4pKKL0qHdEDHDD394EakGMhXWKhZ2DXsvRjG1zgfPYRQZ6sXKFjdHj
MNjnyfg8p94LFYL3JLEhblMJM5f7YN74qrNorsJXfYOIwsG2n1ITzXeXsYy2uuSznnANFcTloNyx
UTZXNOnGnbYpak5Vw2hV9mOGUTTqp23qq3aNF80fjm7D82fl90jSdmmip9uQCBW/ZhZGTVOj82lo
bijvdCu8NTIp9aqEK4FOhyEScqyD5mpAT7ebRZGsZ54LHwCLIueic898HvkBfhzKYXkbStZB3MYJ
QyMG1DcF9dydnUEMp4CrBxOx0P1OyyY/LUIIFXNgwfxTQ0rFhABoZdn9LVGmv1VCPGU+6tIPvqEj
Crm1h6LfixCfjzQmSdHKdrRZpbcIPTyY05M3iJ7hk1kKf0UbFvJJ4PGt7A4fAUDNNG5S+HMxM7X5
keycqVw73GibRU44ZoOOxnuyOaIpQWsRj474heypYZsnH2aDsh52m3nEkEnQphj0Ls0T+TClo/1W
FFTgsUd4Bv26Z913ssXJhuc3fOxw3FLxqrS9xyY4vhmIDY9OJpnL1EsUntVs9G+luLE3az3vbEFW
As1r5zx0YH4eI1x8pNmh7bozjAzeLabCY9+FI4Inh2HoZA/cpezq8d3V4L1takYsB5iDC25KzQIy
HjRTQfwYUVpcmPD3nCeka1Vs8+zZQ6ynPT7pmuzEXqVFPJXd/ZJ2LsKKWdibmwnz2VyC9Ai9o1w3
EEl+YS+0MHV2FGpAGrFqMGC6ZFGUIzEucvk2+F671Yjy47R1Ocy4pGKanXxjpl2xwwMIg47R6J1K
puAwarPf4CYvT8JC2Eplb5mndmn1C7FD/cRTFoJYZmh3TdZgwuOkNx5EKcXFm3UIQdNKN924iJ3u
TBePQ8lVYijdn0MUpO9Mb4l9bLV4NqnvTgqE3Xboqf4ZZwZMaYwM8gcayDBKMQ6yyyCGp6vPQx/9
MEbLIv+vTvZ+5vWxgQ7rHI3cGk5hZwSfAEyFcnzfTP500LM3Hn0jWMhuS/DGEdbERRMFa+bN6thl
0XA2VFCesCV9R6VhbUZAFVsWpZ8pDvq1fQMtJ2HBWNEidCyWan41yFzZAu/ONgJVycbgQt9lo+jW
o5rtAwAVZjZt2cw2g7aFrKMJ47FlBqvea6llzUV95JVLqFifLftZTT6UAqsb7sOgZQ5s4WaLsbWP
1eMEYy2eMw4bInBaIuKQqZ3IJ4q1x/qGGatFpdFmW6sM4VW3y8UrF/67mTx02Ciuum+YA4/la9TZ
707Kw9ozmk3ukiTHpOQzauAJRJAHY41kL+6MyoybwGi3tlW6e+3WKC2LxyUUtAogS9YRliO0c8vV
yXIHCZ58E50s7pGc7hPD3lNY9btxccdvxsQaxHaMd8dE7msuVMgQ9ciKGDmop3D4rKGDPuhBPgyt
Xc0rsw052q1bI4iz5Bo60Ywc1s4OsiFNDVfrF5G2w7lF775SPP9XOWswBj2R+94TIonsZzqNQkwH
Vcm333ex/1lb/4u1tY2jDtHIP5bDnPOuu/1DS/rH5fVfv++vy+sw/A15FvkiWCyIa0Ac/78qucj6
zf89twa929/kcc4fVHHmb0hbA0wXtovUncyJf2dL/SceDAnRJJY4LopkCxBDcAvJ/aNcfTARl3Lu
pgf8bMvZJDRz5xQacSlzb6Y0JnOjH9Mwyh88K5PjH96W/4/QxQ//BMDht3sYVywcjGhdXPPPAJwc
I4lXMnw/1EW7nIO0XLaG3dFYIaEPY4pXc99Lz8LOb/Vwpa3fW+ORq/3Uui1BtaiOJbV+Z/OwLH1a
wciaW8yzN0A1HPAyxsgBTUeUitVAV+TDcpfkcA43TXc7I4DGn6MAoQ2vktH/nLlTeRmzZvwZFCGW
EpnjxlMZOvVVAR/uURpzQFmSTLtQQ8OF4L1sccrNu2B0k2PrTbxvPrPaEx2817A2a8Sng9pwi4Cp
jJsB4i7YZaQsfubC09kDfk0H9YRTeTCO4ZRpC4I7n9LXmDopqY307vYri4s039RDOrEiIjPE+8jM
aG6RUuuIiACmliDjVrpmaXYv7YA2KEhDzZqXUyLctuVspY+a5nVrVmUteUIAjA+3NkAAk5GZ6XgH
y719ZWplUfA+MU5qdr68SQbhg7FemTNVgsZnOB1bOlwc6rfSt9jwg2UBQemvZMPSYJnTKwP4dtMi
oId/HsyS51Yqw/eFHYCxacAHb3Qjg93gL3HPvzGpGdUPr5DjJQgLGorSTJ195TvWw5Lbbawx8ryr
6gFNWLWrVW2eQehXuzDaCjWStzdWvrxjkLuVrhT3xIfbXDAC43N/078bc8S4kDTPl1J45TsxfEw+
Cb+FvkIYbJ+X3s9bG/8IWvPWz0wyZnUQbTOc/IceFdoHi3isRlnWkpaomkMeNf0Rt9AedWb1CDa7
fBgnmCL0NGnA/EXirNA+HTmpZtH8HDRqVCsjirrvHuuVx7rMgpjRQk6H5dcbU/dElpsV6ieBFjNb
8uqlHRmcSVj7Ozji0Q+fnEsidhNV3MPrlp+w2T1rPQkUYdEccuRyWBvHJvP5rtlszAfoYDPlKcNc
x66eC2JyP3wwDSTXueWPHEH8qx9yU7nacbcJE5cD6E+yVCX8WeXonwl7js+FHMhNhIycZUmW9p9q
wVOyAFBlguquSqHvRjfzrlXZVVtnXNiB+2nCAiB1ywMRfz67pMD6oLYLL1bQkDZq6/4AZ7Wi/5uj
NUza7rkb2vTqaK/dl07t3GnEdhfm+yhmCTVgzge8lnFl8S6brPjgE6120zQ4dwiwqv3QNOICwqr6
IdLeT9Yk0wfHXDnLPabI8VT32FQgHwNySgRF6Fz0NQs0w+GxAkv0DCzIeYgW0y8IKuG2ryaVGHh3
8/xmD3GuA6KK04gl921C0DCuIBebZ1GO+ZnwOvk8lIO+baLIhijTZmNMefTRunPxqka/v6OCiYzN
NATFkbpzsbcketT3KJiSg1gmvesX1vRmEYXIKkbvlzcq/BqBP79NBVvmNLphXgQKBDZyUHWbOBky
kMcRC13SJA92JO5mz+T0j3Abw2X/GhrGuYDZqr2ZsoJrPNESNdCNO5U3WFQyc4qXyZffRQJzwmTf
DkyW5Ei/cfVD0XrykpXhjMRwcB6SWc/vQ5svP7zEGh94Q5Lr1IrhbQlmVv2uJvih6/u4radiryuX
YtgtSOyuh7Z8ETk4ez527hZDy20UlOLLIdlyt4R4oVdTYjoMLyhNZK36+8AaGxuD7MxcxUacHHae
/WuxiTlfwTkYuJTnNo5s61kwvj1nSX1PaRRdCBdN3+2Q+3/xIrmdnNkYV7Az2I/npXmO+jK64D6w
H8g+QdqEEzg6ta3FhqiarpUciPm1uFGPDF0xSBHLUK8RNUyHvLTSo2iLJk5Dxg+8Gc15YG0AA4dH
TVM1d4bvFWxcXOvJn1EVs3g2CMmU/vwjK/REnIsR0sgMXVHsu7mT32n6NhNhyUfOkojA7Nb+Vgzo
gCrGWDvp5vkzW6PuMWVhdWFcgSl9kAsepbmUL10zRJfJQ+01dsL4ZONlcqKx2q6AWKOmxLd8Iql6
/rp1dUBSUuntm8bTRyOtx13CcPsy9so52pXdbMNcylfNRgf0ypzEszsuOwcB9QMnm/jwo6H9HvZN
8GvOb40v0HqkLVH6pRGnbNx8idALiK1uw+Funjovpr3pydvlda4jEICH0Cpxkpgdhj5Rh1a1Hm3t
VGt/QaCO8EC+JiTYbJjit4fQqwkW9fyi/NW4lsQUM8q3MG18f4Nhpv7upGm4a0BRnAcrCe/GsDFW
FXXsIQM7FA2lDaTL5nwjT6OvLr1rRtcirLtzCZVpM7DkOgKD789JD5urcEvvoisEa8bYDG+gI2Hx
i2gEzOEi7EKepIcHkXbhaTGi+afpDNWAcCnnuI54j+8q3RvPWeb5HzJvefQwx3NZvMBpvz20ac8X
HFqb3gzba1CS+JubCSuhZkS2HsLDglblhbugb3+/JnROnig8EzYsGYAElDqfpbmIrZk7n+7QtWcj
bbynkDT0lWVOzulmSOUxONs4DhZznSYNuREe053KsXbktK5HRrkxHYJ9HsK+OKRY0QkMaUgzTG3n
JQj7cYP9qdpK2Xo7g7E04yEY+0xk7JhUhS42WkccCABA7EGSNPNkBR6E6eFCtz1GT5ZXQFqASrU1
M2U9e0mRuesaldJ9mUisVjZ5AA9V2gQ7nXHIatM5hYnSfOy1a56laZ1715+OUW+HG4t58s9syMFZ
GUiB9kkv2VcbBSOhihhUcnm7e3av4r6cBaihzLb3k+M1a2wFxlrjylt2iaWCN2oBG/BARD7s4DnB
r7A2ho+6Db0t09F3T1bBxiiiB8dWHdrm1rz1Szrs9jaPPBQOfZFByVPGwW9s0sEh4ZLYG8CY+ZEL
VcsVIbr6aA9MQeCV38304VyaSBnrovTuE2pTiGcc1gMsTEbUoSIV2ZEL9QfRbsPFSQcZd1K9Nqaq
r6MeXcGY0HR3nHfNdnSHMq7gkW0NZmx7cE7hNbACCMJmkH9QoPnsawo2QHJO9ixaknWalZDZAktZ
5cGrUmvNlV3dM9oaM0j+U8Eq2mwpX5ngbxgL60df3cBFi6MPvjk3176UmvvE8RUXRxR8UfhmG7ao
9q40eayEgU0xjYPjhruyTf00kvD6YpZt9QJpMNy6aceY2EukvKILjSCe+lQrqZcczEAM9Qr/tmOu
Stbz4yock0MOVGyJp9QpjkVPDscqHy2IU3katftaIkX96dRF0LHYL/uZbCXWAkTWjExkpz5URw8P
HiF9nXN2XTVfIqmsGLQ56bkpir+s0QuTjD59X/zwrnD959THZTbY+QWOksVf6R5rxi7f8gCfJtCh
ai0THyRGUPvv6D3tw2wEzWrUmRPfkjo3wlk+VTZ/zwPjIRRsMaNs9DG5EG/Uydxct32jd6gn3HUJ
wmeiRbjLK4tkiSJ94WMh2WIO3XXURUPsVBQ3RpVfR2Igz8jUPqzOBXQ/MjNLy7LCxBIq/DIVb0wN
VKqqmdSGDpvKNnCbY5oBGGqGcEuu03wM8/Gaza79Cl+iYoM8Ec5l+o1CVmCj6TcmLLBsJW5wNfab
DB/QlGrgQYXzMRv2tCNIQazrKISj5gXXySdoV/hNeW64/D6xZG7swEue677z94Kx3NGzO/OMEzeP
x5T51BIqjjmSWskhCMLt3PXLWgBUg+8OhkywrL5ACeVkB2559Uz+uCKsNuRG1/QJQvVrn1XO6p+3
hv+3LYVp45AG5zqBDyXn1jj+wQKRJS4DwyHMD0VNoA98liA5qiXkKe0Npf/kmg0dKbVUw5GNP/Wf
/3J667+3gNCN+6YNMCe8ARp+92f84ZcvDMFZTYv8YE2t+rEUqjmhu8jwVEXl4z//VUjU//yrHAjR
mNLpfsPA+9Pfmcu88CcMVgdL2LLZcI/MFfq4tP35z3/P/7W1eAjQA+Y+Fkh0CwD737+hZQuQWZX4
XgeCR7dZqNyDP2DFqhA+30tVEm6IIshE+uLWn4RG0VHrJc2uRpLdmusk49X9/pL+Mz/6F/MjPAw3
6PM/nh89tUOf/df6UyHLboDH/wWvcPj6n//+67f+zUkVkmbMbNT3fSIauV/+d4IUOr9B9gX8xEcO
NP/v5ki/gXQGNEOQCzx778YX+ZuP6gYlCU1o98BqPPtmp/g33A9edJsc/cH8QIChZ+KkCviZXN/O
n6HNHPxlwwqn3U9jYOlNlAHoWKNqjHYZ6WZbjmMWJQ0774cod4iCY/eUX7BGt/FYZZitlDNYRI3l
ztvvRNzWt5unsfOTb1zj8E458sQeFpu3F+qWhhLxHt3lpM7F1GXttNZTSV5db0zsEDIHfNYpJFzr
ArmArDskPs5xWGRF0gTjf/Qs80w+BK7ijK5pLJpfXY1WdxVEs7stjc69kso23Zc8l6iBJxRypjSA
/ibzTdDoeygbDCdjLIs4DEU/rNizbahErHsbdt5QOw6YAYK5oik3QRWyYPkwa15UjFy4/8lvoWNV
boPcj6q5c1ahIB6eH1zNm2gmB2tKSLVfs8BB3JrDStjn5B4EG2eBoJTzge+9xJvuscZjOrBgV30t
vsdkrLR09yYWI+Dn8srecFF2b402y8eoNMlpmfLsqoekeRYd9WzfqXEGijWlHlhPGylHkmGL5+yq
rGRtWhJ3+ZKJ8AERybwhopA3srASZFKmk0PXgmoZMLpZxDcrDcP7pGo1copFmVacQI5kfVPpdhtQ
uaMECA5kf4lracno3uPsyU4F08I9tg6xhVFLqpSfy92SZfqU4eXaTtlIz0aZ3j5ZlgwfDJKRLkTo
wrInAmRfWymSkYSaNWkJgCGtEAJjRZAo/Xh7RbQzGk8LxvyNHxTW0e2AEsiqHFwWTrbX7fFR9PzN
lrN1GmQTeqnlh2IC/wbIA4hqtEjPRzIDkNgyaqBS2AQgLSL7fZgEZjqerdGTDRbyYXIWVG/RpAB4
eKPzDeZH1yHMMTwba4qhP8OlDIH7WUjDhROklBQmoJwJDc0+CWS/oH6b7ZlwmcEgT80gi1Qj6dg4
5hTizesog/tD5oEMQLsjhkfGxF55Yo0S3YsQavzKUr7/0oABOWedYep07VSuYa5CktMWj+xEtTjM
l2amEiujKHBAr5CLk/03e/gFP+QIFszoIy3XmfCdhM/H0CPrBGeQN4lSyJiQ4CubtUarDFTyvhjM
AwzzOX9D5hb1R6IfPIX22jbfgyQ1SPtUrOXL5ExG1HiXj333lsn6whQjPeEkzaMfBWBQdju2U7cg
wBhOBk0coCR68Rwz37KMRlIEQ3GTKBBqJuPIVe+Y1QEwkCZ3jUWyEWXtuSsyyTCtfywGizViJWx/
FRQ2QWQl19Ar4IzU33N7G89N6iS7VqlF3fqJWqw5L0UMbEuyBJ/SrdH/vnZteA372cyRHMPlHeIZ
1didgaL1QFeOGDdqHtuFvOKiwxuKRnodhe101MSNbUh+qDZun6G2b6edNlzjy1t40lSJokJddlNo
Fbs5t5n2CqYA3Tw99QuaiyDVO9o679VSal4ViEZXQCPbK3vHR3T3iFoVWGCji7I4dZkHjFVCUSl8
lPYN/W3hNXcmi/SfxRxczMVOPjjX9Z4w+gqh7Rhei7HtEEdR+LpVN95bAzS2W38BYIEZtusvl1yG
865y6fSzjBHfbJVYeAy+y4ITt86VagV97vJB5BflYRVcF6GQRpcJwjZwf6XTqp1MqFwLQsDPSiX6
6nc3x2fXfo942u6aHOJnDn122yIgpAnE7tRaNlD5ts3X1Tga1Mu5dYf1gUi8IP3WkukXM5oG0RrM
TWwztlhVtNdvGrvn3iRW96UYVM+FoY1dqqZfg/JJV8yKedMrbT2P5Bh8c0rPqJlE3ZI+C7fG+kYM
ymEg/azcO7Xr3TUSwiDbZeb3Ir1Ftw9kpYaJQRdgGMHDgJhzlxPgiUwIcmjvuTVXhb8EFyY+zIDR
+efFJpR5/xh1MnmNpHej6NfJhrM3YxIfyu9Ne1tTQrAt30VQ1VuL1glpjh1u666Pdu0yig9kLeYb
unxj049o9Fqw2pcmtEmVRHGxr506fMDT0pw7fzKuXZi+BqmszbUVyWFL5+aTO5tY04qBe2kdvalI
T1FZhxFKhpvzoM+HYF3aCOtX0keyy1hvxpR0MzfZlnNxEhr8pc6YaaGBzHdBi0IqEAEhVypFIs2q
gvH0YLz2wuzeuOIAluYDZFvTUY9+UrQPxP+aZMeUTRz2t/Ky4jJw9dac7G49WdmNvEPvPTKIOSgo
gj+dzq1/Doz2Yz9zCC5DkobjVpFucWwCTux1AesuBg5svbTZMD5mURl+sSSFuYh0/yQT+5sRDb+A
E6bvVPSM0ubGZM7jvZCFaaBE7Up2rai/Rovn3DLL5CVV7m5yim+JP/wIbentltYlXjfBHejk8/s8
zlHcw6+Mg0B9yrrCiOGgisqmcqMsW/xMEyZLZWG0sR06xX60h6Zd2ws42sVPLPDU/s2CrMuHxvIv
xMA1p3qBiAx/kZG6DQShX2sCAMSms+rlks6QnEXdfQ1F9szck1KK+iJfHJQ0zljtAyLSY499r1zR
dfbH0rsJ8eihsU0qRquccjhOkvzTLstnw/bb2NHS/JbZoDExeQU/laUeh9H6lTDoYEwpGd0FH/hB
zZh5OXALhgLHaE6WkzBv6jJHfrQp8ylALEdNRiPPTiE2pBqWcZiOzr6Y5hpNnjh4MwLJwrdecj2X
p4prHtOdb20trAA7u+iztTCLnRorcWz76cldQJdbSwZfbfSAYBfLV0/9ue6doX1CAQtgslt4r5Pa
mWNI5uPG88nGm5uu3k5Di47ECH8kqf1u4d/6MKXnXIn4rtaArx6k1XNdeT9qGwFfjkl+I7Jc3KHi
be8Gaf8Mas2awPrCxSGzeOAlrS2c3ftQAKLqXOGiiYBlNYZ+tqNiCR4tY05Ztutiy6h3uiL0S+5V
0iLKauO2Urs8My/Z3DEmCQSXqBWm6BAmOO4WyUWOKF4mVDyPyY1UIdAYwbnCLvo4ZKydig7i0ujz
16WkfHOknwzZ+XHnL699ke9uxaa0mitmhhSbZHSjjfwCsrGXNmuMzDCvie6ut/UaIQ/dWnUI0GCD
q4qZx9JNzxqhhLD6a280Z6o1Mup9PIEYkCYMDQNLvHFAHFhwm3shdNbYc3KPmUXgeqcGvMHJr2Wz
zny1sufA6/AH18u9rZryL4Ee/2n8/kXjZ9Op0f//48bvMWu/fv7Xoas+m68/tn1//ca/tX3Wb/Tw
iERhZPjI+v6QlxZYv0GRYf6NQAA+Hg3hH+g6LCZBbtD7A8C5dYR/bftcfpzrmdSJAPP+LcDOX1q6
P7Z8MH9CB3gGr4HX5fxZTCAV2+w6YvZnBB3BDXPWPkWl3eebNCRAMLe9d12P47kyBALNQbxXRAUe
TM0ipB0YfNVLVsaCQ+EhGuvmvhrMVx5+KWdyJQsIYTqMWZQ7B2Vx77sM97bFzCAM+/dFVCPeqMm6
x/6pPonHPGOkOUNK27HFSOJeYbYddI3UexxC6qj812AO+aXmfVxLeOZAMFq5Mg3EQpNn6xXa8rs2
Mu99i24sUvqzndhYe6XazC6bZNXnvzp2wDGQi3kTtOElcKj08gBDUdr8ikoG99bIQ8BDRJkPW9cu
z8O83Lv4esyUr1KFsZqy/JMCkKcKw2ivL4GTWT/awH+Xc7fFikh2a505b4lEeKkwvWmTMJ62SxbM
AexXe+e9HKvPgEiDLemGj6Yqz7d3oK/JBHHL6ldxw7R3Kc46h5z32Kl1icUUSABj6ufU0Y8hIrA1
juAUdVD0A7JetLud0mk6wxW328NyS8Y2dMcbY5pr18uPdjbYDL6nZz+bH7Vw3zOnPKZT9alk8UmD
cQkyR/kr3+2of8sjMj6syvO9W/FZYSjeyuj/sXcmy3EbW9d9lf8F4ACQiW5aqJZFFrtSidQEQVMW
+ibRA0//L1CWP4n2lcJz34Hs8BVZDYDMPOfsvTbSP02mV7PEKj62EQYFE2GHWfJFmRGngwDZIQ5P
HakaeZN+t8TItzjKSG1dvssof+mMibnTAgJtIY35y2vhop6wvc53iOnuWnPYEUp9ZGHOIYTqx8op
Nb9Poy8CPujGMuKbNB2PVGbW3iUNAG4vn5A57oW8YDLbWztbx57QyJfkhfrYTYAwyvmaeN2rcpov
tWS3i6zxnFMGjFNBUyOq23VQxi9FT7B5Zo6vbjkfezOMAaPhuk6V8xSP+u+uErfeEBu+PRjbicyE
2SIjWI39mfpyH8dVy40q9iQtAGTR3czHbAHxDdGKXU74QAauJ3wcAQCKO4HTVgt8IWcc3OiXIjRe
PYEKNR/Rf7VhdmU4/VnVHZnC2ZdcZ1yos6eusaaeRUDHm8CKapuZEClnW4t8w4hjXIF870Zhn+DS
PJUEcW5taZ0qSzpbAtzOgs8JbxrJxyDsJ2QR056wDXKrjPGEYLX6lBAL7jtJNK1rLejvBUj6dTaG
yG6VpF4AbbxXztQzrrP6Q5Mjgx97TbtNoynbqLnKbwutmhg9Zf1VHinqRi0Tr63RfJr62r423LSC
4zeWsZLrmqNJsiaFStDvmYeXwKEgBXVlZvYukaq4YK254IaHujfLBnxObsa4MIOTLNJPtYBpnY7Z
ZozAyM0iXlftVG8UoSjGmgIafUA81uGVW7bISR11onN0VyA52lDMXUrNCP2msyx82NbLWEz1a1GY
hFprSbRBlLJycaOvqkVbnS82LRyqwZ3R4icg1FatcCe+gr4gMEHlpGL3um+PpoFBHCs77wLC4Mxt
qAIOaaRruLdSd7rdaHLTTanz5Gj2qWO0dQj6+os21Edpp7+SZb1r3LmAh9Ga25JHH+7a+6hEOtKy
w+NfYgynw0Pl3yLyHE+xpW7mwLB/0eln5/mhTbi8GuxidEbQWGiFv+MtYX3qCntyin249O4KAwtL
Br7aFizo322md1/3oe+5Su9nCrwS5Fdc0SYYWCBT715pQG0vkqAqYROkL17Aargsx4kxTL4Ac1Qe
+Dd9+/PXXAgvP+6IvCb0Elsgf17+yf//3SghFIUXuQ0j4qm1oo3V9OcSK5+vCVSkGkOm5fOSmHSs
G1a3n7+0gK7799cmCUlH2wdB7z3GmaCvYQZyUuwJGhEYb3P3DuM/8eeNfkzKJN3r3vg6NGO/TYe+
v0qYKcKYhSvBjOx1AUaFxXzsQkKgZ2HtPY9gRUptLIXDcSCogwxEoKiwB+hyJDf0J7e51T+MeXjR
rYiSbpSgqzKNsXfp7Symq88hnWdfuiwPP/+k/3ALoWDUTctAKgzY7d2FNXFq5SUUrD1W360s9Tvd
m++ou9QvvlHrn75RaYjlaMVgynqfzegNhotVZrlXseMdQJTeTUYsNzqS7VVhe8maIuOmRXx9n/XT
HRbo/D4K2UPlHH5RPevyclRJaKXgFRiPIY5fRHzdWfPsk6j7XeSy3JMAkPthuARPjeb4FFp0Awk9
qzZjPMXHTq+bhyIdL2PNts8oVF61sUtOEq3hIy3RL0GM4KFIyThbLB87cIGQGuaLG3bbuYXgOVZi
H03WPorgC5AWTpB5NR5TRAMYteY7ZHtiZZr8bs/VPtVLcpNjcMb6+QVb7vr3T4VcQG8GYkbTct9d
sBkltZKgRfYzTfflODGysllLy04bxP7nr/V+wrY89UxCJFeLngFUtx+fwNqEJoTwqdhbaf8gm/gK
2tIvFsy3J+nd53Fsw5RMWwzYv2/kye+e8jhSSGh0vdiXKO23TYwnSgYzk0PzlWJ+2rVIZ1NT7jFy
n3AuRRunyK60MfiIauh31+6J48npBrlZIvZ9wiYeeaxO1ZTfAFL+MtuD2Dgkbu2Z68+rxBLDCr15
c53FNr6y6oMLuHiF2TY8IPCi4MNhsAJ4Tu6Ox6DFrHHyCE+Zu26EBa2b8Rer4BZUcXqDk4SmQjj5
rp1wQMUMO1pGxZSGfluvtw9lgWcAUfwvIh0XzNf7G4Br4dHPYB1G62z+eFEIJmxHwimKvZFRKPQM
QP247TjBU3PeoDVsV5iOEloB7im3QOUGTc3swchv24R7OUgR39kF2QkBzoXWhlSJVu5pSCqxdpE5
rNLePgWdY/tYDzF4mMnaqlmJKgYSayeZLro5vGLNXKE/fhwFp0NP8YFrbdylkX6ZOIitqiCqdkz5
d141PISWDXii5v6U1YI4sntISppM1qRK0u+w5ouHJvXm5zfuPzwk7BnL/+CSU++9+46GEH5AO/TF
fnCLNUccTHMDb0dCzg6q8BdXxDDIHHh/SWh6CpY1sGXu355JJcUkmMgV+9psio1B2Cn5dclVwE7l
GVwfnC20L1GegtFgmUoSToBhdmOnHAAJV7Hx8niVH+e92nhwtFcxUW1Mst3fm9S41ug+Z17eEIXJ
aX8s8HqIqnmFCfYwZsDMnWUz5jYLRfqCLo9TKhCfZEZS1BXrBJiXz3EVrl8C0pBL+lZeznIUjG/4
i16dXtm07f0E6MG2Crp2lWGSO4wurNalCAoKWrdDm5awjYZz3FJIuvCd/FlR6lnzcK5xFwI+9Fae
6M9mCsZHi69Qa6iV4XSgagDBLP+i5fyXoF9uyKrrtwZNuM3yGDWjhV99ONvhUkAQxcbzRD5wpjgt
6UFyM6rUXTsVf5uwjyeFTdQviFa4Rtz5WqOrHBiE+EkW38SCmoUhIVtGJp+SqH9ArWv7AtdwT9CB
1idXjKbUqg55gMEXXlEU7xh7FUhuem5Mng4bDxERVJ+iZiiuUsM69U2/Rhw1MYscdozjYkTCNaml
nOyzVj4xtvrVfmz/w+PNWQdtP1EW3FH6O7FBNgkkahJGODLw16LpHxqdfa+nzII4kqyX89dbqV22
ngGjkpPe2zNfRAQrDs2wUgk/Bih6nbZFsvFSb+2iynWQUoXKN023YMLWTXsctRoFGqp2wLbxRhVZ
+EqWq3dT1YxI5pB9EeQRwZ+s5f7sQODXWGOSdrr0guOWXsP/sPW488cQU3rmcrIOKQzZDyOa5H4S
csx2ku7c9qygtdk+1C4lqddlN33XPUiri3dlRipoXKcojIb5mEcDE+scDTIQkiUF49Um32ZbM5Zy
qA72aWyfejYRiszuLAALL6f5Fjv91/31vw7brzpsgjLiu1X2b0TJ0x/9y+cfJBXm1x/5s7dGi+w3
1kA6WISlewadsr80FVQNP7TTdAd7rs1dvFCrOfZ/U1EQ4sVdD9jQldyJHEn/jYoCN9CPy7Ju48zh
ZfDoEE7BM/WugIhaOfZFXYkbJ2icyzRI6zAJQ6tZtvCkTRGrwXqsyitkTMpYlYYCa4UNkgMhWunO
bNQ1LbTOfLKiOWWNyuroSMNBSN+sFNSSrqbvIXrZP7VpXq/bcJpXUTWZow+wug9XFTFfaxRlRb/D
jmk8dJCSnos+6G/n2qOv7GrF0GG+q9l1IcwN2ziX6d6pEwDTdQp/zammdmd7vEU8wQnG1RBvJWqJ
SYx3ciI4YUvM0hDuEXXM0H7SRP89AZA4rbIpTT8rhJq3pC32YJeGfLwNghKZMkMAPnteEUcMDipO
nUM51XLezgYnnF0zMTwGm8J58gr20oQ1xFLTISQniQ2brGisNrxBjssBY/9VqfJc3JtuVd57Mgkf
5iTtb1WG8C1h/11Dv3aJy2zKfpcMtbNfshaUn8hyDvfx2GIzcgmgXWsS5k11I1LzAzjN1pnxs3/F
VAeGFXes0WYonB0CtjTEHkl7keqecDLmVTAAxpP4ysJuJyjYEgs561QVQu31KcZdotI2MaVUNn5s
KvCW4gEkP01ItGvMfy1c2SM9pp64nQ2ivtpDs4dNdVth9whXHQu0TT6oFiXBbWBM2rYH+NUMvtW0
AmmX6sgTvW50rWeqjO3HKfd6MxjB0ayjLIB/1vTLjePM+xn5KUaKkd7ACuP1QJembbuu0k/GlCct
OJG6aQCI5qt0MIfGeArRjpnzM9Pwqag/t4Nq85we6jxnwf3bU/zfgvfrBW/h1/7vkcLpj+H/7V/y
CgXNj8mDrHvLT36bKei/2djw/poNfANym79Z+ANNnIGu+ArE/WuiYP0mWJwwxjmo0pBLcZ78NlEw
fyN+h78uiMFBaab/q9zBv9Vvy6SXkptagXehvxcuSg2M1ALA3aeFhXuLMeuKjvXluy/l7mup9n1r
6G8HluVFaHnhR+RzEjD0Yz3Slr1WwRef95gN8KY7DdZkp3d8jDbt5ucv9beOEC8l+VoWrqmjW+Ld
S5V5MKqEvG1kcTFlDrb4o2kK2H1lBYA2jFu0TLXGQc2SWKQx1P385f/2dboLlHgpvUmGhHL+bj8h
s5ckFRvBRVIMZzN3Prq4An7+Esuv+LEa5iXQA0JW4LqhpP3xy6xrber0wFB7yxjOROFeAE2BADJB
++iz+uPnLwYJ5u8vJ9G0WtKmpQA7fSlsviu+RaiwHHhNs8fZpq4wtVHA4sTKKWyDnJmK/EAOg8pJ
HVYwFixRQrVUmYf8B6ITe15DAiwz2hB8QZS46QFcuZeT497D5QTbyKS2abyEEl0ZFbCoyFvViWce
TBJcfzcTaAp90+JrcdGOLIiny9RQB2E/7BYACA6RSMFRE6gf1x3kkwvz1/o6tsMhXAnTIU5QKi8/
24j9P8bTQnChWXcPWsO6teARPdioo1a9rHNGNwixu74gTTAneBtjDkhZ3VLbvpvnA76Fmy7R+q3I
8y/SyR7KWL7as3sP7yv34TfmV5U+fgoxc/ESCRlAxDivcoHAgNgiGDMLxaQuiKpqkuGPOvIUR9/o
tprI5ow9qMPSzLsN+Qz2aRzF4gGygyv2tIujGWCSIoQN8AsrDAD9H8LWvPNYNBj0jSRB/qLCc2vL
zO/c1NdJL1475dLIH4J+j/Mx2CT6GN0UzSINCCiY3Gk4WjhW0w3hiCB2w2EKvUPrJt24jQF6nJVD
UzLi8OUDQnMQLySJfiwqIzCACNe1/UFi1v8YpX19W5QGvwdErXkujbQ/kj3X7TlFNnQYapDPaEDA
Q+cAYMqMIHoTrcMWwT63SI6BH3j35CdDAflg6swtAcL6hXQm8FG9AmsbxWb3DGNYMRDQJ8pceBNn
ukEzQc+lsQpskHaRshcjKQj/w4wk9BqVTX1fzUV9l9fNdeBN4hk7SXuWnUj3SouMG/Iy7X1ecC+o
mVhhsFTjrsjFc5TW1sTcpgtJwBLjnmaWd6/bRABoAhnWHGrlXZdNa7Ppphs8pBVyjyrTt0SKoeuw
rZBgY7uCTTRa8a72ZHfE+oLoYo7su9hptkEgkFoErQNq3whxraXRgR/7OPZLZmawnDOH+2pKPyQG
hzBqUW0n84IwbSAYqzjqG4Ry4XCvBYOxM0Wsk9BRIaHL0QJZVaOOE2i2bKWHVnmbT+wb3NGm7a60
INTvRaCmlwb3jp/x0Fz3ICGPQPLMHcrGaG2jn6QPkBfpFh+Ss1a64tVC5GY8L9g7iWYeg21QRdPV
qLnBM8BO0M1u6EGMCYbjmCSJ75Td4Nt4ondND2Q8T3NtZUpQUTLoRj+3Um8l7GyANheRpeoJdxsk
tncpS+AaeRoXa9uJ4ASLj54xM41sW/0hRke5N1F5OlxXzc3Cx7TUJS0DvmkRz3DQSWTuQcatZqkx
IRz6dK1cI/LtObnRGlXdJwrsRqHmz3HoAguMdBLR3SDsD4FGWpmh6ffjBLZ6LEOw5PgaS7pRuznl
14aBrT7U5JuBoW4GCLbU9PSDS/FCDjeUZeSbm2bcqioUZ8uqSOE1UmzMhdM3d51WiRfWbfcQ54PY
6QbomLGPzE0UdVwhS1bzKcjSFntpUE0fSsPNrlmQZvwQHudi03quy6FZAd7XVoMblH5WBea60aPr
0IXexAawynudJlEYIszOcqM4Nbl7yHrzQ5pjakWkVvgh/h8JaQkIkRasAziPN2GQ/kFATkJfptk4
nSlfOl1W1AOiv61kAyLRynj2WBLs23hKxmuiMrODnZs1vOI4XZfDPDwxqAdNRroeKwmeMdqhNg8Q
FPwx+eIlWvbRQCJ1DpxZ3os5sXHyoLo2shyZOFBaYmzR1mxsDFY8J/b4mYKBASWtBb5mcu+wf12s
CAjl5GEP9FWddb4BHZCKgNUjcxVF1+zI64xYX0Vrfe5v88bV9sAXEBoo59UxRNiueo/rrgIrObiJ
65yzZjR2hRXD1zOBnzj9FEPxliZtOA9oX1yWx3LsUHm3lnVrx0a6j7Qw/ORam5xk2R0AP77+Pho/
GKxca7ARLirWKTsLNzR8tB+4X7U2NR+lsjf2kOcfW1Sgn8bejk52bc8fm0KsyZwDyZ1UdX3qjKrd
pnnCnTc5yR4tQU3WGDcZm+cXsF+gpFGWbrF+Nwf2x+HQJyjWPIXB0T62Rk4Btjazpvt6rvjvkP+L
Qz5TLZNDzf8+5B9fiublh6CMP3/kz9O9J3+zOPHhx+CUBDNkaVf8lTeL68Pi/LQcsN/O8f/X5ODc
9q2pYZO+gwwa7CEnOqoE4181NeS7EyJpPR60VfLSbXiAJvaVH49sKmgZdYSjfczNymUTJ5wTSinj
V3TnXaNVreJABtxjoM4UZXAqAcZafm3pWg2SFumg8ZiVSueM10APq0GezyOQpb0bdAZNf9GzvTsK
fuopjSQDu21e9wQRnlo9jSOIfSaAKV82mNTDbdtkuX3dS9W8MjC9b2XskC1oao4vI9vBM+9507ZR
IUiueXpEIETUNs3lmDRrzyh0xTJoJvPORPqoXxejkVnI/HSWQKeGErPPFOe0u4Q42cdaBd5zk80C
K2ejuoVN2ifVEaNfFGzKyXsig1KWvMRkz5vRy0x0yI6jF2AIyB5YqP3LQoQx2XEGRO/l8CnuZXI3
W62zxZdtoc9eBBqI6cHvliKCnNuWWrVL5zw70FSJPoFcVk9mI8yScgPpfem5r9k4nVxQsQA003w6
8EdAe9MWt+Ty6kx9gYy3ifD8cSGOoYb1QBMlRQQiHMLsuh3QtDIV4ci8KruSdQIW/bQC0drvQZjm
d53RNRccbsGBFjR7F0SBe5hL05WGjRn6dWyOGkEjWryHqRF/5n6w7unA9GID5kW7jXKiM0fLrvdN
ORrXQ9AW52h2YuACHa7nWTo+DFLM1dJtzRtp9eZHrczgltrKFLelJDaVMxBBTnTZDn1swNdtralH
uCzZX82i22gR5oNBC8atIAB+D9wAXulEAvEn+MsVLvpM26lYzQci1uZXPTedQ9QY1SMYw+DUaaq8
LtmrAULN2nQ7drMNf2s79rI1ORV9+yeLr+yjG1wgVdX58dcEZfVnnnLVhLTq86AZMsZTXyOXzVp7
wM/hDqSZDlmDEVYnw1V/fVsm/ltRf7Gi0tGwWQP/94p6+uP3+qVJX35QYX79oW9rKv0P1ktJYJhl
s4Iuv++vNZUmsoW+xCZNyBPfyzAFzWFhCpe8Is95aw5/W2Kl/m+WVNNd2gbfFd10m6n1DBrXDkU3
q/xS939XBWeiIw4iiPprhPSE/t3MaW0ud6CQDFM4UDuxnKCLxH0QYcrXXMxhcTqcLbe2iVltg8cs
dxdlIW//BiWzfYud3r4eqXTlqkWw6ZsNkmFcOrW2Lea4e+I8lp9q11HJuseVsfVaNz6ZoyswT9cc
cap+BoluRI1vTZY4tYSt+IGjq63eu/ldmurFHfTV7gGEO2GI8RSmFxaI4UpqdFRXY20XT0BLggvI
VI2QIZR6D9gC8wfmMIBs0vnQuMa4w00f3tnKmh90I6sfcKIHWzxS9i1aPraFQSCarwhn4FCY+r1N
RqiMJG7lGLjOuYtBvTlOrvb4UwIqgZmRjFJVc2c7dvRR5WmHaq4kVUiEvbn1Isd4dCwVPVijDWFf
lzTINb0YgZ8O5rWrmg+0X8muZcDq1CvZC2ghHAHPBaNt/HPj7yRMIttH2dTs6bfG1youEoIqKqv5
FBczjHLFNfyQpUl+cknJ4RAXzZDO8fSuokmQoNq7pMQQq+TCmdDiO9Nrkr2WhbcDEbxbh/b6eo6s
BN235+11ivXrMSq660Iz4lNkoLdbtbAaH6cWv0g6eqnfAoa4deux2U/Yj28c0uWuZVNMew4B4gXm
VXmVeEb7SJsno0iCOLBZZvf0niPTPeSV7G5mQ+mo1h1tXQRZca+1unhsJ9k+C8/MvkxYzc9m38WL
t6rgLGxpJxE729DS2ye+q2qCM1x4d6px8ydRxwxV3QUZi18CWlQ67wbd0jYae/xnNTTNLaiK8jqh
744QcqGcJ9w4cEsALb0KgTqJE7kBulObRUFNk0XpRtpFdM8MUk9XtqfazRTk8yrXy34LcHJeoad+
YaDtHgsgLTum49VJ1pTzMOhRj5rkGkRNOG5HQ/PGTc+mdV3NUu6zsHL3em9nfyRYWO/0Cgl+nAIA
TCFoVGg0Ag0RqHCpp0PMfis1kBaBMBAUD0YJh/Uriq4IyySALg+SNXWJ9RQbuf6xHqlrbOyZm0g2
3Q2KYni7lPL9fa2F87PC2GYBHmBGSfpMePZkat26UL1qMOu7vneKu1hv2gfQOuYmtUS7BErMac49
CbDYKgGdgoBn8GM3rUPOEJJSxM6uHRxEkrBHe0aNuSMhl9tVBkYxmpUY4EBm5BeWkeqOgJF5T5qD
jvYxt/CiVvqNE0HN38FsqnxHES2EfEzd5mEe3taRNNe2ssWnjNwCRvxazQgDVykMCrebHm07FaFf
FZm2mRMj2ls2HbtuJvuEOHNnCPxeU1a/LYBe3SYBAHefPkCanzS6XRfHwEa8AviKzVYqFbCSxHBM
5rz8jMFFB71v5+ONmJ0lSiO1qA/h62sX2nWIZxM624GfaUBVRWwQQjMnhcJlOirGFwxOxnuGSMbH
GuketXZl1pXaZjbxZOMNvV2XkQaQ2BwD/bbuK/pxS4/KdqE0612jPwbMoCb7Q+jkTH5bgXdpz5iJ
px1uvdlos08vKx+rtezNdHiskzF0X2WYBhH2CyfTB+tDjgxIORu3srR0q3Vdm3yenKoy0p3LJarZ
uNjc/jsH/OIcsPjp0Sb873PA45sVf/2Slu0PZ4E/f/DbWYBIQaonmyJriQ+EV/HjWYARnSBDXBIb
tvTbv3kyrN88KWiSMNlFTbgcE/5vgCJdi6rHBlP65u3/V2cDsZRT358NFus7mleDqhAFt2UsHfTv
zgbAulGbBEo7Smn099SI+WaWtXXIszndOFXXrPW5Nx9EZvc7t5TzxsAGB+DJZSKYlsN5wkl/FI2Z
+4ZqXVQMOsz8IAE8TneVzhor7CZtQ4LZBM0CEmYCWWPQkMVl6NK7wcRhRzSe62uwsFeGTcx90Cxa
m3zpqkiwfytSlszHtmDlripziXkK8xPJX825EMTUNE4r11NXZ591DUKYKz4gX/0i3srEoLufPDKN
EzqVOzVYknIp6fIHAke7q7JyaTs6Ea2okd1814sZ0jvI4+tpsJ1DHo75JklmwH514FEJdvi50nK2
1yFf54kkF5PwcQk8qx9xq6+cUaFMBrY37We91jd6BW+7spR1rdfuPsvMh0pf8gtQtdzkKQDaYMxR
L3kgYahONmlEd08pN9i2epX73DDlxi2Mmnl2yiJM7UtHs/a5WPlxbmW6dSzNucpRWvlBicu+k061
Hc1wJAKlYLTDBBeveZrNj8rCizlM0QWQgPkBm4t9GKXTPxdGycmhUd5an5Y6uoLBq2+ykvaY5y+9
Zv3YF4GYH4tapGm3icF9aa9pNhqM8wn6hbHfEUWCUboom9nXrVJiD5ftkqtiJdODEoV78kKPiLAB
c8O4IgxNIUgCbr5Hy8DxLC9Yy2G8g6XJi5Y07FbH1xdredSu3LkRPVaF2IJ/XutY6Zjlb0ilRHXe
9h6Wt6ST6UmbyOnR0F6NYzjvygrjNs161FJaRIxViezTwhffN0QkVD0Q0+LKCYrWrp9LM7Ae6hkT
Xop9sow1zlo11uFkuA9QO0AcI30FFKEz9/2w9QKi5WfKOIg2uHjfFvDhbTXX+relnb0/Y6E3vy77
0FzedoH066YwxMXEFqHe9gtj2TrIPRnvh7f9ZHrbW8y3fSZdthyA/Ow+WrfsRPGyKUVv+5P5tle1
y7aVvu1ghadwjodqxiJkBg9ArDmIs5Kw7yVpFV2Cr7thMpmGny+b5NwPdr/FbcPe2akIR4EBo/IK
5Gi0L5dtNkYGFfrDsvnWb/uwWLbk9G13tpaNWi1bdrZs3mrZxu1lQ2+Xrd1+2+V5A/oN+LCl88gh
YFyOA/FyMLCburiA0eS04LydHOAicoowlgOFuRwtouWQ4VYO5w2UB5w9wuUYYmgwWFf6cjhp384p
qFs5sxhv3ejlIIM6obhTy+HG4ZQTGb116yV9eA7ejkBvpyG1HIz+2xCLNm6nX2yItPcWYej/3hBP
2PL/mU3z549+ExRYv6HqtTEd2IuA4G3f+7M8duVvAveiZENiZMvOx27555YobBqVrgF2yaXO5MfY
Lb+1IMVv/FUDs4jwvroV/82eyKD9xz1RIu4CgQOjBgulgVVx0V19tyc6KRtCnVE+ASIjBIvsegCt
QBjUsDb7mrM+Nz1ZZ8iJI/sQmFMoD4VZeC6zmwZrvjmwjW2BfeSkDVrESFGGlcZAUhM6TX2lR6L5
nMfkAlGTywMMLePEdEEeWiAjBLKYTOSyyhZLS4qJy5Ag7lmx7jJfBhZw7UUBKqvGhQigz0G96RNo
0yvGkO61ETEWAS5rnHIMGTACitAmSKpEwLQzMyeqN02qLT8iAngpKfXRnala79JxeqbPtYS4rtrG
HR/C0fIuoBbGhzoxxSFIcyYmeAGc+jY0CcIBZ1yX7pWN1+xz4+rGOSvylNo2Qk8LkBRXQyUnDBDZ
CCg57RhorCpPYv4zzbDe64Ywzvh9rBfHxCZRllq3F30kPswDotwCTsS+EXrZrOy8MU6hiWyToPIw
uCT2YjpU8Bho4RIo0uwo35vPSY09blVIUIBxk1XPzAt10Omi5q/J0SiPeWlZL1PIzzFW5A2gPeDd
DhmvpovQRJYZMQfvhE3NhxyNT020GFVOKqrnLNEXgFBmQSHqYBqebBnnxyJyopNIteQa0h3xTUM8
3oAj6g+i9NJDETv8jEPaEsjnMUhCjHc5/Enua/7L1wua6WFar0lb8C5mt1xhhsiQi5DuN4RrltN4
PQDjMlC9ISZYg9JM43sNnxqQuCnhtwD940+3wSDkW1nH9zIkGu8xGgmWJSdCagReaE4Y71BW0XCt
lunax9pupNhm+UwCDWqsL1HQ8U3ofeFdpmx4gIpgbSe4wdLPgji4zGaT3DuIxyTMTYVI3sjNcyG5
ARceNXdtzo2ejvg1t1MV8pvmwORPJ6IBwTvhJqLiH+8i5kPIKNqeu4HWEVfWE60jvuKLXGl08iZz
nFbhj224+Ui0i9YBuloquKFqP0MuA12kt5VxigbFQ+h4IxeYAxygAVIOGgJ5kXIDhkgABPopQQDk
vHOL2lhpClivlWfLvUOReFhoMsKfBsH7hgcQU+2nwfgg9LCAUjCglVoFNKU/j6PkJYlQ5tr1y30y
oVJ87pZLRN6oOOSEcjy7RsMva5WOO98yvQ0Yo3g39T0xp9KonmuYjZe3WzjWHL5f8g2O5fKws/dV
z4Hdjwi4O76SwUSIOIY8CvlsIj2M6OJsSSL2LlQIfHFtWQnhV5nLDdOBeDxmhc1/fnskuqyKd3ZM
18af4GnuEOmJQ2zE6nl2avyjVpUzIu9s4yyHMrho5EsBNQaIU64ShZ48qx0eTiykWD3RS+yyyILp
M8Q5H0cHkRQ3Ixd0aT3xPOiUAiusOTiH057vJ6ilce7xcO8mjMbmSiL3OhC0610PZeZdz8rmErbx
xG8oK3AVqwwerut3ThOJu0T1hHVrNYSbTRvOHEOzytkTu0P0QZZ415YaNZAVEXLWsSRGcCVwXQ7b
uZk6Es94KNB61QTbrmbBipWb5UDuRTNWN2HSLScnFe/ExLNMbKk8uEWqeZvcyPg9EuXFIU1RiSQt
S4aOHOnckn3CN5jL8aHiRif+IUrVc6oHCoNDE2IUj8yzI7jn7RS649aNknp+bDzPkvuxY4kUMx94
TFPuKM0zuVCZqcGb0ue5ugpLjrsbUeRZRCcflkOiz/Guw/cN1mTgKmVxIF+a2GRpNoKJeypwJTc4
ox4ua91k1otOrg0W1cIwzgorzjnBxgNVts4F3RCA0IBIAcVsCAaungeAtjb8dWWcYrjbZ8KreD9J
jj9203vLneMYWTldyaTm15sMaj9TycWwK8CE0UEwUJ9z79VgNJMjnpZ63xlLb/btnpcUbKTdtHxm
34QFK7iaNlDuuPcuFtUln5NQYGZBA+XgfQ/Bf4RoS0bGqm5IVclguXA/LumHfqVc7wJ+mwv5dUlL
GoNYlMoZuJWswK27Q+I2SluhXh1q2sWacSdtnq4sS9EBYNaAHp2RhLw8cXnvystAtgqeMWXVEQln
rKwlcSY2OFpXXYxYFNSc+NfTjxYN39hnGsUbNfqB1l7UWi9ehkE76VR+b0Q42WEQfy6i0TvUVbVs
BgBs2ZzB7YPNBQt6gi7HQkY3iSfY5UAPDAnfnBHdmlM07Vl+8NSvjbDjCLEKS4ph3y5n75gXDWke
phOMJAYj0snu54RGoR5njguOQwsvbKX1vmitnEtU6Dw1aTey1vJMkvPBElNihDNp5ApV25/LIr+U
ZI1eIbju9IECeBg5h4j6jD0Y7PqyETV2kZ3phVZH9hj3jvO0HvDsEgldKwHvxzDak6WL8th0Wej3
bhh9iB1lAVYugk+K4lQzS4UK2GPMSiKk7sBsx2WWG7k27Nt2OjRRVx2dxENXcadHMIM8r/1I9Oa2
Qtqz1WwHABnFYZI7DwGief3jZGcVGTZOSUrAwTDKnFWVISN2Fhs/qd6Z64oqeG3a5vz/2Tuv7bit
dOs+EXogbKRzWajMYpYokTcYFCUib+Sw8fT/3JS7j632b5++74vuMWyZYhXiF9aaS0Z+P7gJOzuR
Y9KyqyOIN7BqmWgYGojC2RfSnsKNTxqDOS7z2c3J743ocoBE2RLZz1550KiONKJZFyV4sxcOfxpe
sSpeb4NlICovD3nNZQuz/oUF86aarc9MQ0AwQ1q9zaCynX075uq1BEVJGtQwK/IGk0izQLop/PGq
WyZmnU5iOpvecJfXUtT5Z+VXn0XOrvlStr24bwtil4yhnwM8n124DyZneu9VF35LAyDb/Qzcd+Ui
27Wun22DTnV7BbyYSXI7bdUyVLuKtjFldkKvitY+vw46UFbXHC/vez4Ecr+O7ERgo5K1ns2fwxBe
c4ET/+DH88uEIN/Ncv8b9Fz1kLrwsqySqSbhbSAWBre778nzoPyRIGiWannLR/uTkfuIT5mtXxM/
txIjziKZlNZqXytDHOJwQl8XYnJN2v5TG46oETuPymjXV20NYinmEQUnJnLntNkl1A1ngE7WmQmA
cXTDuj8V4SgutQPOmoNGDh5Cw8fFQ7i1MArZGeGKhp8nFgvpqrhjWYU2MDgba2Hd8hIglFlMcp8E
hncqO0fdJ7UTORLnqG303YEpKjWrIoVnScIRhycnrIf999wzt96iZQmv19y9H7MK+p6U5kPR5cGl
VuXw2V5s48KCt4RHEfj83Ezt+m2YSuRmMar1M/niLWTdof6aawTuphorNt2EZBefoFgFoCcd48b0
WjPizetDRRP70XfVPq+L6jTjyX7Fy/h1MVrCtuGVoCjtun5v4EXVCcrsdRVA74MZF2nkgiaKePiT
uocM9BAn6XCaJCl3aSJ29kAct9WYpX5aWSeVd85r3JFoD3GiX75SEe+orjsqQdCSW1WQpzmgiP0U
tzxRePJ3gFd0qJeR2T7K/sU5VCkiQVbwipNWWpqvCCBy0zhjzqSq91gHtdvBNR+muSiJkiJ9UWk5
BfL/hwy82EgqaSWAU639RDyZRuaRBNlu1wCMHsRC2UCxjpHX1hq0N2jkXqY6IkID4hOeDORDAa+9
2PY2mUb1dYzIOw3v88l8I1qH+yJzhvmpwcByWjXuL9Tgv1UjAHF58o+kJ+89xvOf5wQo4tb6CQ7M
fmIEiw+mYKjxgrDRbhj99V8Mgqyuqi7ArAgnj5dX/FhpQGE4g+uCrxHGbAlbzTDsP3iGBLcB2zLa
D9AhT62QlaIzAkDMLU1DTGjcsFJ8UBIbDUxETwk7Mf7gKDIWnTVUEZQAiEX3g7fo/4Qv2h8kxqT/
wDKyABud5yCteOvaY04cQpAFDt6QOXarq5bxYrtHTbgSweNWQ8DVY4fdzh2pQdMupdqSc08h4k2C
d1PWNqU6m9a6PCgb6B21KHCslogachWoz37X8f+JWP7Defq7eTK9s6uRAj4bPNNkw/qLhH0Kk8xw
0DseJfGiHamay4iz04POsYGzA2pONpXceUvfvuIGUg/tQJfZpnRhWb10DxUGmr/5RLpb/+MnAnOg
jSwAbx2LB+gfu3nDbY115Il/hKvDC9/DNPAwMEx46mnO4W8aunGZbbv/ThKSc2omKkM51wRXWHDD
AWX1ja6eKUn/+oM5f/bB8J6HAJeZ5Lu/sjT8yWzQmLfpEUojtQViOcaqmP6xEuHnzZxePjZpGYiT
qik4tpiR++I8CXt6GMVE7FAKUebJNAnT3iBvp6JhnpcdSEkPd4lYKbyyhBliSVwv1Zfu0mVokpZq
VDF9buF3y3hNINLw/Wc7gdxzeRhX3b8xrlwe0jjDjjvlK05E3sCvGF1xS65QDIoNdDNq178+HNr3
+cfTJFxGQjajF9tnAKP//HdDF9TdhIwOWQ49NORTVnXtLF9WAbTtq1Dr2u5FFVLH1hKdJ5CZgrLt
rz/An1y67GIsPf1Bfsan+EUmMaeYxVd7SI7uEmKOgmKYZNsxtGL7xgKBntCmxM0hc7I0ATsUr3LX
eH18k8jB+hSYo3WD+pt+5K8/1Z8cFvTEUApo+DAx/Ho/SWeM6zQXiVZM0d4t1I3QHmq6Ga0TJazI
pmYeK9iMW2NKmp+zzrflf5IfSKBKYOHy996Xj2vwl7PCr/f0/2jeMD3+8axI5RMIPeFnc1VJE51b
rUIw2rdBlXNCgEUY9F9z4Hwq/Ng4Wbpxk9iTc7KA2sa+FZ6Cf0ks65Ckx0HPXgiQlvk7BHm6X6nZ
zH99uOxfHR8sxXyboAaLuYHwoAj88QOnltEyNfeNg5O6PAPtepXpORh1qyMX7gEe/OFF2QHMX0n4
LuqPKuXiVsR/PS6hxz2XOGRJRe4K9SLHUMfjVdj8/+JzNHcf4yHHhp+ymTsIY5dxHhOAigkTsIiF
/JTskqntjquq+O2ujVwDdYNCMQxOvvr+8WX/u5r9u0k0yBqe4v//SbRO2avJCP2DROvnD/02gw7C
f9Cv/LZ2tRkA/zaADt1/IL+yQ41x+dfoWXw44HhG2/rBwG3AL//n6NlDtcVcgybXMklYBO/xn4DR
9Xz7909BfHe+zV3mMupm7uz+6o7v2IC2I/3NeUVOQJp8mXgsKEXOlHnTeGJ6NpPKvzFA5jxkjZI3
60w4EnejaUUyHPOdRaX3mA8FNoTOXopbWgu6Bc+QObFF3WEBp34e5Gghws8oE90AURYE/1AA9C5m
QGwplpcJFvfFTEL2lQRNXhpC3u58BCuHygzTQ+zH/gHdtxiipEKe3xO6cFiztDsVvISvx56d6Lr2
qRE5oxpwUs2BDbPX9r5keBDGyK9sAlIAQEda/HDIDWBnk6zjB7gvGJBAmC+n0fxWFGv96hdlgFwN
a8WmW4Jhx3+Q7ObJY+oYL97tHC/oKhDCl2bEWNw8WSoWR9Rtxhsv8Pbdb7Lw1sklnXBcdT+SxY6B
VxPtepelzXgYHOi0ohfzmSaO1k0RYlHpLFT6cdwmuUvz3ZSNQxugEu8mMWVy1YNMf5NegpjWoh29
MdZWnlTWfp1YcD3ks+3BCQmmz2kzDI/0wQvGPWPtvonYT752BlkK0egKtfHw5oBwliGEjECeSsLh
mTqZGcFGbqiD4hENv7YgDBmZivmLRy/MkZblN1RkwzFcswHERJa9reZYXjKzuzXWxD0X3dBAnl/X
qyYmP1i6WHd8kuQhkDIkpGPFqUTxbSfF1zADbLLhKI38bZXRk/pHfq6yUDjjCvP4orgtNr0VjxeL
+vmYu2Z6WPCkfKqlSL8UQ0aUCCGGDlMRME67iiwsa2vErgm4DLIuOjouwFPboQMbBXP6aKxNp9iA
s4/36UolVibK7KO5lyk5Kw7ZM264zO/AtpFqNQuw9Y0s+/XQ5CnCJY+2XbTKvyRdDfcW9jXjv6C6
bgaG8LbhWEReVbMwNKzPB11cN8kTRg46iZBYr2/tMouGkDrXw8SBALtuzOq4NisjyMkXCY45ad2s
lRveJ7FKWYIaoGKrKUrRA3ude8MSdHqTvlOczI5oc2btRrqdMFMdBEOiKzoQr9/n4SA/h3UefzUq
LzHOcWu3ICqkbyFQM/sRDw+ixmllEotnrLCeB5IlcbswKrm3CGR+6UDn4suardeiA/oUTWpQD/3s
l8FROAW2GiAT9TGz6bnCyiE2jblkSsBYbDlPzmRi32f88m2k8WS5K7hoI78jGQ/sZPCS+yYp9C62
JEIIi/ATmbjAbRQdPvZHqHrllul7zWRTVq9ukoafycj8RjvSbL2mc66t0VM/XEQCpCIxsZG7OIjl
1zwZe4shcj74nCzZPQ++ADiCM6Q5Yf4ZtpWBFgxBgBteUqTn22bo7nm9slBgeTyQoU5HoAgc2QVl
s0YIqAnRmhCdLKLJtoLebLfOQ3suass/u2av5R8YMTkO5MzV48hjjc7fj4ywMQ9TKTLEbYZ7qDOz
WJDBD7HYCb8zn+0iZcAteKJOtomuMJRVlh98AgRPiXLaG0hlIwGhtaM5HpngwPpVzuo7b1FlWIMz
80SLxxM52zKAazA3L+RZNt1RGEF/bM0Qx6Jrqv5WMNp4q12fzqe38ulOtYrLIEEGsckZ5tMPCTHt
jSBtXzwcDT/aMp2flZDWtUPWFEiSuQ/UxnFB/UVh7LRE/4QxgGWbaRg16HQe/SEE6m02j0nRN5Bq
wvmq87osAkcNo176ZwFUYYtKjnBMMO3biUHoKUdis6st0R4Ws/oE8Xs89N0cbzLcEtOm77LOh+ir
ZASF0du15rJ+X50JAcxkee22dkZSKWuthS/NIL+ljIKUeiXK1pNDJCBWZ19WgwroqFiBFObXAFFQ
gbikc6xh+DqOqs9v44U0RVurb62cAfqqFbleVZoPDEgSJL8hghCt3CV16AmhjnxowyB4GAmHtzdm
xiZl1qpfFAkIgCXxkedUq4KDD4Fwr7XCQdbIOyaA1R0yaHLktKaYKE+BBgW2UK0Vx/mH+NjSOuSl
UhmsRLTJ+McZLDlasZyHCE8J8zKYpmtBc6+1zTR+yJxxcHiXVmuf1wUzgetKBNGd1kaLAJV0rvXS
yYd0OtUqakcL/uWH9n/QNgClDQFh3WAN0CaBhC/+1mjjwKw697Boze2ibQXkiOEwWOlYj4lVMjAS
hGEv1jDu2iEeEVJpf8KorQr2QEwG0RjYF2a8qOUI9UPbGuIPhwNw/vhhXmM8mjmabTyCdSS1IUJp
a0SiTRL6eH7qtHEizFdCPMmKPuC6wND24bCw7dm9xwmdfo+xvejB6GxsunZp+D3moM5KmzVYdECd
UmF4mtiaPUHCru4mbe/gfsLpIbXpw/nwf/QfXpD1wxby4RAZtVlkdrRvpNcWEu1K31Gym8e8LcXt
qK0mK4u+U8+LkWWXPd+wYX8ztTXF+nCpuNqwkmnrigme9tRrO4v8cLZkHy4XRiG8pEXpEG/OqGKf
TXlxF2trDM6ZGXyQ5T3b2jhjawvNkOqHJmsWnDXrPLvrrkMkXz9KvDeZLfXuJEUMcNV+uHNMyPtp
NGEGfs60fce1YPvfeR+uHscPWVqs6FfdqKJhMi+2N2S8x35agtSHP4gXP0e+1rahDv+Q9pSqvaNN
RSwr/SiVkgTTHM8Re7U6vxqQI1THcTBSUHiOC9QdMJyMlF3gLOzmtUvYgXoIijyocMsyDYc6QYo3
nrlkbQhY/sTKsH8lYOKZ2hdRD0bat3xa7KdwGP1PTNSbM3v1T6301a5y2urktz2S3XGqMMcuD165
PvMAfBdZ+poP3rNP2/ONeQQVBGLBZNO747MfQjHy/KC8a61yRw66ceHksKHtGlbixdC+O6sLzm5o
WkYIc4stkylfVh47osvuHXeGJziOIm03TRcmyafAAyjJRnS9T8n702vQ2cWX+98W6v8k5rH8AFfK
X7RQtRxe/5gwBYRB/8xvHZRl4mRB2IPqBjuLRoT/q4lCTEpcVGiaDgJVk4A9+qV/Clvpu0yTP8K9
/U857G+tlED7o8dhPi0WsM//0EiI/ueXVgrrjQePk/AT/OI4GH8Z5zRrXdgxxdyt33Droeeu2E/M
qY02sqUlP/p14cg9+oeU1VPmsDi24QAyaU+/93Gw1kRlY0GMAjNtl1O6tpXckLHqva0dc9ZKZoHY
CIR1l7pFqv8lW0V7QQhpfs+dZAk31lgwDdeCW6WLoMk5ZIZXf/aHwbdPqC6Bqi5O1s3XXePJXTrg
gED6U+LhV15x3ZAJF5HBAvJTGRdzVEDRO4g9kZXL1d62qnuZqOR3tp2WJzEtZP+qPLB+MAkd3Q12
EAGjE8LOLp41GUV4aXZdTrhxSTT1j0Y3dqeprvJmQx7wwprWIJiBrVtth19myRogNcqBzKSk1p9K
rfmXxeVxgFqh2Y4MPdLQIvc5X63OsrZzYcVQ+eoyJ9HXdzpYxhbgbkYvJfE+GLiL1dpw5jnK5jrS
etmZy/J57e/6Zs69q9ny3TeOCGBxWBpx92n1mvU0dHgwxZXfJcRr5B07CDF7EJzwMqTljg3NjM5T
kOLEsoFsVcuUe4gW1WTBs0jTgTwK4mzrdkGq0Eyjf7WOi+ww+1hUr/aym9OCXI1pEybdYk8nC0lu
CABiDvPMQxBMSwntg9WS7zeYO4lwxLBjPfSIFe7KNjSW71T1jTaNW/27IoRjBiAne7fCBFRBmuCB
7zNbbmiVvzZzOeqA43C6zMQ/noFTav1Sh6SfmJwxP2UCsO6uK4t7CutuZ7LoJV2rmG97VRJknGU5
l+VS1FvF2AnfiWWdA6TIuyQx4VplWXEo6vTWyhjaDt4oMhYtpQ2Yg/BXMIMDqOqAsjwSDkc7svMg
PpoSB/6udBQ678XsyPRY+9fabso3e2gJugqL3iNspdVJ4kEclOgxWS1tJLCWc88CBh5jUuowntw6
Cjm+MKCcBiiQwr1DCUswfC2a5CXphHmV5KLaV4trILAm5svn112T494crNVa7iV6mEM6F1SVwor9
TdUGGhlmm4BvCIifmctDKAwKT54m3D432RDnFERDKS5ekK9nqjDYn7nJonHkzdQ5+T4wK+C3ZXLj
pUwmtqPwLizc+q/EtMQv1AThvkY1QlfpiF3RFvKMuqH5nPfrjSt9915f2aCwenPLRIBFRWuxJqSh
xNQ7RIHTuLg+sXxwBBrzvbbQ1dZukXxNmgxQcyvmSz0V5bEvvQYps5cc8nwqDnEGzTfGPPbdngtU
a14XPiYotCBZB5jDCv9ptc1bCRkRzVbsXRgju8RKtnTdeT9/cVvELSyaFzxbmWM/Vy7Clg2ZAbVW
sZnOAyg6HKuEw70bPmujaOBo7Is1H07jUL55kHGiLot78AijakONQBWPjTOzTLb9qX4TgUo+uQyZ
zU0NR+TbUCEHkWBz+Dsa40QAux056Kw38MBK9pdefdYSyYjgsHwXT1rsKJPgiBUX5RnhKtpes+R7
1vYWF/o4ZFdWmI6fCBQuopLj86lf2nsu6/ohsNUlROMTuUUckgxBgtwmcFr/HHRGhgtAlIT6YCG4
C8sgOwInk98ZcIXb0qT02TQVPsudqgULU9M6xV7+MLDKA4I3LduCq/vRMjQ5CfO4fQxHJ47mYf1M
TJfFPt1N/I2PJ+kmLylKyO1yXuoyQWTJynO7zBYgusX03Gc3mEH0WM36UDM9i2gn5y9FCpnWdfL6
2i4bJh2Tv7wZC9E0qMuGdxT7BkZHSC91mfaHhY3HV1uu1e1qMY6almDFKuXWe6tMhju765qr2JjN
R4J91yLqoSe0+xqUHflQrfkaIMDZimWsH3Jh1APatdSJ0nw0NoL02/dlTcyjnKT/7NARAMzg0toh
ay+jFF4cOXRJOm9lzZM/gJez8YPJu7aJR4u4Ix0ifbEEJAQvXAWzm57rsGso3kh/QdRGI6jCVP1g
Pzs8ulPS5hE68xSUh2Ivnlo9KelLi8TOIkx3JSNxjITd/qiqzNlZSw0xxbXr6yVvcojmbXdZZT3f
l76xIyU8vG4n20WIpLIUd5lnFNepabVbi3nJC/FjSDLRyF37TaAezdnqQXR4afggwoVRYUA0e73E
GdHbsZijKc3MW4xWxZeKkO4vUEa6OzmW8VNTxDCxUZ1v0jlYP1udULsUx+ZBEWW4i5HMbZB39ECW
+LYkcA+2OZzQrE/NJvHHzwKRMuYwHI9bg2jBCGNtTWucmvgR/QToMvONs4T5P+B9nNUVnodKx6Ah
4MAn43Ach/mrWDAguBPAbrVUxDTDdFnPVmZ5bzZ/vxHVsczukgHHvJeb4Re1urg/xcqLPpAM9jZ9
0rPPzgrv4mdNA5lk6rCVomxEIh8zqNgi97mMbd3te/yW8udK7r/7hb/bL5B1yl7pL4rjVza/vwbx
/Pyh/9W4m2zrTPgVXCcgQ1Gr/7Zi8MN/UBu7SNWh72vi2r+KYyf8B3p4cnJCAfxCbxr+d8/g/wOz
imORF+oLJnX/GTfvF8aGLs0/KKQU4mHIYvGX0phLKyc+pliPfmK5GDknIS/JkqjPlUXeVpK47t8s
d/Vf+Ic1Ig028DwA/HzyABccf/675e6AcmYwEGwclyXv7vE3T5Hn/e0Gl2bk19/CmMB2hHDpHmz7
l2Xl4PZopdx0IVAB9eds85YhjpwAMV80O9OYEdsw9gKqlht6qrp8/t018CfLUjf8peXguOolEa49
vcfm2NL3/P5rMukKskn5wxH0L8rEZU7XPbp78zgJ5P6LnXZnLLxdf1DMFylpYydmpttkBioD03Ef
Ca5nDE62nrruZyqOTWIJpIfrXBAJU/DfottEue+wUUBZ0uQebyH8pAy6AqXe20EVDw6Yuu3KO+aY
QrzAVe+1Z0bz7dc4a9UBTQaD9yYBygnc1IEWDVd2PZrogT55rDVvOqr5T/YyLXcDm+fz7PXNa8Az
nei8elLvKbbo/STL6akcpTr0+SIvscWmtIszYC1zbctLCtv0Jc1U82wlJj84L1l46QksYFHj4cSd
fPJUpx4HxYlDxdo0YbNGCG0AevdADB5f0/R7e+evmU3wnYKOvVDf8j6Vl1qE2KJLOjVq66y7r8vJ
QaHtz0PECDpAoZSu16uzEJhqIr904qw7F0Si3PfVEJ/X0V+IJYcL1Q6MAy1nmJ6Q909Pbb56j5wd
e7f2po2NnfQNSpj2TdUz94NvcQ3NUn1OB6Tv4PU5M20jzaM3h9xDMwR/Z0Bo7lmgSlq8Ue/zCBvL
7PgRxb7gi4cT7cLmXpzaBLHAWK79l3yY5UXnX1yqKuCIgDwROR3lDHfWGylri7IkCpA9DluWCSFX
axcPDa/BzWglsF9t4sdFzD8mBTz/KMlttvQGux5kcWP7tvTczgGkJ9ThY3mqGSHf4BKet8uYI6/v
HdnJnUkA56npQQYMq1tsfQHlHmRf8ZDMFgwnxtQ3gCrdqAyT6UdhKnMjhwEGHnkGPDSs+gXN5PTE
TG29DltKw8YhK7Sp4mDDkBWrymw0NzHjxMjDq31rJOYUiZDvQjMYboaQSnUqCi7FCYbwD6sAVwXz
RdwmgjMRT2GwEbLR7bMjqm3ZjBzXImle/RIlKoDAPN8OiwF9rU7j+MFDrP3mhuZ6LedUfbbnihq2
5mYoO7B9RiGH72aODj4T2bwleWPdWwbHtk84jwBwONT6EsX/Of1QHd9+LZQm4K6cCYE+/sCkXL2D
LcYSkhA4X/bF82z041njxG6T4N0cQ3Nie1mRotLHlQ0Jxn0xbdV+ZQoxPiU21+aGDIPsYJt1sBWi
fGEnOP0YcG7eNLnLRUknSgwRJ8rzjWEft6K5bSpH3IbD7N6OCp26zHpsCAQgvhgDCLCVeKM9uZ71
i0NPcJU7BvrJQAUN+b0BM1VkTK9JQN5alDnK2IRdWGw/vlyQchP0dW88LKqRUJyxxF7Pgeq/NL1R
PCjaMpLQQCmjKQLhuJQwm73ZzI4o5n0k1qRDH9wl696aElQcV21BfKhCZ/3VypAJ0ZBh7/BsNiuD
ZyeB/YVFhVV4z1Mt5+Et60bxnFnaM3TEdivJMKN2lVo6PqNJguzhnufEGcWDUygWMGJRn61ADVHt
jeREWu7SbVtmnXuuQ9fcDLYNYaFeBh5No7wZa4S0A1cYuJDibjB74742ywfDHW+Y11RsuGjz1s7l
2Unozw3jy8fYjW8qg7goAiKSY2Kv6Qkt5+feFdaOUnLcjUJ9I0pl3Ilp/F6kdnUyZPKmmFYyGfJQ
TFljc6mrad6V7sTMIU6G71bWtwhx+yvG+/G+nFG+Liu4ekt1flT6brJNmiS7EatQ1+yvJhWR4Hv2
chSuBav5rGwl6+cwbk/oD4CmGZDkWgiJmyorpnpTleV70qxDQKEt/cPYA4cLhXxQ0s92dmWEV3ma
NMTB5vPeS7lh27yyrjIVL7sRedNpVZxI25rMkymN6Vj50CybwQl29WzYUaPxFPBE80NqEklnG5V5
NbtZeBwT6xHZTrhHrNRfLBk6TGM49m8Mc2ZysBmOYKpZOYebpCTTy24geoDvemHD313G3ibXyDbH
UzKHFmmqIZWsC65wq+L+zann8ZC4Ce88XuDBfkp5zem14S6XXvtArL2FZ7Xo98k0gupK8V+BwV1g
3U1M9hyC2+SSTESlFMVzaMS1H3mLpw5hNmUzTvQm2IZukILQEw4VotPeU50Fe0HSs48Nr7VhpvMQ
gbRSNDbDG+6ra8KQmysWKfRytgnYdWl6eK0pd1XP/KVoNxLuw0YNlnumq1+wsDk5AX5sjoOedI5y
60xGfbYA6b2C23RPtqrWTw2qYUZ5fXhcVjc8VWOs7rLCWbdTPLLrBJ0SoWGtuNzJpy0ZGu1wbYl7
Hz88xYGy8Ix3M8nqTbBvjalCKF2um9klH5Uw7vyr7xGLGJhq3otYJyWHk7Fv07LG/Eb4EODIqM/M
+ZRlzuJsxDRtEyMJn0p4gAfmadbOc+r0FExLvAvnWFzXYS0yTPrGQzUsZAu2K9ufgPzWDcPcVOxa
r6t+iKS9QdjrX2jRbIKcEDEmpF3Y7rYSKfPMfrVOLNT9NspSr7sq19h5HpmrECzrzlqBDsjqSq/0
Aqzeufmjqaqq3ApfesvWxLR0WtsWD3dldIcRjNozM7Us265saC9iSEgLcXLPvLZ6gVZtYwZF7j7b
KS9n5nw9c8da9gQ7L/hk/NSdvtU50OGhnHVd0LT3CwMlUCSIUHbBVGVXBmhf2KdssX0uvyo9dc7U
XcK2r0UEDwfr8ly7GUb7IO6jPAPHq+w4O5Jh23yziVonfhUUqj43JsstSqQ8d3gPldaKiqKXlxDz
OQ9nrG0BlFUk0bNdE1+O+hmoPk/hd1mWwbZRRvzQFDjQudIpE/zYJK0ycUlw9FNyoNq0cW8Z/xkP
DDma53DKnJRxdgYFMwH2F1UUeTS3DE2/Lc24NmzXOEnWyttZjVSFP4uvNrOxE1mq/w7TPg+2tsvW
eGMRXgOEVym4n1njPS5FS1mmC0a5sycBLiW1y5MD3eFSdut6FGY/I9lEuT50ObLRqrHbeJu6PS93
8reMB4kG/ymzneSWvWyxlQT33CTrx6cIW9a62pYUt7AKyC6o1DthLgSDYy8tT2HbWnc8BuV3p/Hq
aWugiOKtPfGoTLR+sMKsuVV9ow5o/8YnpgGcO6s1AhmZVacOSeWpKxOY3g610bwlYkAdaoqtZ9Bq
VdQrXf6GXv3sD0t5snu+AtNzBJ3Vot4D5u7QtuN6J3PGUVY2Ez6gdOgyAhKnPBV22N7/dROhGSO/
NDEfCkYHq77loEXTvdvvWqWxBrTb5O1wZNfWaxzs6N76Hi6cZJjjMwmj5ibF2YEY1USZm9RQKnrX
Oa5D/ZLEkotBQrqGeaCu5Ny0bN+FuJ2Q4nyeqXL3f/NhaUj/7cPiydZrIHTM4a8fNmBl70+G0x+N
zIFG10vvUTVc3KYFH9oYOdM8/jmpzIisTwXe4q3Ju+FckLnzmjfUqj6LgL/JRvpo8/7YbDr4ytHy
8qF88W/NZjK2nBe0z0fCG1oHM5KDSA3S4mWdjenQdWO65XG47pTj8LCPR6qWvKFhxLbKrSGmAhmX
aM8gT2C+x279vcGcdR94SbMLh3Y9xkZHHmw7uMb2bw7nn/WPP8++j9KQt88fzz2LpaJOEmM44oFt
z6jyQCL7vS+jls38famr2ZWE7y0zr+YF65AWqktutHFw/7aZtf79w7CJCxhemKBrPP9XKaJLmi7O
gbk7QjbJI8UAKt+xxVCYfxaeTpmct2Hq+O+Trabjhz/BsOzXIG9YITEfy1zKJcOdk+3YVPX1BL32
eWoaeU3qWXFlmpXzYgvC06+bhJHxVZemARNcq9iaAitXtnBDVzxKjkmYubdgiJtdh4maSCj0uxSQ
KzRvR2GWpZrv2nHe1voJwxzceJiSzns0XF+9V0FiurjABLowwkloaYRH3YvO/jSOPMC0ZpBGOiDh
HcQS/xESCa7WjsUf+ytdq8MMae9liX0DDIAu2wsK+rCCISrMzHtEldWwjIqBicInuOAepAa1GDkk
Uzo9Jahi8KS4dvnSOagkz0O5+hPZ9HPCQcoyRnlLD4rOTYgWi8bGiUvjqFFlkF5cezB6seULSfuJ
Qae16VuHRbrvrWVyKihptvGq/0VMQR9vTYh3oGDIWQ+mjUvFfRWaov/ul84CAWumpu9MfMVbCON8
40SGNXwOl46kXCjl/cUy0ThS5NNOm0e6bx6xgei/mDmtpi0tNwLOVndRFTbr9dLRuAUp9GUFB3zf
ZRiAIXxxbxczd8c60FCk0hufhqx88Tv6x3WxsEvPgI+3ncommkqOXVjMQXZeVw4+Lx3jJ2rA4sVx
X4BvO2B+4sIP3KE8DW5QvxJoX78KZVEb2qVtb3iEFHtnCLo7OlFYCq1ZYtCn6fdK2X+RFb3MsljO
yVx4Mg66t5Mpzpe0GqYZA165YLAt55Ho+aQ6dVgALzn6vg21k39fOd34ZFqjDfPdrl9dFFIHU9Bh
NRbd87aTK2+AgaSUL3bOQKmFvEZUU+bzNBE82YZYBlsnGOiMYiGwTMLH5h7pzRFA/2LxhwNhB28f
bt2gWvWYl3rTzQT4tJR3YtsALaQk4pVDeAGv0JQwtL2rYBOWld1+nZUP7GFmzNI3RFglVtOdyQeQ
Fw/g6qHjBXqQJntuRI3TE8sf2vtZZYdAT4BCDG03VcF8yM9ok4NZru+kPiTrLgvW5hma0920+M23
YRxot003ubUkrscKd0SEa8ONJNP8+49PvYiQIVYAgbqL6lKfA2cusXNyqxJjgR2zKOZtw7DkBS83
AqeOaIFNbs72DpwekxHdvBJ9TAOfLqK9NyFXzFGdU4p8vIsbqU35zHpYDGNPwEXbzcx1HI9DpYcS
demrqzXx1PUyMV37uAzthREMl3drHpfRUNf/j70zWY7cSLPuq7T9e8gAx7z4N0Ag5uAQnJLcwMhM
JuZ59qfvA0qlklRd1dWL3vVOacqBgQAc7ve791wjQvHQu6W5/1J8ICPlfBQawi0N5aQhEH7ISy2B
7MqGipIv5zyElul/yQNKpHAZjIaTLYIjl34V8mSCTyerEYSmOP7ZOnK5SB630p+XlWc+QV8gi4d6
RTY0uza1gf+XDTCjLIct2VDZ8x1DNMQ5Ar7SiyY1P8yST6TSO4KII3kEK6pEHwVlrMh/2Hv8elCq
wAVysSsR7qagZHzpQ6cyb0VmmQ9seFTchtbYvTCkRRGURtZ8kzqYLc+kV+d7BPMg6PBsPcF6RLcR
bX5QVnGF1l2WNU704fFLqQEurK4tpGWLVyzhbyooY9s2kiVO1/jnv/Sbrxf2vKZvyio2DjAuPsEC
rNtlW+Hryws2S02nZgwk1lszQbok+5sfCECHK4ezPOOaBnVPD8nZ6bvmW6WxTSdjj6Y2rHvlqdDj
WyIXrFuR2rO4KySzwAlUb3PEC4/sG3gBEodbZqJcQvqb2u9qqfOFQKnSgo7jU8D0Gqki5Zle72dM
bSzDHZHIU96RjvXdxGbPy6RTerzQl9Nqg3yMV9WbPdL6FuCA9qY53BKGBAYxNGH1HmthdGsPNbJR
u94/GaY4jjqIkRYfJ1zVr6/treOikEZUMF0LkP5bafCatGyNidb6btCYga7FU5hSWPLRnRBRMawa
t/ZXhbk7AXhp8ONdmiUTjxPILN8tDPSzip2wwXGYKF2qPRIyxF498EUSZsoPS66WZ6kP5dkUbGKB
tVTg+pP6Ffp/S8Uc9YwbMs2sZkY00hPGNrmGE3pWq5yML1aWXcg69q1aoTKxlYdH9AvL/5IEx36l
J4g6PEZwnQGWsQXpWE3wxShdRvh25g6pZjZKPYedYuVk4qpHBa1yHopFHas3SAgI1DRCPetJyFGh
Z+OsWytLB3E54GXPzfO1zM42VwPlaDm1wJlfONUvDNFFsZ4nuhkVqoUl0iLaPGHgk3sFH/Xi02DI
xVRZ3uKR5yhzdd5a1lhzxtO51xQ1vM4TehmM0iI5lIbZHCc8/e/2ulTqa9yagr7sVjrMk3ML68JI
9W6gNy7vhxjJhGeyRZ0ue3u52O4KR2js4dMG37bD1Jd7dILw4CawNjewpOuPrsDT7DWdBKuNYdFL
6gQkgF2+jaPJVaPeVj8IJ+ZRIe08oYConIbGqfnGriQ1vGEGCoTNtnLZtwxmcjMp+Blwy7GdqKqQ
3ewyLptx4AtfsMteMoGk/vXLrwdzKVJeMYo2tN8JXStXOKCwiWQ/3xFpXrYFVqcdMUMe6IQdbmSb
LDKjyZ1t1LY0PUlk6lJbkhPZZC/buct+DoasrCDuOMB+CcV2V78ZgpPptO4ClrnhSAb9fNghJPCJ
KUXM02k/OMYrpkSKFtdJTI+gEgwm032YbINz7MO++j8f3+e/5+Nj0PWHU8Y/tBpekrL87P6CqCRi
tP6pv2ehOCxx3jSRh75qvn6fVbr2L0J3mF7Sva6bGkCs34eVhvsLkzxOWoYJdkvQ6fX7sNLQmXCC
u6ScFqHhi3L9PwhF4b/6yzFTJWkEy8emD5ofUBXaXwZ7FCS5NMWU9PioSkVnEjsRqofYSYUox9pc
BySPuKXwfdTtdiYMgviMlvk5zzl7pkImpcf0oLvwcBku1Tk0G73MMjeMZ83NubOnTvtgzxw9FTNv
+ySi2GZk43ZBbu3v1ohVSLdQis+1ihX7Ek38T4DRs1vvFGgT+7ZPS/gXrIIYne7zttc/lAnt7aQy
U0Adt0R/HlPE2Sc9Cwf73MkG5MGQWxPZCKPQhx+pXFqvFB30S6tSibHXW7kgqciM3nW9VbF82Prw
OqU81Th/mOJdMj3h/dW0BeDHjO/2AbW+oA5WlFUW1OCbnjQgfR7+j1Li/klH68DUmb0Vh9cHyxhw
Idp9vBNz+gNH2xLQd7xOIZuE0O8oxC4VCXBPPbuziIike36LfkERCwuGLizwfamT7WoNUw96TXmf
MwOEsZoWE3tpW/HxN+tBQ9BuBiiCoUTGEEVIYCjdVVNz8zK6IHHwtdvaYXDdpjr10oU3VTj2Q22b
4WPbk9E8tGGvK5u0q82cV7dB8IY2nfTbyNoTKMSI/QyYOtegHr0Gf9/RcqucaC6A7ZKWYPJU5HMZ
pC3LdGI/u1JGo5qC7cSS16akFlaFp1C0+0xDhe4hjAPCmPZLOkmMas6CX8MIGxxlSxjujaoQ32oK
uwtPQul9dHNoDQAqJzshBaI6+XNCNKF8YtyCLSAYSnYwkC9RuMGUrSF+tTuwxSjp1UpzM9Heo44F
km8u1zzTzHGUdvRusmG8kWY4BbMaYj5zgToko7w6cWgFaK25n8FcTf2EIINngA1mO+D2XjugrFBr
rEBz6UzBEEKGI0olc6BSsR8zWIqFKQ7R0F7MxUk9OUny5dWN0Ug6Ncxsxy41PNpZuS2trHsi2nQ/
Y0XwWv6ZbUTggbTg8qqpk9zadkKZ0ogtJ087wl1xHKDipeemUNRDbQImpaNAHF2lhOvaaV3Q0S3p
wVVKjsaQV9vJqdBX80Ue1IZHU1i5eHIX8Vb2DtMNDU9WGveKb/TpuK1Ku++PGCXSQ5dMHy2R/COh
pOjUWPQtS1moATrrjiy03xn1sAXPyfVRGJ2s8LuoUYhG1ghRICfiT5OXGsdcBgZhVUOTUdn7GS1y
M7YOhIxhic6lidsVREi94/Ty0CcKNT9VohEZMkPfaFPtjp8+PaVYcjFozn19wHs8fLKbWDZOrHNx
eNj2DcSRzK5xS0YSI0DTHMrJfGj0/Jo5yVlq4c5tB8KFQj5iNd1Vauce7Wi6di7bE9IhG5T7IEJ5
xtMf+w4VdV3T7JwFwBwjINQEis7aOqfxOpT0XIXGswW5FgBg0W20Iv/MDY4DopwsYLbx8JAo5cVp
oGO7JNRW0YpFMHEuRo3JFM70jFjuap7Az3CvMlwLirkFueOOE/dW3Wkl34e1Ex0RmpWUsXfa/LvE
tuUxLXGPFsvlcWhpKJxDPaVNvU959evxhqdCu4/i5h46YaA4fChZlTczqa33fF3NsiGkD85JO+UE
1Ne4JqKxIPL2sc8X1m7ruXZf7Sb+ppJ58nIx/4z7QttHdjcwu2gAljEO9E0ldI/Dgt+sY1m/J6XF
iUla7iFLAQ1Z7f009uqWZcI5Vaky2ViBrf6FdWUA42iHo1frfXpD3HD0mz7rdypf1FYFg35jRmZ8
1efZJTqjXiVFcxsjLV45ptMj7g63mLm2JYN+D3ubTYizu8JYYnWJVzlRTbfI/To/XmW8x0aCNBTz
dmhCf840d5ekPbjEzNqKQoYPUzZdaqVpfUI+6ZOtpE8mgheR0fG9k+43K2LmxLyX+3iombvDiY/F
tGVbvyZ7dmDQQq5iY9ysbtnd5LTfSxoVArOV+Mh68ViHdsYNDAl3A9llPJnkEKH969fBrc95Fz+T
00JpQAxVyU16rLSBpbhvAPdgoRimn61raa04d06n7zoqEa4zXx0UdPyAPsuo85aFkfYtNx1r0+o2
j5piwGWzx4u94IZsSJ44ot+aYyNOLaNNrxmxtfo4BmI/W3Jnl9OKcoirft/X6XFMwmzHjjjxI1dZ
6wKpk6iy3Jeha3vOhNyAsXgwvhsK3xcHV8W5WaRq3MfFemiz2+bCVIhM4zRWARP1+KOeIRlOYsA2
S59MOeVPmkH3DHM9d5S8WFPXDQT2xnHpbprELr7DCN5TrPktJXgcjHweC9915kOuSIBn6QetxVxs
oBMLn+OivJk5QqO3Ye3dDDLWTmZiRlCb9MXrhkh/DauhBi6oZaWntH1ZBw65G2JDenkXKSPVf1WL
rMIp2K/xl+yXihZiTdPqLRbx4SzQP/xEiBrvqsp4RFeeYmVaX8+IqpXlAicybybVFs8K2ctbNaqx
vRpLbjD+w7M/XMtUcQ5ul8njPOpPxqzWH0o7KtE+LEqEOxNMEY0TYH6wMxsVChXvWRGMvfudxMKd
FtuJ3xtTf+3M8o4yAMVvMuW+gDN4m83wcIiobgdwTUdG8S9OZ+SPMJqPAmpvoPHxNgLd9I3l1dhP
5LLf17hAMJlhe9BnhTBeNcY7iyOX5zh1hocSXnbSja9Ef7qgVB3lEgEZeq4xP3gQ7Zyf1sDIfDBr
4HCxnr/DZ14e7Ekh+DQ4r3pm1j4+GvuZo2FCDNlSfZgv6SMikurNk9rtXEBLnq7PFeHS9SHiC0s9
RqAcYB1EAbos2iBqOzBb6Y+6zT4WVbGvrluOL3pHcbY7xDcc1kzqHXllE3DVEEGT1oh9WbeGV6tt
fuqkrDjUY/eXXRldNJHv+yyERgYwJYAlhOEZ/Q5p2YmHe/wGzl7aVvOiSHdf9cv8OHYENzSS2YkP
+yo547b50WTOd1bnfNswgKGTOxyesN3TDKW7RMraZWNOShKEtcULInGtTS/QQmJTqKWvVKm4KTmO
+5UwmzNZBRCMfbec6bty91OlzUwSm+8QnTV/mPOEOVs9ag8skB0cv0HPHc/qpzgn4xx14D6MjJdX
p5S0TLn6CeXN3EJ4TZ7ViRAuaiOgTAjgi/5QxLr2Ueam9WEkJfN02ROADUl2KVrOhoE2y61wWSwl
GAQ2wOPRHqSCoKFuSl3chhxUKCGfyhYHGprtpmDn4cdY66LYJ12BFnlqB2AFWTFGD67CRlS7sNHy
KZx8JuNxsMT0owota9dpzYdruI1X9DW2B1SNQ1hWYNZm06WNSt3xzQGMg0GPR6De5PQ5etBM38Ye
V6+QNVFTPHobM69Crw0b3oFZha+uRJYIa2psHC3f6z3x0LhNx2OpTmD19Js0TvWnxLDaHRhf55TE
RXVKe07Lme0+LDLe5hBCrm08GtQrfpCRY9OUItkALHvSKOf24LKR4TD0DRpgvenM1nPGNDy21lIG
4OT2suTeK5hEQz8Vml8pYLUSg5wEkFaWFEQM0MvEVxu8EDKL3ya3P1ts8reqw2VGw3+aARIGturW
qM7FaYINsEk1p9hwXEm5RRQGT5Fd817Mq0NVGVd3Kowd89bveTk8VfWCmcuS9+QEKGwkk4rTsWQ0
XpPvNqAMkJJoL7DDR6QnRTxjfenoCSqKp7nHNS7QmpBLFcNLNSzpegVnJabKwhNpVZ3hxT0VTT1v
MSe5fkL/7o+s1TbabMt7iVEymHMLt7+BSW52widQlucmHoyb1nB7sOblTzbAyEBxF2iprPyYXgG+
0vF2Zpi6lflQPLUkkTa5QVNqY5RuYBBYZ+PtEJtS0vyCwQygwZQVWzy8zY3lhB9q10YbN5utHUmV
+R4IgbJ1O0vzlxw8HqMN91at05uSOs4bvF1+UTWTL7s282JDXW4ETiTaulRfWpWO+WQcPdu1pzMA
kB8VZw4cGa/Cke+gw3a21g1njroLFyPbTrk8hE42BlJRILP+VJwGwJpFl5zWpfWe3Nldk+iYXmKW
yLiBrDom6pa0G3Bf0eo7/I07UZmkr9L0xBiXl2iqHtXMeUKL0dca0vfZHr6HQ/RRVRn3T6XfD/3F
rsIn8tI9YlQZvSkKw6ABlRG5S/qRbp+hUH9z6mrTum61y3hBeli8MPohIlKlqWpnw6C9FB+Dr3Sp
6veDxIJBK4t6k4XVxBZNucN/QEokK2bJayEN+bi8DRpPVep4uzhOd2i5g9+WliQ1xhOqRicSOLro
WlB8uIpQfYvXnLLmKkhoxrnhtUUfzVzpOZu8qrU3eDnL+6lfySLKDK80tTJ4fUoEWEIwCPOrrK9f
xaTBVJ3oq2jNunmaBic/jMztDuyss4Nrx+WOZJaxrRcZnSYoi9u2HB6XFodJU7m3rjOkd2WiaD/N
pBtOMk6sI7Yp2g3yJTsOGHW25mS0j0a5VBunFe+c49NLVhoc8iNw/DIC8NBV0VmfbTCqGMUvmmrh
p5HzvNMrZqzpyIkJPIWy7V0b6ZuBYQjFdDeWurGJZtxPRYM4mnQ9DYQDBr9SVzFPDgBAiTcFZAPD
W0vrrTUh94F7zUXRt1E+c64YG9sLMYkSKtpyMNuRNPs03mhFxdaii23ex+4bNvJkQz5ehx4bQ/6t
iUEY7C2J/PHXd+7kDzw7EYhrbtcCu5FgwtjPwq+weW9jXHcH9o4Hih5SHyYzrUroSAErOinHwiwD
mNa7NK5vOVA5VwqqjR3HYVQXfU5fx8yl3SM01OzC65o30cSJ4Wbp3FPZlY5XZynD0ZB0BUlxX4Fo
7lWkR0720qnM8PJk32XG2qJYpx6+A/XUZ01/7Cr9ZyOxGEIYg1oYfxMyuQGGGwbkaIq7tOVrrDKG
VG6GPTjPJ5/UuwYeOek3WeMop4lOxUQUAh2zuESW/Vw5brdjj934c83t383zttTUXTSheeQ90cva
hECKK4e/yhmElyT9p6zqe6vqL0u9gK9YaTmMy1EaOGsJvfQLFHlv6mM+Hpo/Sr+vxjOrsqmG+5hM
ZcBAxmTjshwnnlSfVl7abIeeNdLUIIrX48dopx/YLg6O0dwx/ZyhOC/QY5rmxBL9XIdQM41hDjhu
cSdr4DP6sSNqpyXqjdQGsXPAqFqu5MWLWA//VrsuqUIbLTCO0cp8DDmly2FHli+NoSCdTNPkbEUO
XKsWV3D4C5+IfGFmTZy+nMmPWo6EvUJSTzLkQRXYaGECwQEDBIXC5UfZV+59Gil8kc5a1NKACJ51
+eRoxp0tXeyptSYY46nbvjNtEuctQUY2ywqzXqJ5HHLSR6B2n47W3HRSnDLHegfitK3zdxpnd0Pv
/CTyU3PUTZag1CQlaIW7aeio0YgnbWQz/qz7NZumZG8x1SdBYwgOmjUpLgGMNJcOeolM3WhTlugB
sUYuklXrjaaZuzZmgfa7obVmvyYScssMRBwV9vW1N0c5WP2Rg/lIYpffxJu8pkTTc9W6CcqOROom
hpwyNdapxpzJ5IAc0AyKfs7yYYuSEx15ZZkeCVobZqm2NMNZqWS7M/BRwry1jPaQ5E1457Cq0evZ
aa1ZsD1uYgeEqrT6RwXadbctnA71H/rQ1Pq6FiO3WZwTFpYPMSRAJlytYaDONTJDIsFwLBb1PNiO
8dFls531WPzdDtXif0ez331WN+/FZ/dVWfWdzQXrXNz/2mD1+y+73xutVgX8T78IvnT0++GzXa6f
IIz5o7/y79bf+e/+z//4t9R44uZridM/Dw7t36f35E9Yst/+yN9C9abxi7Ome2B//U1v/y02RLLk
F2GQazFA25n8Fvw6v4XqhUCl1xDHmXvjdxJrSv+3UL3m/EIOhcoMQakublYiK3/7+He/eqa4cv8U
B2j+2ZyGU4D6jbXUUuDqJo/hkF36ozmNKXUONDcSD11XszuuZYEhbtT4OX25GnNqI2rv4yTHGG4z
wIzjTLnikcOPAI2oJlzPEJxCa2bL1L1TVMsmqueoH5gzvvpOVfl7LCXCfKOMVcJ6PNfZ+trRDxXx
3e1gCAEHnLGuUDC/xS6z1STNkAAFyReZUtHqohHxgCrDJ/B+OLOxMRm3yswMjjoaitlihpfvblQv
77YeL8kmirlszPtHbANt1qLh5Wpz5IVUfwwiTt8ReJc70DjaRjjp8srLvwXQFGW2r8Po/SSOh3hW
U95BK9SqeFn3Wq/AK4HCIp4GHcP3f+MR05m41H93t319BRZ0Or5VOAr0bK22rT/4AwtpGDQGd9aD
bHX3YOqDGdRibuFcVTObaF00rCi8o9y7yq7FuZzEmvixnIoO4Ewdd5x6l8C2zergymG8yNCMb8Rg
VPjVM+WlbMzuGi8KpqQkTS+D2Wux58R9/pznobOLYubJQ6dXt47TPvWwVfZmPZ3RL8WjiAUWOvdH
2ljNxx8ekt/uwz9iKN0/Ux350MRM1hvYwY+G2eKvVMcaZ0aE/bV8QIYPX7Ewz3dRVWnfNGHMd4qt
toch1dtDkU4w4iBYCToCiQN0DHou8zCrH3W2GkNcc5pvo9LIjlNF3Cpc+K+GsplPUVfaCdPddBtD
bD7rQLLvTCd8joxZ4B9P8uesJAkE/F/dJ3juACS0yi4bdWuzIlQDqRbc03qvjidV6j8wP52nVmj7
Hv/gHrN0B4iGg2QyL1kwmzhg1NqNt2ZC0YubHhFfpu+gfHSOXvr0vW5pqrCXvGWwBJ4pjOPRh2Gw
7RMIrTyU2Q2eSx6mLkv2mf5DJYbfelbYWt0mS6V5cgyMrUnozMMmIYPgVaDZdyrYCl8kq3m4LJHx
Sr4lD15seuGw3jBMzsXLgkT16eSU36CVtZQIgO1q8Kjb2raMu25PB0ZCR3KvXsIYEALItPFiZg0f
TugDnRtNLNM9m/bU9aURiauS9PNt12tcUJFEFG7gOprM9dmkyOuetET3YsQdR3QIvBwa6B1TacG4
+df3zl/WLFNVHZA2YPiZ+rl8l+46XPzDA7MmysIIIug1xnV137tDScapy59h67GntgeXTNJ678CV
+z5xEPO7Hjcxprkl/oFRf76pLRwyTa82LzaRHDoMcnXXOPW3eR36NzRJcmDlb8nGFmZ+OurlLue7
P1d47TyVaougM6M5WIpKXKEfZFjeFz7q8uVPgrLrs1wtWxKCYl1Qq+zIaaTXArNHJEvUAbU7JY93
01I+d/912+IO5mScYHxqG1M7gyEMf2K3UL85StG9rEiKF2CxzU3SJe1qxY6xgevg9D5KNduRFWaf
NczIWZ4+DNYOuG5mB5kTO7eO2lRL8K8v/1/duFx+tloO9lHLEqbJ9OvPl39qtI4Orja8irZmaNtr
8MSXtlEeUunyCeATqb7VdMpjijMw9kyk/xqLIVS9nUNzBDQ0nkFgf2xzjmy16nfoBe3iuc1UUw+q
teErwW4+jMoG9NAkg/LfeJz/qw9grK9XbSXg2sL8y/1TMoNttTiyr/iB+2BOtfmmqSPUAyvkFEEj
nySqNbFeCIslpkTKCCzM/e9qqJonbbLCnzx7nLbFUr1z1NPO1jRnx1jUtOY0uRM+5naDdSymN8n5
dYf1T9/XX+/jv78s1nsf6LVhM1IXUE0Zxv7l4heg3aQxmddqAFnmQfIPf3I3g6hvuzZ/1iR+D7At
820OIWrXFw6fQMCeoowtGY9V4VAr5Ir2kJvrxMFulEca6NydOxl94rfNUGKc6ZKzLfj8UwE8y6Pf
oPs58prgK0rYQIbTcKAFxRn9jIPt3WBMWbmzR5uTeMr8ehYty9AwhC8i1ugrdhTnyISH+J9jk+/q
oJ7XeTy/YmyTO06o4QGMJUcgEHCO3wsxf2oRlhtPMAJgG14LLcAVC5S9yj40Rrs0zZSNh0u3PuTG
GL5i8WwP7AnmO1T8hEGEEv1oQ3reAxxd/HhlRkx0bsU1FxTNbIoUMdUVTfxDJcKyTSlaf+XOGz+N
vFhXkPXSMB4/DlQ0XwxVcvmMgpWvTlpSQaLIHlXMMcxqGyv5BlKQiFNREQKN50M2CXIiLeIKaps4
x/PUbUw7n29STfIu+ddPIZtEvuk/3QmuviaSNahLX9vBv2wbWKuLgdae5hrnGo5UiioxEnytzfk0
NwSSG4JRv/Y2yTjashWr3/EtILpprEkBDL1DrDT2Js7T/Ngk1M57S6EmFGcraVJ4UVRusfmsjytl
MR/LpOZPLP/9h5iM8XMgga1sXMss7E1HfwbmQbZjlxETZFBg3uI+MEodL52eh/k217Ble0BJGTdG
yrxZZG0fZgP5EMkaBS3ulhwMTrJzG0u5J0e/TKBR1eEHbTMskRk8UTwO1X7WZLczVhe/na92RnX9
Xusp6V8oNdqjOOKkmkUiA1dfXjSs6Ru9cnSPnycuyO3wQFAdxM2aCkbzFLva33WbIGo7jtmRblPM
oCgZCgwX2exkI2JoIDODSAybWfzMeyB57lAUcw8ch+54VQJRElM1wFdQjVa0x0qi0psNhoWu5biO
fygg8K6YKNcNDsi+o+rMvKq6gtEasM7IA5fbB/1MLQAfF8ILafCOC8UwkP8Oe7o1vCUWMvQdqzMM
mKpa+RhFfXcIVYO3jtRS/SMmEr2QuLbq7KSQ5WX749Kc0UMUDyiTVD8KTGwRpVaFs1lY2WnmKKV2
jqCzgfyrMgfPalWdUPkhDxJg0b/BTE8c7qdB3mN4CxEoccJcW/aW+14pXdhwTEV+UjfvHBxU/gAJ
FoWFwkeS7morJyKVI1HVzkqYtrUwgOCU8BglDbtMTtDtpnfNTPHMOlQpf5D5T+B9175qIPObbFvx
3Gb4xHMU2xvbLuI7UdiTz8vA5cq4i7z/epD+D4nxuNSf////vf8osFsjGLbJ9/5P9GwdhtAf1px/
8JndsM2N/+Mf25CJBq1/8LfzrUuJI0dksGfW6hwTGifVv51vV54cYR1XFewSVs/Z7+dbrGYqxAoS
C9AVSPT+0Wpm/rJawmAqqsL5YnP/T863hv1nhIQBPsIgtYYnQGgmBPmv09cfNoucROrOmm1xlqpp
UCmbEKPvw00lMLdiICN17QZ1gUrpjY6ZNh4OOflKYR0HWTpc991YK+eQs3mwNEqxjZamgp8ou0sV
lfu41Yej00z2xiD3eqqGUnloSrhq9DQqpx6AApCzwnoYqfl5Ir/dl3Q3pspOqxvivl3a+BYAMlqT
pLYV0BpL5qKhDrSTvlh+bqwBZkQBc3yx9KI9ChfgcdyE95Nsbueu2kAXIcpe1Nq+6bCncKTKfDu3
jpoRbsKBYHIcNT8GU5s2Q1p3fjG2JFn1crmEbQR0u1c386h+jxUmtk3eKQH5e21L8ZvcmRUzzTIS
O6U0yxccqincgox4Zm4E+dzettliBNRs9O+t6KkftAvav0zwuXph8e8XUKK4UgY1PI67X7ohueKk
qTaFRmCyJssFV2JZyVL1uAdEdtsuruo3jLWDokGOg+JKAYZa69B9TJ1KRbhaE/Xr3sgh/EgB0iXW
qFuhCubqAoUIevDlLu+Wmq2IF+YCwp2L7gDSTEVyVSnQSDUf1fbZ7Mlkj7DGAiBP/aYHILXJlyHy
W1OxgtwZPooONNQ8F8eaEMGpblladeBylbS3SpLXW0xH5YbgD7NNWlO8xrT2Lp6VfoEu7mQCi4MM
ledFp9OLFicT4hP8K31ARMapzXx/LJaDoP7hkXGzPHRkezasfsBtZ82E160sm25WjU2JYuOZTrSb
BwvSHKy9wNXSN1w0xokg5IEeL8Zupt5sBvgnTPyjXawPNntocuY5zb9Z2jxWnfXszPKcisn2Ighh
W6WkSUpTZbyz6+JdmukbsURjlxLkhoo7gY9wU+XYCPfToChx0+Pp23BPPCLweNbELeG00T047Go7
RLA96RvCvxb1GAI16RtdrhLmNg+NSLW3xZCan7Vk5ZXsQy7GHMyxUwdpki57s+Q4KyWiP1g7Dj5l
2mzsqDb2sYR6ZnAS9TGjNZtMa78pXV/gvppDUMgd+8FqaXaawzdY6a6xtdKi3WJUemqFFV1KNS62
uvMRuZ16nCOiySYHlMfc0DA7DVZsbNg2JNdixCRWdpYKgG2lW8DVe1RLpjOa7SI6oZJueMNdWFLz
LVi+KQCSZUGPGIoNQ3g7KGdedD2CFQzzFp+NzIoAAna8Gu8E8q+ergd066DRHIX11CEyLyIiT6M4
0QY0bBR6MJ+IqHMVHSQEQaOYb0XuxNy/aDxqt3Ftmqn6hLWV9K2iWTy5JA36uLZ9d5CUk8qsfMjw
pNyF9aAeNXbopudaICF9cmExTlkMcHOPd5RxUBboC75+ftThbBMl5Tcq57JK8h1zkRv61j6SEVsa
SH1mZY0deYMzKhsbBsKllp25t9kfAtNUf85h7IBRq8jFj5KWNKt/QH4/UCZiHR34w6j45tUK0yaY
qJ5jKMToWk65BRgDv6Fo3O9Dn18TZAYKOe+gzfSemiYagBDlszDksiV3fGp7+4wo0nuEVnaTBSui
BB2ND08hqtbCx17CETnQZvsFLP+9qeC7RY586Cox7+11T5VntuJRed37QGiWQCQVqPwSbKQaWe1l
EfZ2KMS7S/SOoFOq493p0I1EHPmF7YIyUzz23CmMt+Zz7GjFsyWgZ7NN9Z2aw2kMYRFs01yMQbbU
HZyArN5MbuHsYyZ1pC/eLKs7p5GBw9Gcn52pg0mHK9DPF906YPopH113fMlDQmZ1bX9a8URuIEx6
f4ryR6ENJ9vo25vaEcekwjhgVlVOlarllWp7l8cheT89dvywaX4Se2X/5OLOMuVQ7QxjIEBoLkQ6
pz4/k4RjqDC3DlQ7QHx5ihFSj9/cxXEfiRzvK1JSJ2mlw5a0Z7PtnZxaNYd/sZTysRmN5A5vHQYT
XkKzEs7QAiCuZlqUb1sOnp5amA9rAe3GIg5wWpruELUNyYNRV0BLMhbL0WY2cdFYr3k2f5vCYdjb
C+PxQTDrjXJy7ThzCWPOyhZTFH1mxeje9vl4p0aE7uiNWH9wnHR0rPu9CbW1oE6C+X+AtWE7N8nk
saCRTYuVF5xvqddA8NThOLIWDgOsA9my1iRtgNPX2rP+JkfcGdMuUljl6AIguUXXAGAJAcZV6uY2
wjrFxKsGJG7U2i6y05dpTMyDVJzHpe9OXYbfjIrDn7pS28e8zMO13U16Rm1pW7OynUAzCvXo1OQI
oSsQ2mJV3QJyrzbMzaVefuRU0fRPBsBLbGKASBu33M84fYwaUl3jVNNzD8zpP9k7s924kWxdv8rG
uWeBQTI4HGDf5KyUlJps2dYNIQ/iPAaD09Ofj7Ib25KqZdQ+t91AdY0SM8lgxFr/+gcYasCtKs1R
nORD4cOdaQNokF5MuCgvGSNyqexDg891L9begmR9tDXBO0ztpqlVpGdIVbF7Z5B0aI0ySOihvMVv
x3PbLxV0uLk84n6gvGCdYmLEvLVM88SIEb7UYOHtT+32f8rrP5XXVJNgM/9+cHT5qNTjt1irH12n
XhTmP3/yV33tBn8Flu8KLHOl7QkzoPT+l+2c/Zc0qbql5Usc3+Rv8yPHejaXc3x+DD6ev2Rv/Zof
OeJZABJQc9suYjKq8lfzonfnRy9BCH41zT8Gz1IA4fPpltnGb9U1fTZWj7VRH/wkf4pRbO8Nnw4u
8c3hD4DHMoj6De54vhIBdA5DA6r5N3V8zjngLKrjg2/NeHqa9UNdViMkglivf3sOfzOb+LsrcY3A
ZriLaePrkVjUGeQZ1ll96IZMr6H/Xqm+SGGYz/f/+EKM3yzCgbgcrE4e7e83r0cpQJ0611TI2VOW
Z0/E1z6l/Pl/c5ml+fF44m+eUYeDmopBYbE5IA838PGIU4gC11A+/xe3jrVKRpcXSJwQXwfgRbVZ
OFXMN+pJ57kYTU09Xln+RUtC2Ptfit7x9XIgwMxCQ0u36EI5fXnvvB5kk0zG+sABShySnm6naLwH
d7+ve+L+3r/YyyEpK5upnGu7Ll73Fp4Yy0T49wdlCFnxblbQdhsMLzwFDJn6DQQVI3k0/WU244AH
Q4nt/vlS9F0kWTYpUkTlvn69OD0wNcCEhpC1pLrTbWMTqWNkpH7zV+9/x+WGvXq/fFd69Nw4Q5i8
1S+/46xTiPcYlRwMTdpZoetpC5Af3r1/lb95t15c5TVo6QdOb+DNdjCCUZ5b7XhP5EJ5LNEF/W9u
3W/f59XOBHoUV/gaskByPW1wL36ciU0kAO5Pr9ezVu3FnQtMwShAAGi4CxS7rJ7f9sCIjF40xio7
dG5K5JGhqlU3ptF6sJ3PcNCNA7Yb8DYx2NlxlkvIM93xD3fVfHtfmaj6xPoFXsDM3Hu1QgnDkn6B
M/Kh7q2KrOWewfFUd+P17BTTNsDAcSOCVkA5lvJggkWiJbGDrQ1h8ojDpuvSkRP17Y+RJiyqHL49
GxIhDrOhzZnYb3vZ0wQ0chbNjAhrD/frlvbAXVlY9C7ZSwAHMXE3GEZYtFpMkT38pG8Yi1mfMs+q
zmQIvaYvAGgHJHUHgpzgyk9lsB9SXikaPDfCukdjlYiVDH4oDSrlrkO+orO83Hbobe/IhXKOZjAP
3xoCePbQ4PjsruAqqVOdD77qU0R1flxtJyc3v9LcGfDP+TwGyMljEfKls76rdxVsgSss4apNJ/Ed
xSEjDNOV0Hkw0mp3wZ7Ja71rTHzViG7DYruFN1SYfLu5YO8sUq9bY3NpYcXJ/hZHCboul1Oo9Eax
dGl4OvcIKY/QoGHDodU+F2YHYRBsY+8HhQFGY1qforiX52NEVx/5VX7vDlDnQEjrL41bWJ9CvjtF
34DLRl04euYz9SFkBw/2/Nq2J7YblBCgqgauAPdq8BkSAyzfALR2DyG35jxOm/rK1emTSWT5Wqeu
9Ynhz9OohvCuc+cK1+/l0ytVLVFuOG+0cOGXxK4gj6/xzB9v0xGpMYdKt6YuTfZ9lIMxSVBd9Du6
PCaRDbYO6zY5RQxorlI3Kp/QmoiTqBhPuzqX5cYyBgjhz29eDhX+OJuhfxG73DLCTPiaOk6ZLMcT
+bV19MGfF2pD5CXZQzCPnPLNUNHTxEQuwhGt5jVMKTffJ/jN1eRX9XUAoTrsP8dhTXymJRAVrNGX
kNPo4j0BsSqZP/lAWB/wCSueUA8AwWcRjDH8+1aM2pqDkwpC5Xm5P9hlxfqRMLaYg2G0mkHAjXt6
9BEWDLQVGmdcvvAqCcdMMuWqI2Lbo8xYqKjBvWoo9OtlXkS4JKfsPAU+unmG/CuZD3V835Ed1O8J
hksfAwgcO4SA/aXrVUAJSdDne0Wc9+3QBv3nmfZ+L2ua5d1gtBZsrtomvGbGBrZZtSoaNETpTHyd
g8V9fubdcgws5Db5INXHngSsLzj0S3iT0A0KLFUgw2L8c3Rx4cFObkBOIzKehIyj7KGJrPI4hlGJ
FY+ywGvSJ5QMAfQw1z7yQcRORMW0MSaFsj3GCPMUkeu01VEeEPPHE9I2p6+22VhjHy8HGQfhXdq3
2PTH9Rj/KOtAHpBG4czixu584Qj9uVZTvyfFmeFGwJRtOw9+eRychAjRBBMmo8PNTuRo6qIfnYb5
G6vxrmysQ1f1XzUMn2NBRBTU/9olusf3bmLNSwl/cdwuKVaXfYdfOshkvXP8DhortKVPPmbv52Yw
7ooZpwf0jzj/F/j2Zyvs5hJYHjmLml0RBtIi/St1GlzZ1LUYvvHWZ5oE7b6vCR9XMG0Y/cpDMcDE
FsvRXzt8b6tIHxNlMHBH0PuYj8q/sftOnIAn8KWAKHIcNSsqY0N9IIA6B9+CQtyXfH2pZl6jwm9o
f0s9fFNGyxA6WriKsZP5N8JlnuqY+aOUbJRty/7hMmiCOs+UCa/5aRN6DbYq8Ib8mxC3f3xkNDvZ
c7Gng7bZ52ahNymET9LYdLVxBy7dYvFySJSPKEKI4Vssy7MaydFqgc5YwVjmtkl+ZdddtYuZdfEQ
ivpKNUtpX1nVeS5qFhO0Tp2sCuGgg+DuJCEYVuFi2fG862J3/KXLiDBZxCQrgIF8LUm4hjLeYdEv
CRLvJ/Q6CH5A3Q2jk6c0kjuFfdi6r6C2SESQ+way67qHZ/8RY9rgavZAQEaTWTMHLmRlnjA8WrNt
gZEJv+rraJmVleUxnHVxozR7jxGxewzIocusL7jnQaV3dirRUZd9crJDy/waCN2dY9pBSVzpKz9T
xD24EKvSuAr2RRAZl0xXruzE7j8bxDcgFoy7yxDFeWLaA0aoGBr7EyNQIE/JCJH5Yxk3xVVttOF1
niF7bAsGXfFTFRGRyZz9I+/zfdub0cHymdLFUdGsO9Our5wJFijHIrivS1SfrGBJeBx6GWPLMyOJ
8/umZOdtS3Ycs/CxvjXhiiBDGODCPm+yrqMQmvMMdrR/w5IgtSSEOUjUJoR5h4Lgk3aPbdLKwtRn
YLYfAAxNhJJWq5Q+s2GJpEGxxueZhKehMYOVjy3zqszaokUn1UDAAyNhPAyhqjPRyQ0N2sHC+qgK
qzgOjV0cK68zmYD4GF/audIbLQpicDBUGSvPPZ8GayxISSO3mv2PyV542+CLNGA1lcbG3kn6Ij6S
0EbgAxSAsPePTq+rchW6Gorlmnag1SQKBq33pKYUVqwP/fZHLbFsFUnEVBk3JGyrp6BdPD+kiXXN
yL4++V42IX5ru+66dEE529TRAZRgP0q3HXmoDj5sWhCOBZn5wc/IN4bznt8NqT3iTC3I9lzqe2wz
a3SQxzJPs01Sm18dXx9qQjPw2rJR/ksj3lku7xcbR38jZWpcCrtcoHSvWJRU1rTnPbUIaE2Z++jc
7w5WwwyYFM7HLJbZ1husbGuZqDvhZojPRWeNJ80ZjctU1CKmcixtrHE4mE+8rtG3KPfwDs0g5GBm
NILo5IZxlozS9IFMC/Y3yMJs+hHVCQ0bWaxILnMJ8hijkdcDzuP+JPv9+9Wo/aYYXQpiPB+ku/jl
v+kC6yXN2nd0doiLwjnqXhVPlb3oGgbSEE2oBQ6lVZ7n3LY4Fd2pd6ksRIZuoCZniMSF4pGDqzz6
iHg2k0Wro4gCxM5p0vLcsTAfL9u0xQmIMPSub5IavgmsvCjkHbTBBisiIovwznZM55HRCXabAf+3
9w3h3eC5zHYbTmN+v+TwPDzvgWUJMXM9zJkV/6GrWkw4XrZVkDpB0WB2SkwVf7I4fmsOmJQj31Bm
fsDvhb3XGvrLLtImwp2WmqmjzD5N9iIztmZqrCxoq3M2P3ne2QWiTxH8qW9+ybuklV0+D4CNwOVj
wR5e981QcdkP+DzoXu+1iTNPxvmCuvuxzPVtOHHkv78a3jTqLAaTTt1xBL1J8Np0EP9WWUQY9Bz6
hoK0DDWDu5LSpCzjZ9ZBdfb+9cTfrT7cwrDfMgPbtv1XjWzZUuw58DrZXBuURuyYFfPxEjVgysLq
jCrYZrAzrlxyYK6fj+CB+StSMGsQO1y0jXWY5fKxQkSwh0j1JxzrTZ8d2GRRW/iW84ZwX151i93k
Dm6d4FCGQ0Gyl0ZUnTO3/NM7+Aax4CoAFZYLgcXyYLq97El1ovvQZcpzcB0qVxcBwLqsGUMw26PI
dzOYqVNK5Y4PS//5/QdgLTf4ZT9MfQAZwBe4J8FWe3Vtkiqdvs2H+OCoIQpxYsPq1gjD4KHQ1KWK
0L/pKjBkcF86030WTM0ThHCmuFMv4alUJfm3bHYkPZKB6du4pNbUck4GeVZFwUWK8+/3JiSh7Gwh
TUc/YYP/4NV/wqtB0QBj/j1effox/NeXqs1eQNU/f+gXVO2Jv0izgBm6II2/8tb/BVWTgwLTwyF7
AgtX6biwNJAQdPF//x9H/sVp4cNsxDQN1z+PHfRfULX5/+M69GZfkC6LEXMRabI5EOPy8pUQPQpF
04yqs97HB3SdlZG8stuhPs05tOHfbs31z8X+O739zabHtVBmmNyLwBGQ3F9eq1cmdF1flGeePZBC
3U/ihAdocD9xBy4wug+271/vzevOAMBccB/kIvChX+957WKdU/sm1yto7laDSWQDJGOq7W4EtCm7
0LW39kjFyPjM+vD+xd8cKRCAAOVh0vD0UHC9+rKNYaqxUm1JZhTq9iIvgIVy0fsXk5jhpYdzcE+V
/aev/De3GDYabFiQetQTy7L5HXXrFN6Ig+/h9EnEzXXGvPF7TwY0JjBJi5bAnP7xBV3BIuVyrF6T
qcurbS01DQSBqg2g+YXVuedjjzrFHTY/vm082GHvfnn/too395XZjf18VATcXAIvX37DScHUiMKx
P+hqbOiy3VBZiEwJ8lqsM6iHJp2Ik89kBG1BJm6bXpb3JVPlAROhbKaZ85R3i+0SZOu2lxp7lDpW
F2IMxs94pvxhFUBv4fO82Pc9CS2Zd9/hafKyv/q8ZUEIQVp0+iA9O3KwIcRl51xFyG92UUUlh7RV
DEdRxVMOh7CT+EeX0XSL1z0KWzOGOEQxZp8VUy0fI1shgGFKwVoiMLo6L2ZfnFD90B30cAGLLeI2
cSowRcA3PZOz2GhLUWIabYJCb7Jmf1fLUZyM1jParfZMjlljGm+BxiAgJPTgq7ntK/nV721afogc
Y4+ZB9yVc/r78dpll3A3Cd1FcMCt3viE905Ar9JaLUsOloNdrjw1cXxTucVC/GCVjsh5BUXleAmp
rHduxnIaLiClQGx0ZcrEOnAciBPLRtASLRatxl4hdhmAaQPGyz4pHA1hIKlVY7Vn2mdun3XIUIEe
vviF3V+bNALFOsC/E5WzmQZb5Pby0W/N8RYnJaSXRR/WX+y4G2+NxhAfZAd6mcyJfAS2tsozko/H
L+hUkUK6jqgUd1aOt9pp+aZ1RndQ5IoLBmUS3qNWz9qNJkXuMdfcRxyVuW+tQ9ZNwEObwSvuh2aW
j64BVIg3d7Bt7EHaOxrhzl8HowF++Qxq/VyrcUr8xzq2k0FfJtmovucp0xM6Jr4sdtO12quhz+e1
0U5ZfAy8MCnOssZoim7lks+kt51jxZ/ifgjufZI1SJrINIB1MTmsE7KQncefZpdRzcuPqfVFAPZ8
X+c4TpM5k7AyRuaUmEKPFarMicdvowS5JuAJP9kex89kzdtdf0HnTFcUVdnckD3S8pCCGM9hcEra
jAFPjttk6aGI4QNAeb7/sFvIo9a+s40zz9sEvhGrdVMG5un5v+nCEAXwZKbsG3N8MPiuN7HX9Zsh
CoKdbhQLmFhTHyZFxjhLqTQMz4Xq6aF7NWhUyqMfYDnjCVCUzodVhvMCvmynDppALVd+kVnjXe1C
EEFMToxev8tJa1nMZfgBJHLCPBsgiNNPR7hoxUelMMLaQ+9N8TmOjIlIgrpE5xJXUmIvBiU5vLBQ
cnxhHDV87yejwYmVNM3kepjQU31S3P54r8qy3ysrLofVbGIYYMAaWldmBiIte8l9Vh9qO4y3I+z+
VVhiMk6uyLqJSd4dmDrsaj+1T7hA6zXmN4cwmMbzLqrGD26h8Xiow4THbkwnR2buWnmx+EyMU7Op
48ld4asicKuIu9shbhRUrLCXD52TEbAb22rAdDdIxnP0Qf3B8auoWGmT5NqVWc0nv9XR90axbbpF
4h1LoitOtQnJeaVnZyL8ZCh44OMywpkpj/clcSzfgyQG/VQGSPeGxR0cnbAbyw2TLEWCgOeF93ap
unIjDOcjAmyGDm3zWEKaJoiSWf+hGWy2bIazLLrWXDhKU4ZtXyz4G7w69XjLMcdatkJK34NrkApE
/neynxRYrhRdcL849ICURX6xZA/24+08xuE9JhHiVDuMCJgfg1L02fA4Vn50nxIndI44KfuQGmb6
iREEL1YwIboMTZXsE8+2kYMEJk7mpDBsOEarDzD5t3OC2l/xNaId3EpfHmU+m8GnWdXioYDDPZ/N
MV4EZ5BRZ3tYi1qRE9oK0shdy7a/IhGX7rYts2Me1OEFUVHRNTbc8VkE58iL4+Y+79rHqRiX3T8R
90i2wSU192kMUvZ5WYvkGFS19aCNUOM8HA/mZR0M3h3R05m3SfphUUfiQ2QPDfZnsfDOnbBqfcB0
q7watYUn9exY9wVMw001KhwkQJOIhwND8OAaguqvCjssT6VnOF9zYfPf15xY7Udwayv8GvhD0q5o
U8NqN6NpyFdWlGnQTZUZF0WeaG5dgZ56Jgf18+T51SFxSv8K5w0TS8MO13WBzRAZ7qH6gtsDtUiN
0fmFvWDumeh5rE0QtFukFg6bhZNH7an11US6aeqfjHHiWCjg92wMqELfYUAGFxL2z5IDP7NoGs1K
UZFJGAiMLJaSxsAXuWslTrYVsJc2rsWengb8nt7i07gdSD7zL9vGqyFgHyx0ymfCB3HAxNbhH8QZ
scGr0aatcvM6KTaRlbHft317mOKefZCODLNDBuJEf9V0xinkDtRrHCZk1nn+eF3bXN6VQ5PvnwcO
1PxgMOHsPM5Tyob/vAV6sQ7brce0hKUP8hdfk5Tmw4WuB+di0Nrce7kEpWk7Q30vbYAguL2LWtGa
G0k4GOejSlCl4nmY5MCQWBHHDIRgVWCSTouy//mxRCnbfN/EKZVEaBgcXx6DzvMmBx7uJz1ed6Rm
fCh8xjNizsvpaA0WpFJid3EzvATiw/bXbIPqy4BrIxa/sudTJ8WCPA39zCVL6MDerdPUueK0cDuk
q/DcoiYjPsY3e8/DxNtxjzpbmN1JI6e70KjkFzcWbKxTa6QXQ92OOKeQEY0bmxbRh8GbsTzGV8O9
cGbbV+yLnrjLK8M81jo2nrq2CfaxHgD0+cxUOYnhBffWOLAsfESJet0EHcOrdkHBogX62LWek2Hr
MibLHW0YgWE0MXGs69rHoRMSZVcSj8UTJcOGx6SLZboGwngyxKJa66zZBGmUDCASKNFEoyysChS8
3CdKyzvXTgx9h1dq7uJRNMRR7N/mmR+4HFV1gFSLo7GZkt2U4c4iYL1TLYNnD51ceYJyAydkiQrS
wUQLe9Nkg480THB3svYkXFGDeFZsHjOnjU82xv5rmGnTlj8aPL5kcMzTub7k8Te3FQP1s6yPjc+j
ESRHo4tC4kpijp7JL0j8IllqGvH1yfUg+R6NuynNRb7pBefA7OG6KeybyGdLt7FH2AkzEohyRLFi
CtScVbhkw2PMxS1JEyH+smwSCEFbELmMigTJXPYEc4/o6L4KD8FcFcmqawD4eAMH2CDlU9kCa+QA
HaMznLGuKQx0YxL8VptXspj6TW8SwEYUALb2soH3HoV3IzSWXcohukmbGMdQcl4cs3MuUUuWNzxt
zuVyzI+cfMWegDbCf3HKWvuFu42C/FJnuPoDJU5X5lRHH2vD1V/ayrJPFeylag0ZngISYVge5OXG
7a/tQtxS+RH/Q1bxk3SJaLNtiJ9MdKwgNctV6WF56x+MdP4hG5cHQhRHhMkcvMx4U2iT/Ckqgr5e
G5zAUGHxKmIHifEBQLWk2Q27tDrXjWWcufbUEFyW5SzSIma3gY3MipwZaZOiPZKpfD1lQ5qse8ru
zftt1NJ1vOhKFg4jBDWABQwXsDl42UXNPQMNTjwoNPK56O9HGJrtUvi+f5033Y8PSwh7ZJBvEwDV
ftUeBmHc6bTq6kNeumzGGlDuQ6Nag1CtUSz2HEvr8rwdvn/dN60/1wVehqJBZ+rQKb78frTkObHV
sLvGNHeBN+Em4a1OVumA+K/dVkU53UJPYC9u+qXKff/qL9U1CzOKbFuLrpgXnA/xGmecVAp6ItwK
FXhIAzL7rfXBX3bd1FPs9l1EwP3KrFvakqXythyfzf35I/wHsfsDYmfb6Kp+e1pvBFwffixG4erH
j98hu18/9Quy88VfcL48MBtEUvyyX3BdYP5lC+imGI9QlsIeBRn8BdfZ7l8uRE/Xp8l3BKuddf4L
rrOdv7ATeaYg+dK3IST9E2ap49mv31yL+CnIhCaOKqQavwbR0NSzmw1Mpo0+U6Le4/BK8sWWwfaA
KrkwUVcJ3vrhorMmCCSqmTZCjfbei0Lv0BTM6kiBxP0Rp3NxUo3jfhiZ623dxCwJDXMV4RCtvS1w
u/qMbW5DYiFEPKxEsGi2apO8WMwl6FgiZ+uF3ndNuttZb6toL5My2lCRNmuCVTGLnDu9n4AWMYGz
HRqHYFQ7HHuYV5U+pUE6VZ+duvEfy1YVZ3qMyFFJ3J1WNIsmGQvrPk3IZGnZasspQQQQE5bDUUYK
HhJzt/ocC93srd6Yj6ondpkizXW/oqaucastaqLbC+Rcl1U7dR+ztCOVOJ3NW41bxaYk5arXIrg0
U6RCfhFFD+y1lP121h9mT+NrnMCECVOz3beM1g9DQrWL9eNNVVfeWUtZvYPfO63Qfoqr0gvIjMg2
shqza8MPOX9CMhbENPjbPKJl0lkj7wAuYNg3jrk2MTa5CBCjn2k1G7BPZ3EkH8ogaRXj1IzQesz8
0nmDpVx12bixh02Tb+CBNgz6g6BChdEjvYsIbtseTn6xYxJIENms5htYburSS4wQq1DrgzsW47cp
0+5WDSndppepmzmDGTBMbr5zgc82Rj1Ot06Sel91iK1TOT1gsqH2orbxN+4RulFCh/c90Te7NA1d
YvzcbLrUk5VeRrIgSAI1XrwmVrDY+gVSiST2fUgCbYtpgJVsJoY9W4BvC2J/R2kO9vDVb8vhKWIS
vZsXddG6waN1y3vj3DjToFBopPXHWIv0oz9W0yPGOSbt+izNSwPnPthci5AAmnMMP4j8nToiWw2y
P1SMOfOPoemWV7boq0u234/xaGBeSahuc/B1ld2MVWMcfSJUrqyipd5poHOt8LTBpjERRuEdtKET
7KNQ3DEb1U6WrWe9WISR05WWVh+sUMzbu9ipffghiNuxx7OKw6T9lCCZANt8UqywI4UHVtCMccZS
sUQowQV10Mgk89ow5CGQoJaxLpvL1rUeq7zxwgtcs8f4vBb5JzdpvduikvvQ8IWBH7h2QmuPXUqa
eSBlQxl8oyVvkm3EUPIK9EldK235xbegpL+4cEqsPP1Of5T1aF9j1B63Gvs574MTqnQLSUBso7wM
sIXxLOy5QgWHp47d+rYeDUxl1snURwgGvaz9aOWDk40baWYlHm2wAyqQASV9ZdBwwIG9YqPkvhc9
UTGhS3AppyreNV9mYIFubSIKOeEgWXifTMnEusUcZBI3JX4c4fd0sRglgiOAkBbgYuQYztbUFR7e
oczw+iw0Po+Aahko31IcmV2QfvWgcxkHkp7I05ZVzgwTMgWMqp9wVDhijnk5RMUCC4CUZvhcsFLM
SUSoYfCrWZWLdwXxJs73iRCFbG+BIdeobxqv3PRGEmC0LBjHbUuZcUnCx+glitGki4goZOl2c9Ay
cyAokb1vOcSzkJLOChRyH4bSKWSeJCirKxpJq8K2TTex3Z1n8M/MTVX1CIC80Yu2JolhVyONwk46
A39r5mS6EtKLJbgrwukDUxcLC2lDtXjvtQ1umkUw7FPHdi/LwGlIRAt470cZbmSWL+6tEECICrXi
fen1/r6K2+y6tPKLOSJsYtXC0b4YYxmfhyDgRAl1DjxFiOq8VH2CKlKXWqw6aJBH32uZu5bp8q4i
kyF7O9m2UWUbO9NLzDsvJxbPtcg3XQNo4gZglOWJFhar395ziT9u+i8yDS0sLu3gfFpIkHmDoWk2
OtEegsmscMXTaCELNU/fmqn5yhnVnpa5AjVZCDyEp6e/sszGvINNG+6AcvHvBDG7cWDycTiUZFiB
3V9VnU//gnXbsad3+TZbrryGv7BR5MHi3ZCGBxim5ufME8kGMMX/0gtINuBhGEzDcBrPvdnDxAJe
zwr7I+Jehil9iGEpHCUhLyew0B2Cfmc1YqOTrjs7FvXiduNs0ymcr90gTYE0g73Ky/rj7FXd2eT2
ei8IS9vLvoBClQrUa7PCp2PICXT3MBpLN+1oYZFrs8VD3odrguJ4NXD9uzFwiMARUO0iFJXX9RQh
fZvjbEuyc7THhQTIHkMLskoHJ2ZrnJ3P5DnSc/UyqB97bMcvhTeLH722qp3sZnubiVAcXNXYn0iC
JbYvwOuyFiraAdaSLlh2+Skzh+Ze8x5e6rZrr6UUwQUtdrkm2zW9IK0Qjpkd96eMRLc1uX7uIZ/7
h8Z3kovJieNPGH6bGKGKgF+iXCqBJd1N+8h9q8I2Twrzhm6d8OZfy5Qs+sBy20d/yXdUboaSeO5u
WoSASyiI754VmO7dZOgxzkWaVV8HFTWreiT1IEM/fBab0acQbteaHG2T4gF9sQGtaJtYGTI+U9Dp
lqG5HUCLL0cQ1XPbUGBUnP40x3DMN46ICZwfRffRsLBIRBsMerNygBYDY6hA40c3WMOJ8tYYvuL4
j8AbRkDhM7RdmZkrIn6bOfjgELzUbd9t8OqVj9ZIsBSOnSnQkZkuwFNLeAtvlTvF3p3dpj6NMtgy
Hn8flEu+6n8MGn63HvyGKwBJJLc/oqQqf6/Unwdo/34e/7HEWPT7f911j90P9ebn/qUec/+C64OH
4f+IvX7V+MKz/mJYDx+HWB8G8kt1/avEZ45vS8pxZFb4ddIV/KrvF+dB2+IFCYTlQeaxvH9S39sv
y/vlioI5oYuSy3MZWb8mwuTEQpRiyOQPHy6Hhr5dOzUcUbPuk/leSl1nj47RSkUuw6QmvASsUcYj
Fuih+TUqW6dk3mCNmXcMYomxT0ZCSXNAipury1wWDPtWFTkp9VeZdSnUf8N1c+S+EUIb8cOj5NK3
2BB5+SMxfnX4zSZZ1j1xFDTwZQqS3vkoDq7XxVUMe3+gY8hlm9Ur2CtFcSE4TfnIUUEk87mF+3/6
RK7Foi/5rWH7Gx7BS1BhGTTj8QS8Sl+PVo+O62Vz71FP6diN/R/hUKGSP3SFkzswanrVeodZ4fLC
/pvUefKUm2Fihbv3L/+Kvcb1PQ9WpeVwiPGk3kjHMGDExsV0k++pyGzAgw6TPXsZG1gGMTrtOKBl
2bRxF3HYGo4x18QKOOjNLfKcYKXaR8Rn5ZKKUDUMCk6IZxr+3fsfcgFW/gfgcfDNtG28o0m0Fdia
sixf3qMxThDU0yp+d4lCMK1NNHtI/3e573S2iQdq57oPGVa73R+IZq+ezXJdJ0AhaEmTASQ+Yi+v
iz1z5VWG7X+PJtYcQ0gTXPhzTBVbwsBIE53Adou7rlvFcWVZ7k/Y49v4f6Mf1d8sjZfIy/K1PRSX
DlZ4DmUl79DLy0eyTzBNjO3vyJA9QpHlYLrykRfJ6M4w8PHyE0bWlbi0s2bSdxlWnHjcKpw8uSnv
PwB2hJcPAJoZKkkSQSR8NmiOLz9JR0OdTlkZfguDGQh+XzWwTwBtQ8w0pj1eiSBufwD13n55mDUu
6VZw/EyMHl6BerSKYU4AU/vdcQfe8t0k3FkATbaDVg65p6HjPrSau47UEZKq+0B93KML6JPKrIc/
LATxaifzTMh8Dm8JLyqsnzfsmyjAQTWoO+NrTE9TGKRIUjjH1NRVrKq1HlJndtYJxqr4g4wURXwq
mZhE+RS1m07kr1JS3QVFXLTlppHQP7GoSEr19f3H9BIoXCzjELTCEpJoggVvy6u9BJUaTAEc276O
FEIsAuQ/JjfLHAebKpd+rzfuaitrlpemG6rlT0kd6T/crJeLZaFewVSyTbxwIQYLLN9eLhaKn4aN
3OhPMUM1tpKZ8Fb3oSaQRN9gGq6di/e/9d9dDwk0CCn/AyN9tVK8cXGa9k19motWcuPHiAxIZsFZ
IivUNEn0+M+u5+HfCvMUbq0NWQhl6svvZw+hEDQc6SlMsaC9KzOWqbUhfMaz8Ydu8Kj9w9v3ZvXB
r0YbapsugJuNXu3VFf3GUt2k3GqJ5zA4FFOOgxmyyURArDy3Q8lBqiKoDI9FKkuOqLYu6JYOvpEC
rK2amONrOUqnmJ8qScDszx24EnSC79+ZxQnqxT4hllXnWYuIllcGy9uXt2a0B+RA5WxjIWi5Bin3
napzfU2WCOzu9UCnxIczMILg32HzUlSEcGXzZNzhExSeYVedI6os5hnSchE3cNpWkCxchKNamkZ+
SwMRzbji2OBvGKMa6STKo4mjG781SxAqNH+686CgL74QMyRgb4BvwWqGQvNqLfOql00PsfgB712Z
kutr+ssSC0PNmHctlmRQ0Kjp53GU43XcrIiMYX+uRUim1oqhGLGpOz3Yf94hndfHItRfqjsSG6EZ
Lzvzq2VBioPCQb1CJt+yLTVbW2W+c4nsg4x1W+mJ2xGEMG6Ylo/T5K0AUNDzrDlBB/c2arAxgiKO
GOe+NbRyTwBiS8U1On2B9ivTcnk8lbIDltDUe7K/rds0m+/n3M2QhJl5vlQBCXefB1SVAUEbK2SL
lHY+YCvPzpYpPlwrNZPISPi8VLbauZ5enl02RgkVGxAul4dUZjCw9qsx5VdUVGN8cjLQlmKrq8Hm
Hkeiupp6F/St6O8cu5q7C1qUEKVKXrQWFvQgiOMhcqhWvjB2Jl+tN3tgsK3nRxRufVNW1HzvL/aX
2w5VAcRrE2AdOM9zcWZ4tTTscCojwcj8gZEiYSOAYqZXqxWJsBVZuboZ2Hnfv+Lr7d3CKNy00Knj
6UAx9PqKqjVVTNLy8MWe9bIYB+0s54mlvIxqyF1Evg8hhtoswoHuUEWXsMY91un/4+y8euNG1j7/
VRZ7zxfMAdj3Ypsd1EpWsDSybwjL8jCTxWIVWeSn3x8tH5yxZzHeswNjBEmtJlld4Qn/8M+3seUH
Py0KimGgfIkE0EKinfNrH2z1Jj1YSdg+t0AUFZAlhEqtbz3IH3ajoh4754AmIFrgkDVzdhxRBH1+
oBTjTv0OnCe2wvSg8+EKderw0XiyifHeosc0PVAOwUkMJ3U6SUwi8CsVfWRqWH7GYcNiRy5sesB3
hHDtnFW12lb+BA/ig0sAhX6pR23b/A5q/+u+htFqbBO/8dQ8LRSPX46YOsxAQQ1j9DTpziYrCNAA
JSuY1m3e+kStCFs5Mw0GIGiJx5ccLuu21eHpsa0KgFhu9pjhu8UP3aHkpLpAycbbtshhHaFWDw0A
ufK0BkvNqsuQiWLCOvS5WZ2RM7CMfvMh/rKzIUePZgi5XkiHz3NoaP68VQNubNeeSvBTrNCSFkcl
8u0GlOWBDvuxjhHroOx9zCg+s8TZK7ctRYqBg8YCELlcOSbYftQjIlp/AYAS+RfljKERJM9l7sNb
GGG8qgSztbHH8zYcj7UVUXcWsaTRgutbJ3jc3zzaL2E7jwb3Gp1ClgrgKwLonx9NQZ2NGt0vT14O
YGpzCR2YWmAryv6rsuN6U49DjHJ9jtxuOx9bq3f4QEzYNjCH1zZ0VH5MPEvPT4T9kuGYo8pj9nnT
ym7SlSgbTCd/bsS2u2m2zYvSFTPbmiLE44IIANl8R9LqMBRt7jMUCiKQpdIAYAhLAjBSxXfv47Nt
hfV/FKTQ7AvRUGWTQpbRAan7axDmzKsfLiHav1NLsXs4vucLbhGbqU5J1Yu8+9228MtxtF0SHQvE
HjmW8Lz5NZO1UUPyQ2Gij6MGMPZFLajiUHpbFePjV8IHFJLNFqCtHWSwhQFvpqwjZGHTY5RmaRp1
F4VjnFXHTPkxmwELcnqQTc+rTAvo8AFQHgfVj48tH3DJnXcG03LWCqto+zjy2mwfBPq2Dl+SpUqm
Bxv9Xu4kqKGNP2MnuSX+/zzlEBf/eU/k4bdDgE3CgQD29xSV+BrFbNss2CfQkQJjo2tPpNlsZ9Vt
6K6+XFBalyFSgYkL9qKgxDaUw6XdaM8E0CuxMLmSoDf9m6xF+yyFFm/yr3aJdj3KWn6IfkLXN29+
1aySnkrYyi/z6jTzB39ybLPuY3RccdMbiB9HfZznIJ5u5VCgiLALW7tFzd2WToIXikTkqzJKS7RN
TDysEPS6SeJvlJsakdwdslrz0uyMhcVadcSqTPuPYaMWP09t4+hZY2A3F05G/Jbl6qyKiMgsjcAI
rCt1AqaiOJt6yTTqVqIKj1MS5bixtZZZYSb0bvmsgcVle89XLm5cJPz9AntJocqYlO5c49HY5BeR
66n90OMhd5UlnW2fnNlBXCO3EOGzDwInH/8JWiPk/Kekt435aDA4VjdICXbWAydGpN8CGYaSovaU
d/1OYDxQjPcJBtL1CS22yhzX3kdPY5dAlHKRUZbrOMSvTlvF3Rs638ho7Zkqy/At0Wqe7ZTmx4jY
tcpwW6DuWttBE56y1kJhj+aEVdenKQRe3BTfCtpyilE2cBukf7N6/cSUXh05iuKePrgK7UPX+fQw
sFHOoPxuJrb1kB+qKVfzdA3OIi/LI06kfRk+BErK/hxWfpHHR+ZK6NX40QDalJgJxOWc7LDvDAe1
BwqyYgs156NVlKe5bDlt0hrVbzZYDDx18NJbGjPpM5NjtrJ09ghbnFstiLqSnaLLYcIPDUwzvqj3
H2KK0fA7SHg+l1v70R9eV41D9HRZhVLk7oVjLAtQ3FIFYLXRequctsEeaNrORTuwSh4n9wIOlS8m
W2iQpTh80lz8sMxiFtFdlVnV3Byj2rNcca41kgrTh7DygjLZAaTcijyRxJGpfqbjT3f5yvebkZGy
AAg67Q279lAEV5aXyai5dkqURZu7qpqrODvMFRtBfsALGD5xypa13dIyWQhzHOwckYFhb2NIBbO/
U7YVdC9u7nZcD6fnJHnSeTwMqaSwwMjirVhygqQOrHzehPsnZAFEmmwxPWYIPH0qCgeBtmNVzNuI
eQ1I72TXj4UiQWyjbcv3AZzFyDvOqmcCrB3xxkklsuV14v1RCxWsDN9QRfzHWTJmXK0pnC3JdMrt
43GEX7jBH05jtnHu/KSiOGdpS/JRWB1+AP63YSChGY6yLIm00jnGKgqkYlwE8AOZ8nrQzzifo8rA
eGEH1QM9XH3H3MTYp3IrJZ+0WB9DZhZX8PjV8JpZZptgobS2Tx6fFX7WJO02NNPk8FKO2HiYuYep
G7ls+uN5pKS580oFs+BnqFP14WMd+Fni4dOQUFGDaF0A6Dr8mD1YIye8ZVRZ28Nlavk+GJpZI9Mf
MW4SrMH2nTcG9Y1nl9J6/DHU1vvL/zXI76+j9OLWN5ErsCin5YJi/GtdQs2U6It4Cw89uKvhWsBC
c9qCJOB5n+yC9w+qXyfFVCPz1jI/d06yZMFGYZ6W8ANd3Z5Rmty24SWuoGgpU+pGGX312l62oDfH
vZsfNlFuY5bxPoK9YAWxr70/U4Gzx4KLbN+Fs7N13rfs3H7/aN+nRwhNlfEJ/ZK/OARAaHlHszVl
4Ns4crtM4RchP1z6wY6KJ7Tsfa0ueVJvG973ibRq+rfE3663vYtTypG/g9zpMbtGhc7uvwbUwmOc
b/rG6/3oYNkBpY3zCrbGiFNuUyKkM1XqnjUN1HgrJY3g/NEWjdzhFWxtx/Shp95uDy/ROgk/jDQH
tjd0p+2LP4ESZ0Q6e1sO7Rps99/pEAPuJ93kTV4eO6RUrcdi8Jzcu6jHJXLUlfc+V8pqTFR0+jHk
CUhNbseUXs2bcAL0XLwSZc05T4t0De0nIrcK7V2B3EhXpvaYZ1w8QPCBlEk1gmJxQ8GAGhgfU6HP
UZ9vy1lzvvKzetE4Hx9rgkU827xkbEx/ARrYBjHdJD6+eLtszMnzIchqXl+oYeQLQWPQ3OIswv+X
72WvwJ4dam8DzZHmFrJPRlFglhVXx56in57DLgOtcAAAsc39OWErr47GG1x2mFgibAXwBrV9XmKs
LkvGc5BwVJlPNnJX7Dc59qd1ffGjPl+pBlPToy4a8t2viz/6nod2QcFwnLzva2bA8JUBw+GhztZn
dEbpoj/B6inm8EK9P7pJcph+e0/gg8QT1fk8BodwtR12OSX9bfgcKm4MJvWqbYq/F6TjsYYEscOK
bnteVZYuXyQTnNcPWEjxXdmsFOoT3627ZEfJYgnbGw83EF4RQilmUkOVGJlX70UWpDYAxB5Bl8jM
PecZVCQco99rmRvFnzLsgHk9BejMqUl925bcqUsVsgPkoQjWb+tJIYdDVyOvY/r2ey/MFs68cWGn
qY7ketvg6dLbSgWujmuaG1UDYy24kkvDU36aCc8y63LORinL28RD9rXY9Zrj7iaqMy9UIH2GdsGL
MKuspTiGM3bM457SBXVD0NAkuJ/9HLMV9E84q/nwV8vHWOUYdu12bLRYKzNqUM4cJt/7SFaqp7Tv
lTZqJJfzGrRZdF+verYeJcE0VYVVYCv8mf2Wsqo1C4g8YCpoHjONRGex+f8ohDboL221gKTtZ/E5
TJZicF59UN3NbRgOYsmOPmBmZf05l05lsgMnmtcEu7GhoWClceNEktoMitvqo50PVZ6niM96BSJG
yGB5w1sylXiEfxqzmNLESdZ6arEYdNexfl597QKU05wOhmTfcXpiSgysEu1oZnlbJW468UMrwlgV
02Af/Nb7k7x/loPAYjRIASIv22N9326aZtr2v2TJt92E6H9bvOXYbq/ovrdDsgr8GJIljm3xCjwN
txdmHtWJ9kDmvjWLyiYTLOWcaDG7XdXiIFjNQt1WZdJuv/kxZYkp2YlQ1Nh+9d5g2LZTCyFxA2ox
2jmutOM7XWCjBUja7mhH4MqTJe55RquHP8otiCo0Jygj8wXsB7vFsNrMb9+moXNL3XK7c6rU/OmP
CyEex5E2MFWsx/eMDbOnNap3VSe0f1+/b1iQC7Z3hn28VfetZtiKkJApJQYSLUozSPgUQ6itRw2l
gmcGf18xlUo338K4Aslg6zGamu229PcFBxyNcwQsJVg1Qhl369vuu9lsczLKVjDF+BPCYmsPRQUQ
Jju+Dwh14G3Tw7lxC7F8aEXVFdiTBqXcf06vfknoqeWwPzCDkVSIQudvZeVC0ZShXu0+Fn0fctdR
Dj/mUSJU3dwOyKNxEw0sTkZhKoft3v/58lsd9S/tx+3y4daJQuAD+PPfCv5Sm96aQeQAb/m+NVbU
gLfxp13W/Mb46pcCOqvJpo/BtShZ8f9wK739RUtkBnIaZ4SS/5ojdm36PoWuBFEAA+JtdicYTPNF
lxWfcO/jjIze4Pvm+M+P/XOZL0BEhKoQGGHw5Z7HPHd/vpdswqQF8aX8Ef8FtrEycLZ4fESQyzvg
KvL7cf77BTc4MHK14M0pLia/VFTrQiLvhQrfw2A6Doq85sTfeM9scz9W9j8/4K+yjjwhtVsbbLAb
uw79vV8uaJrKz0EQkWS97xhzgVBXgZCZtwTB0fhjPCHNhlTsvZ69pYIR0W37uSfZGqxxRQvoN1W5
Xwnh9pZKoSpArzkJ0Pv9leWPSYI1R4s3PDTvi2omrmONG11n7OtwlUs+Ahh6W8cpAZbJHeB9ut0I
EnKDRldrILM/Bq3XB/bOsLUsGHWJgZezPjLnFjaV6w3Aor83CMX7NvubYf25tEhuApYBgViX9hgB
3t8YA52tiqwyIvlqV9Qff4wXZjJbDCARvSFPmGOY/Knd+tJFPV02lLCxbLWdEYxaZ6KnaraZ3b+5
r3cwxb9XckBxKo6YY9SnttY6bhk/T2nbphEQlcV4kit09BHcuNnwBBrhBd3/Oa4dLem0H3OKefgu
Z7C+4aIGOYa0VxwPgGhyXKgFpYZr1yfZte/aLMjz/mLhMAr628yUtWOWNHPpcXwahwHOz0FWrt9B
/2n0ChbL7u1wbLGWDqjt4CLt9F54l7w3kOqQ6Nf7kHUtID9MzYsJ9iSnalg6JOEVYIsLItsICk5j
VYJt7seJCA12OwHq93OMkBCM6i78vm7eY9v6+2jOBcpfQUousp078+RaRFC9GxOYdq5muDnTQx3d
emOz9bis98NU0I3jc7MFBhDw2kbVOuuuQyShK/ehiJpK45L0nmMP7NPQr95Pzu9HNq2cmfFFKGM7
NaJh8oYzwWyNup+AGGw9tjVh7HRpUx4v87Qx7UgATwEZw6onjzgr8W7DRSW+OFehjan5ZTBOksLe
8h74J/MyAnsvMG6gzkfKH1HW3lWFgsSYWhptPrSoBg/8j3uXDAnktkM+hH4wfAyWZFr7jxS4txYK
QQe8otsem4U+/IjqV+jne+Y5gIBjIQfHqdLWIcr5cyHXGePLIDSz+xmu26LiW7+dM3HfJUmFAXXV
YQBB6kWn2qgUeRSat4euX/hs9zO4aVzwbFQm+iklFnACYHj+ks3XdTKqETvvpppL0rckljTiysLG
C8tu1Pwa2m29FPvMJ8Lrdm3UtfKlI9W39C5+7/H8iPkGGrB5eB3DfSbC7YomhED442Cn0roFJksH
xxw1qu9pT/M9/OiipiZHkAmYFiT+pR22eFCMeR9xG25do7dQW1PykV2jjx9Fl1jNsS2DPEAbNZ8f
g6UEFbqUc3Yq/cm7QDRvPbdy07UAdfsQAQ5PTRIUt1GpGmxg/El+zJjUF34ewGdl9RWvlRTNS26X
PdqMNtS0DMG2I9kVNQy3Q/pU2J/7muXYwdDHja8U+wjwJp+ubckjuEwgrX2pP6xVo+wDYaA6xIuN
PVk9hu3XQuhH1/HFlfSt/KqdRnUIRmqeQEnyi6nX+Ogkc3wP32KgkSzKNyw48Y0pBGxWzCn2QZYM
OGC47XHJOtqOnQh83jpe8Favuug485bnmATgFWKUPtFoz96GpG5OtXFwEFiSKjgWcCAeBfo5sDWp
CYyA+fv8aTZr/KVBwJTcUbcfAUyXB9tV9qVvJ6gk9ZblXfvUhY5SjVCB8K27p1pVgjhSXvLm0Fsg
gHaE8wAJriixve+sgzO26mGcfDJctoL9uBh96Y2oLuyCdsZZIoLJFr+Uk5ssZ1re+uuIQYlz6LVQ
xNVlW2AP7AXxtxj+LVTlzJKXbUL/e+87qro3k1cTmLf9VTAqPNQz5Hi/2NUork3k21dj6GwzNAu2
pl0+zZeG+OnGjurpTLnVuixrr3D3uEQ2b0CLAQ7jM4hdrQIZ+GkWw/xtsCyz+TKtXxBK6F1a2Lgx
JCsC53AOG9HswDxJvRfrXJvLUOd41thoVd4uTsRGTAyfTrPXeJd+bDfiUppBHrFtdK+CBn0+SovP
wbx8tXWW3fpYDsPC0WpPLctGlda0U7QPlt5DXU51t6Lw5adFGIIAm35qDo+4pumOA1OZQ/e1NORa
WqH4ALlNd+rJTIF8t+reOF19PxYYh6S1UvnTALf1BX1ZHG4Ho02aOZvDfcX90eLDVK1m4ZkCex0T
z3eJOxYNFIyp+lK1YkXc0m6fkfkCRiwmB2sePz4LFyURLe3sEhsK/8sYh+a6osCM/AsVPi6aqV2m
rYEUSOfXYYxK7q5x6uSLxL7O3scEBNUuqMbhLpxDvE7cAXVoRC2jC4V2yx3AEMAEcwFvou8gZSEO
cqrEFH6RXvY0k5g9rQNiLadB+MuuGtr828KAnAoVaX0g7lgeEWgNkI/2B1qEuAft7GKazmFSi9NA
4ONssjXJU9Kp5NVDdvdjJbP+dVqn9Ztmgu+nqHdvfDrZJyDL7n4wg3okoMFPbu6mawtOy+fV7ruT
h+kg2Crql7fFYvucZYYdCceZmAIEqhIXEZ2AVIxddaoDLZ9AZ3ncP1bvjt15xyr0Rrx8s+Eu6RBL
dJYmeWzRPbjKIXcfTMSWS97Vlredb6tLqf35rhsz+VHisv0VehWbgzssgOyXlsVDEeWD4yl9ZWQ0
n8vZeD2Fgrg7ZWHr78nHwEiSZyfYjcDyxWZW3q9uXDzFgJY+DWusPnLg51CoZHSzOpYCNIMNSpNk
AW45CBmkCqvOfbwu+PvYoMmOa271dzU13ztolwJNF9HYRzlXwyehtI9QSLCu1zLx9RXIGOxIrLb/
mHsruG7USM3Bi+r4wqHJlEJ68T/EU+5RCpbWm5W5oMiul8BfSxxvW0P0vI80NdT4ug68KVIHLL9r
3NT+rQFBWt9gNLR0/z/6D2BL9FPpTtOAQF/j+T/JPtgtDJ9f1R7iZG2jXbWq5IfaQ2/RYL5CxyRi
rEN7VvJ6SCY6C46RznzufLRaPeNb91GXlCINjURCvEiEfEACZGoP9BiX4qot677cW7ILwDRCCLDw
PMUm6mGJO6mL0xZ62PsE/kXTY6Ep+jmvL2uSQNmkTkTkkgatzqab/zv3H8AdvI7ZIUS8UmR+6jko
STck+4hEQyIkcMoRkM4uJhVGl4Fr7K76uHpLhpvOYgY70Zcum519jn1K0KehWTq5L6Yx0I8JnG2Y
cC6SzXInrSxv6tTyE/NYesA0di46FPf94lgrdkukMakdDa59PcPb61IXWk50AyFmnfcgstZ9Tynl
skJcIg2dqL5UKCqN1Qc8M0OY/4htdLZp9xQG2nqDBQk3aD8o5Vex2i9hFWIm22mUBg59TD8t1c7i
tgcf4fUCIgbtwF3bUVdMV2UGrLfbhU5DpKv6ooNp3x9yOlM3dUldbo8yublAY8pBNSe2i4gaTCWd
c51j27ETOojg5sy0W0PlqluUBk2UtlUGPR5pBI/aD0WiZ0dY8g2DswoBAIH6QN9nDmKDU+FqtIdD
U1h9SjMY7BOaBEX4sFh+HxGYaZgTTcpOipIkwg1WacqvbEJDHB4K0YhdkA8obB3qNnIgNArXIKtz
41hTqNFC6NrsooJc8iWfps8rtqxPeSE+54kIqh1pQvs4AybAKTeTJ5vDw2aTCCX9lmi9ahDRvZVe
iWFTgdm0GMSKQDy4QCj1bdA+yg6rLSlDZGXj0md/nVT7FVGE9Rj1WJYOucluaGnFduqgAT/sVw4b
/y7BTvcxArEikVehuMB8YMKAkiznNwwv6nuBn2F8GKMovx77Dg+KYVT5ARYrxr2UKXM4Kq1JzuiW
DHu3G5pjPWQBsEfbOSSq6K/qLLBu3Nr4V66gS9bn6EsjZ5wjleBm05dOR/q0GhfZYzQ9m3ZvJ9Mw
HgSU8lsAazNYOTlnu2SccVYd6rxK/XCcxC5xWphUPQg8fR5DHu6wUFV9XDNZvmU0WgfkyYsJZ1eJ
Ec261FhqaZfDH1pns0fzu3njFrIHTp3yqBEzTKH3YvFa5s5nSj3mCEokOfV20h4jEVV3FgzZdEL/
/AW9sSf0lTYOk48vmZtVn/rZVf0OP7f+k2dn8lK7HoZZmTRVnJZU4y4zgSN2nduUVEszpVCrvQ8V
acnlNDvl17rwos91ljsvtePN1xOtwn2AQeTZo0b5TLXXrffsaUbsvMoebsIs84hbEcfZJqH/1a/h
IRG2t9upbdzxtUe5DOWOsKTzRvWyD894OJZ9OsrS4HnYrBg2DNFcQW9r2Efgt5VVcNOI0X0tikIh
Kt5wD7uqiTAaq3nflHoLc6KAbXhG3tuN9qTwEyLlFsf3ZSt69YcgayvSWnie/ZmDd0ba3Yrn6cJS
dbhXorIukENxn7ZG9dHB+lbvysUSH4LAVK8ad0yOBzLPY68z4Dd9FnjX9IrklUCOFr5RTkhzbUYt
XmtXGdzxqGtNu3JqzFelFtYKi5I8TQvKZm8ohPFLWkDToasmD01qpDU4XM1KMA9O8ZsPZjE7YrSl
EAIhf9tZhCNq32SDFRysAcEwOMZT8KzGpvkUicnAiPTGfWNbg32rZ+RZaOfECTAUYrhdqOaiOc0E
VejS2x2qHUOBqvlgEkJPYANWf+uh02SlOtugXzgsBzDTxARHAAgEkyjdhCEqv56OORiBIWnrFOk1
hXTDlsZOaQYH1iWm9rpsfelG/Kw/uL2DtTRZRVazpSVhv4pUOojyLydYw1Xn4/vgZTG60EPpfWnA
KVoIgFuxqbIjHZra2Dd10Yd9kpJtY3eG+FXRjhof5tkOln1BwySG5AZ82EcMf1qytr5a4oySTjpq
kzjirpkgHWFBAa440Uepsad5yfPah383s1So28On8Tq5m8zQh+qYE6t1iKhpq/1zHEYzBTAL63Ij
RA80dx4z26XYfxIgcxDSkouPbtVdpUXN5+Bb4HOQv9KaojNqRZLH/4ZWTGQzjmPVLftEFCZ4CWTg
Fo/v1UFLbBVu1SRbLc51MiOukMvdesU0qLfyOOtwjd4QorZNeALIu7LeBmdMyk+IEhVWAbd4XlaM
BKGRzyFHBNuxetYFBYX4WhFQmlsE+OzFT3U+6qE+rbRT+LQ48qq+evVibBGxi2yUXrorT/N4K8r5
tPVHpABHb1OnVoEow0MIMrL0Lm2th6UH+FIqYhxyh3w4CjTS2I8tvENqYC83LughQneRsGMuSUl7
NvZPpYraZRGU/SZKd2UKhkfDZz7knfHL5iBmIB4JtYOuj69XQr8Y/YQGM5GdmrJE4O3sDwkCB8vq
+adN2/BZxBqjb+AceDb20Md2+Aqa9QC8oX2zUVZeaQvYcG8PfTgiRjBJgBFmt7oD3a4VAZvvsO7L
pMynO9gA0wWFx/K6tzMvrd1Q31TOsrQH4bWgg6aEzqOwmscqMXN0HhDsinYQRxcoqd3mKi+VDWzO
xGLuoNdM9ZvAPwRLKekjVBRyjuq98tblYSyt2RAgWM2BCJQMMatEEJxk6GMemrWxebXWzCzISuUo
hz3EdVkH+7nsuq8SczO5WYOTGnSrNZGNyMopDoQTcrzQSLJPb7lltooLEbULbbTGSx2m1ZRZx1Y7
MWgQFye/FEfuHt3xxR4vnLGPPjUTtqNjikJC3qcUFMuADDVaxlt4oHiAunag1Qu9dvr0gCaBdaWA
CAbI29pxAbJQ3LrNybwhjg7E4TeGDg9mZ14dHaI6bC6tTW9hBOkLmh8wl2jBCriLHvdxFyT0QCxV
nADK88FEJrd2SL8OF+hWDVWqKZi9rnTImRtZcq8tu+c5V3EM8Xq8Q1LU7P0kixGXpJn/zQItQ/Gw
Evm1xTY8fia5nIv7qGrlFnV5bnlBBBNeSpR3y1e2SG85eZNfPfSzl92Ay8vfcukw8vG8GvBRmaYy
suJdsROlPSN9EOi7WTYQcAVEtE2IvO3ZTbH9BiwbJA8O5UOkk6p+PjsULcr9DBjjj9nzYQIG9ehf
dH5VgYeTwSOmQP1RuZ39EsrR2SURwLdCNiuQ8HFddjCYlltYkag1uHqcoGVBax5Ri52S6ZzjtMU2
363gD/NsNtwuNjj04smGUYuIFvdIS4LGnu1BDdznk4ckCZFPRhVGiQg8m5ePA0FBt4w3nhb6OseN
Jt7bQQ4Znc67+DibSAFzVR1PSfs5+ozEVYwmGwH4B8wriXjH2EcUjZgaam5YZwn4h3ooiz0HegXU
h3LJHRR5F3p5KER4qCcQXXsPHYvDOhj+Jg/Ab4FTaMV+8sSf84h7ElJ0JkV7a/kUsVtMV0Z1Uuyb
YYofxkAqtCStIBhICEqqQK3b33hN5l7FBUoK4FKyBT0sJ0uuLKtwX5emrC9RmhjvAIdVKaAj9ws0
DN1BbImSJS2DEYEJRKOwBtFQzcddI2OVHXRRxg37r/Saq8pxl+Cowjl4tjIsYm6pXNUexYC+XXCW
aJ1PSAvkyw5Ta3nbA2mwsUQIFpKCxAVGP2Q2OoWtUxUf68DIOeXcJKojPt8XnhzibdzCD7M3U4b2
3D5DHbf1Xgba+vlu0s0nb2z7F6n6fleUHbVHIHwgc/KJKd/ITzlCWDmxlbFSi8jjRmr4JCN1l89d
rq2zrFjUe1nW0QelVX+pAjReyMjra+oC0YWV2fEzFeMyYhrk4atwYagb3x4fJrm453pEeDWtpnje
ojW7BavRUeKJxhEhEQ+thP0KS1vu2jIxpy5wp+YBvmuJKNk67iVT3U8HL8Ae2Uucq27pC8Bos4P1
0WJekkzhND7iB5uvmEi0cZP9CY7V3iPbpp5iwv0TnuDOaw/k+cXmT4KdZRg4MOYvkDziG0NX+SQm
xaqL9RcQsepOaBuL7lj1tsM6WO+wQUELQjp+e+I8kKj3xaO3R3vriiqadT0Prvyjotixjw2JCrpz
3bozhdM/W7g1P1YFDqSpT1X/LLDWhnsFtK/2vK+LpvovD7WgHiRfOaDqdkJDFQJF9EJGiyHdg/TH
3g8+qAq9DXMYEaQCDCMHGMx0pc1StQO9BjpcPf4pYDeWExYjG1rH622jirOti7ZazyCHEcjJSjMH
X4PO7+sL7E9b5aeZL21l7eMJmQrJ5lUDn4jaloZ8lThlaO9BejkrYWNs4yAi6xC93bNeDFXMXeia
4Oj73Rx/xnVGsakMom7Q4pyjoLARP5g6GuN7awkxXB8GH1AP+FfCeGA8C2xmFg24aWQRlqkQ/Td7
sJZo3NMFBRl2GMWMFi6gkDKvgafgbbOhlpmDCJie8ipf7eF+8mJFClN6Bi2a5z6es6na0/mLyfvg
qJQGEdKqH7FAGOcQ68aDLTw9Dq8a5Rdn2fEuGPng/eYTku1WUbAzXGSbjEOSUrHensQPcztpkAIx
UzT8gQLc6gZY/cSb4ijg6yg0V5YaSZivKmT1mhBl4iSOpuM/t+d+7v7SNYxowMIyxUWDJh09mZ97
c2WAcXOQl9Fb3YuNtIKH99bRb+uk4QO3etpSv+m2/gwr2K4I4Zlm5cayhcv3q5o1xblY2QDhv2Gr
t10RM+Cts+4FyDj5JMSFr0E3TbaxwPKXFU3B3zzyz8CCYHPq2NwTaK/TL4Wq8MsjE36aUrKcL6LO
kvXmkNxG3udQ0gn/zzAM26XgZDKum6rX9uDbrfwFWNBmbrvoPMwv3jFGUwDsmQaxi0biD7Lwf6TW
dvrW335pv43/a/urr72A9pUX6rsL7b+/+9i3/PvHl9yUX2U/9n+qX1/10/tiZ/vj7jaFtJ++OXSq
VMu9/ibRXxh1834P8K+3V/6//vJ/fPv+Lr9Ra3OoXP9lym8X+PGH21D89//835AeuvHL+Fclh/e/
+ZdUW/Jf9B4h2yfA/FwmB3iEf8m1+f8F8ASJADgd0LCDzSP433JtwYa0YyLbLgyMTeSNTvRmvOB5
GC84vBroaYS6GgIM/4kRcLwhPv7SPoclxD+YvRCNweP8jXAIYcH1hav9c9DENCACOL4osEynFYbQ
ZZMPWGNZPXTnfp6XNzp70XVQ+yTJMQZkDz0yKzs9CutLEzWkp4Gf3K4gpT6GFUWZXYi+9T4f/ei2
aKbxYamm8iO+7bTQ9FSekXBzPvciAw1ZRRW2QSFmImxy01hVF8aKkZApq9kQ52uxfgXYjQZPltN2
xMrPfYQEXF9yFndXWeQ1J+2hokmYdNMHbonVUsb2XSHd6KDGfe7KFoxna4UezoZ5dAmYk55T1pgP
vYibk2ji5HoZc4SO2Bfde2PphLZmbd84S2nfLODVUHzGC+noRk5zcno3f3GSMrl1rPrOMaRHmet8
JG7HrTMkqOwGyiI7G7bXn96CjvbcLmEaOxMmSbKVCmiA4++cCsgNxGBCV7lpFAeNLd5ong1oM0MH
GEpEcfHAqZ8GvwrhoCEDdhKtqS7oKgMq9WeKbtHipMpx9R99XGZEN8V8r1CO/Zos8/JCRolUKv3M
C+rDm5BRZe7h/wGbJZg+Uu7TV2TRw2vraYOnXR4dxdRMp8ipeYzcmJ1fd9j/dKj2DbWv36zE25Uy
WFIvEVeIJZx9MOT/h70z2ZEcy5LsrxR63QxwHhZdC1LnyVTVZtsQ5ubunMnHmXxf34cekeiIQGcl
Er3pRS3CgQDcBlelkvfJFTmy7kmzYI+uIFBb4bnIRLFXXGXPIJqtmAPkK3vhelvXg/Uz4jzAma1L
0MrpdMcDHu514vNXIrdS33iUnx9iHkbK2pBpf2QRlb5Ec+K9O7VNpg6TN5KcPT6KYayfPEq9zlK1
1fPYqugLPRor9Ztme0pBnD6alSm2jEi6549ETnbWlDspBF/DuMnZSc5RZMrN7DhIrArs3juZeY1T
HIXuq6Q1hmUZrV7pMnQOVdTZYZBKM/+ij15cQoAkO7avxtHuRL4thI344DrJG/Bh7VJGwroxyMnd
FM+IDcpgHPXRWiyIVfSA2bh9SqXhBZgi8n2h9NT3hYtQWlruRa+F/l56mn2mRTXbk3uAB5XmHCYL
hMPNaMbWQy7Gox6PJpcjdb+K2jGmR91n3DPlsFLINIzrofPJ4uoHJKliH82CdcpcWPuqDk3a5Zb6
C6fUXwwz+5pHQ0SBEpn6u+OWT9VgyJe2FTNH0FK9VbFtl8yCWGUJQiGdLgiFSzxoFkVtOFI/2Zul
VyfKaqYNw/C+mC6AfA18USST/NlNQOUOBjUOSADFMY14E0fDSPZUjNorF7/1o2O0HaILEWBoZdoT
JUL7SB/tQ8XkW2LLCnDGFCX+zjS7kXfM71aY7+x57A52KMs9QycDkqAPtedm+d5VXrJ3sNZukODq
ldN2yLnllN5Fq5o/JJJWYNBWB0KKrTlKQ/aGbWV6dkqh3IReVAFvqINvN87YT3KsvioNONbcro91
w1kugPtvdWmxDVG1z4yzQKvz2xBSZKrAeSFZZGi3VMXkXpJhbIN8VIcLoO7mywB974emukINd7ao
gNN6yLWeCkHHcN86oDQCc4nME+bPucL3OkcPsq2yrTJ1+HPm2XKC5hcFylUwpkLWW/elhBElq56q
CM8bniM5w5DKM49T4gKW0n8xpvK+kMeKU+p5XhBUmqa8pb+oVFHEISfJPYc6WhBuXgO+KleSV6R7
dZ+rHN8qlXpH2iSqb/kCvgqr2LtZiCD79hcXi0Vld0s6JcNRUwYWR/JPG8PGNlVBaqnYM7pAMIVc
hgW55f6ib2GWt9esfL0XuhzVi1wwXc0C7CrkQG9sZ+94IsqAA+hwoXMWiv8wpqc2tbF/z4p3ooaq
uXYLEixd4GBKmOTsGgqxrhZ0GJXs0UrqIBetBSyWjYW+sxfYGIBOyjCnVP8BYKY/jyA/Ps1ffLJk
QZXFAOKfSa3BL7OTzNsYC9QMYRWhbAGdKRrIM22Bn6FPW/6wANHUnpe+jC25mudOrNsJcJr7i6E2
LTg1w0lHLjRtxJVlWqz4VXqA58jotyVK/j7zpHjOe1w1GsA6QnXymg2GuRYDJBoyrAvTrV/wbhac
N3sBvmmALg+eRu8rp7VsNTIP+oPG4zbhI36EygAlUING6Wd1471ntp2sinJU3/KwCXfcmeJ92Omr
ecHQUReufIFPBFO+QOrYA7UP2gKusxaEHQap9pbDBX2ORjfcaAvqLv5FvYPhqrB/U+yNETvg7+f6
W4k686X+Iub1v+h5+QLSgxahrSCR4ZpolaNVqjraHAD2CVvywmBSaJHrsWUU9AjfmN8bnv1pGj31
FoMIHSusQIPS8LpbHdX5ror5SPuTcLLMl22DnOiEbv2TNFO2H/JY94EDKKeEdSTr3OI6DCVt3lb/
jqZMfUi1SDsu6cZvWWe/s5n9VMP+p5PLd6gE91JDJSAdI/h5Nd0wqEVr4ptPeh2Jg4gd52kQmf6S
pWP5tZTEvDYhXzhAieZST+aO+gQR8a/oD6Ju66Hb5vbEev/MqIWMgLJKmhAGXNWZiMVJfJrI3KCv
TL17rbt6tt9aO/wJztNwycyOvHE4jXSxUbBMBGGlbgn4CLktOF+e4SAq1bvgBsrs5Q1ENcJsU2dk
rw90YjWcEVOd9a2RHbVoLg99kzjv1mzVH+qC3r2CnsyPTmxpzROKYRxuc5nlsgzYJ6IXE2u30u9u
PLXKs1WHk7XWYjK8uJTYnO9rJzFWpaLO2FmqcjPY7WuLO95vpihfESRHR4vMVw5T485OBKHBousv
/M1p42EZD9gRH5LGPPX0JGHpUSrLz/ArvLA1UHbMIs+ljPN1TEb/wBOElJCSRFiOci0A5ztfhjiq
Lw3v5kF2xD7iZPxcsiGHxrMVvzUVqIblNCO+LuMWjISeHJ/RHJNkn4UbLMaEJKuw27mLAQETdrJt
2RIG9IHeChm3wE+VaC9NEq84h8JDU+jJoVMx12g5QDMcWKc4tNmBY5H+6A07D9A9521SD5Q7dzTn
YOMJl8Ldaj2GppigXGQ8yEKBaYC3ederAuBxrhdbMFbqT7NHyghEJlg9+0gl2nfbLW33tVX70mm/
etOhEOk5rNnGgCas84S016+jyR/HpOvvUz3npj8fz/72v//5/3I++/P3/c9/dhr8//EQhy2MY/g/
h/Lt8xzdMPnrKe73L/rHMc6h025RMDQ4BEtLHt/vH8c47Tc2IjaBAo5kfIj/RN02gfXx0AIsj1+T
72eiVvzjGAfij6QpfmXv92Oh/u8c45CS/nqMQ+3QHcPD4A/bzOJguOgif9ICEjshRq618WGqNZp/
R8FHDVSLfRS1o0D5nzRztawnHkVWM7B1ePnCQB3oluCABjhh17Cap4W5yu2DlI4ZrnOa2/nQqep0
Y7FVmFtOLLNyy8invtZEYyzsMgabfUqZbPylejuc8pFCbD/naKH7faFKk2aj3iZZaDtM/siRe6nJ
zvTLlDZPCVupWQ+klGKIrVV4aNuQYdV0lfqbl87Ol8t+YdWh867RzDAV4tPowEu4lm5xQBlN/eTp
kH9br7DPo0k3azH09zanpd1pNQOXZz6o7ORtLXmk63e+TbHaXUjVFvciBTy6hiaoxHSjLAaz0lIj
ZOhU3HNLUBHOwom2kWreRaPtHXTRJEctdrdTojcKlUvwpq3SsomwxqDCu1HPtBXI23pjdo7+mnuY
axPyxI+aPtlrLzY/omFmb17NpPWlYVx7PW32QwUeMdb0KxXr7cqCYLxW5sTmeafkV8NRyIuV452w
IfeTPCc7KCYn/rJ53m9NpzKCxim54xcFzggePcjVwO7gASXRucUDexnjEqts18v+pI7rWq/wsoum
+JkS3NwMmTlvWitxg6hx2rtue19WGHLwo6EzsJUYr3nLHww5r56p4BtmDg9EbuF9gDDloPY/pk1r
3A1a6Y4GHuxr0qJrigzTr27En1ZljysZTcd8WU1j1EsRXUPTh5ag3IZqKh7zJiuCMsvbi051TNDx
igShl92wS2P+mbI+SPjEPmeTDH2z1afLTCxsJSZLX2sWvyk19tFKHcLoSbqOQqMLpuw+SMuKHuwy
TTl1CKEdjbhWD7Paf8/5+w8RmIKbM5SUwsxT6N0dxMGbq2M8IL6Xhr6IpLyYCu0cWCOVbUYEdSuV
vrxjFdXRBvrupGemeZyxRAHIxcvMZX+uJkO+Dw2btLXSdfHBTGNtJcwMxLvBUm1VZ9m4hWUbbZS6
P9oET0He2OdhaKk3knaJy4dWlMBNJ2VnlISeSNyKgb501jh9CFHElt2Lgjs7xrfmJrO6CWlQGuiW
aevybR779MoW5UHp8hcNgvnKy827Vqv5unTFVyscZ0+RyAshv9LPWQUWRDM2WaJ3wPcTLLQwT4Jy
eafm71jVQGVqHXjpXn016aMPhtkLd2IclPPoet467EW0At/zzs2wfdARJDaQoKsgzyJrP7MKfjFt
ZQymFD28CBsVQ7TOx0o5OGFs+bAu3xkla4r9imYL/1Dfpy3P9uTUFSwx6g5bdYk3M2ypmLM9XHRm
sULz4OAI13pD18jE6iht725o5DfhWtF+ILzmzzIz9sSQplsx5XJbdpzghBDNVmaTfTab4UC8b9xj
UAiZn7V2vI0mtgANXrcC3+gyguAt+YABQxjVxzJVzNxb1Vqjp1eM/EZxIpV2KRr3W1UDPLFt6T2l
Btt7Uy9BpaO9XBnjkgfydJ8wIJDSCImg/2ufthgsbN1sKj5apJ+tyjy3whSvH6GcFxsVp91KqFGO
ScnM1zle6OvMbdePJ+53edWQE3OA3sueMZiTZhgMPddgMk/zB9VrKGxFotaPdTM9lioiUcQU/FAV
sen5g5f34hpR77E3sEa0W4EKKfzcGlQW0Gm1x6RBQ05CVGpVYf6/d6nzUwDnCCJ90jZj7Oa9b7nw
F3zF7lwfJa8gf2EmBSayADgUGRGMEAq+oFhugDxjo4/riY94KaAF9S8xJDHN3M1D+ctiE1MqVSn1
V6aksEEAHvckvWPOMg9QkqvepwvFpdvcTSXQ4sa+TTywoRSHfESykUtv33SD9daSdD/Esphbn7Od
9a3j6k8CihaiONCU0DH90RbOvc4VPPKhpjaHSlfdQz2z9ofRXuLFreFhJ0b0QAw7fwSmx3aY6Jez
jTMaKgJPjvG7cM12PbDF39FNH0OaBWfpF27DyjqaOxP6RaMlmBIFAGY59uF+EC6fD2MYMNBMEjWB
W/tPTBeY2GAajecOy+l1RphXVwylKJpSK3EapxZJZM4wsn/FaFF/1o2avPNMjiBvF/25NWTxQEme
9xNgaM9WPA+NO2yj4VVhfr8UqrN3NDv/URSG/d0CFYNeGuPbwOkx5HQLmQkc+gGP38Q6lPlhXs1s
dheqPq+in6ax+9IPs3Witiz/jlUuDQ9Fr7OohqYw3hhE7ReeI94ac2e06edZx7nnOCIMtIyc+55D
3fSVJYlncjOKwhcvK4frhOmeq3KOlWuS2q3wdVrn3gGTZxcjFxHrXDQ6J9C9Qu49DDjfza7O7hhF
HntLYnKMuSwPGW1NK6gMfFhxqdUPsjbqMGjHFqSY3iYhxz0YemeBme4d4//4A+Gp/nBNc2CjRgTG
D70i8vypnpVDo6XDtbS43/jEJZQvU53bh7kpMZcZiotXxJlFs3MIKn940VSS3ZEhqpzWGeMqTdJ6
xpFQpK8cHkzTdyuju6fm4oZQJqO+LArgns9ckm57XRUzwR8OuvzmHlbsRn0PvS4012VC4nMF8cPa
9rmZ3DHwqFscFw429x6ePYaYdMvtOXVJOQ80tGW6c0Lkqg8UA9gsSVGO5gGTSE443F9svQHOFnNd
q1gAbGy9aysGve9rrbhpfduhxFreKVeGvuC8XHWryUnFvnVMtr9FXjbvWZN2jp9EfasFkPuqtwzE
abnuTEq9AUzU8ofNAHUO1VGsDN3+Zkax9+zEZfGJD7RCAlgW6tziw4IFaFYpwehl3BFJTqn7BL7e
2ZOm8zFQ67YTMbz4QI8sem3R0Y1vztjExw7P7gs+U2wYNKROpo/AhqRS6YS4yZa3eE16nOypEc+4
fkKaLCc91j6xfOjYOiyst3Q53iyvw8GTwuh77yUD5DpSx55rSW0JUJWO9t2r9RpbbmFH1GpUafiW
eF35PCM1tRujjKdj3/bzdkixSaxkg7WZTV22T6Psiq6BoFs6l4jKryouhgB35nqkriIoia7dzI6e
0N4hUBbBTElWiEr6g50zG7oEare1zWDhW81gfvOQtm20CBG90JuOwxlvp4kKohjaHGhtom69PIou
Lf1t61GXKOLYFbbStLqVFEa+ITfVnzQlXtt9U/yIU531JeQQ54edJg3Z6JYywczumufIcsJvtlmF
m6FCCiB848k2YD/fn2N9yhBWDbwvYWihMiVNlJpgtcz0u8C5W/rN8odQ4pxbizGeq7COX/Nwyp8S
TGNbNbGgSmphf2oEnY9c4LZ7zBrAAJHKjFiMETmqQgH53dT9zk08dJeSDsY3YsVa48fhOMQ4NyxM
JUKw5alDKY+ZoonDSKHtiX9hTvYySb5CmXRk0LpuV4gaZ6VnlPs6BzWlZ/JVzNPYB5quNZ+RUTtX
fJnKDw1ezO+o2/8+Jf+rVafpaBDQ/otT8vfPuPrLovP3r/jjiKxp2m+qybISOp8Bs9dkcfrHEVnT
nN90g24qU19Kv1lm/rHnNL3fVI6sqqrbCw3g17H6jwOyqf3meeTF2X9yu7Ic1fh3DsjuctT+856T
BSdbTn6tRVkxNVYVfz0g0zlRkzAI7YsVmwrkkXKqj2h+s76myAaFfYF9FplRHjBC2PkjeHbL+8ah
+0dcSeuRxhlKjAj2Ptm2Nr1mjpIcOYZP2NHQtTk5oOTwZJWtx8nEkHN3V3JomMRyxrF+Vsua2iX4
wrlRHDOPBqNhQPcEehfj+hvr3N0k2L728LeNwEEFDYpZi1ZlkZurZRe8iRNNJ4fq9bdMeEunoTqG
p9wQ4tT2ered7aE+8OAbv2O8/jCLzv1u4sF6z8fK2aoiER9NkamBaRX2noDUJ+0POKsmN57ZeOrc
kOUcTzuVoBnuE1e5MAGHE8r+sImhCTRh0Hh6NGASE71WDBurxSDr68mYPihxrL8O83Qye5ostGQS
QUvE9T63+LS6vqa6plNfc9hfzxPPh4eppOlL6N7rNJG8GFRy1cZQ3MxUqXc4M/RLQ1pr32MkCsh8
sRsYsBASpEnOxFM/va62GDvpDLGEnR1rfCRbSjeHb23mhHtYTsYmKzUmojxp1jJ1qfcm6IRXjCPK
ztOTH32vN2tvTKY3S3ORk6nFwZ0m3Ig+jdz90PU+W1sOJL/JrV6LpHgliJ+cwdRK4m7j8B7iu1vj
kMYymiXwr8SynoJ1wiMLfBAhOCPxWGvJybT9UI3Ffrkin+uhtTfUJbBFYHTAGaL3deIjMSMaV6QT
AVYO5OIGA8FS5Nzl8MNp0d1kDrpijZIP4RgzGkmzPsUGmx0/USeLn2JUa5oAzC3KDxHkQjGSx5FZ
7kSNwnwCWWicdZCUG5sbMG5NMpNl2+K9Z/VW+sjFEJgzRfz0iGT2PnqKtgVqNp4aGSa7ySrbUxe6
smJDNEbQ86iRzYWwYKJ2mOARp52jJryYI0TnqJexnFXfbjxaVppSp2MKthoUO7ftX4xppi6JeUff
UEZQzziNeGLqJOGJxOhWkBFZT+nM0r3jUHDYw5lp9hjf66rZeON0gv4xnlgBiwMbh/YZvYI4+JDp
8c+ql9WaqLu3Y1lvnxqLMgGauHwDKz+V8ngFfKNR2F8zwDJWCUNsnFT1XpOBBSAH9qMIy+RKBi7e
5JGlfhsQfjekVO0v0jDyAEZsoPRoiO3t2CgWJrpufCOraVyVLKQEzmFHgqHQi5AxxvlYjQp1R64b
VgfXzhidiLrE67nX5dWxzAq3J9OKbVNBDWtA37cs4mhVxe/s5mP/YsHTvSVJSU43DTM62rwoOSrC
mMn3em6B3ZF/kk1QFLZV7rWMKiNHzGaYkamGdDt1LAUTSmCese5PPhtybRNblA7HHpCepjPDMwjD
5gojCI3HbZ6STLHvxJN3TWnIh7Hn4FdNZNR6PtaESPRpz5w97lzwjte00Akgc27GYCvc+ZFttDgX
7aA/6QxYH4mq1fR0ZLRxj824J2gVh/sSh/bjlNbwOitKcyehngtHWatlNd4iPINLj1oacPOkjIcp
OKisktmqSAxuCrW3igwWkbLWyBNbNm3ZdblnR6fvyTvYPhjQIqA5iBY73mT87yEp+kQ8KY7A+0gg
tHuUXjz/KJCAAqk48w63oXljz0rPWcN6YwVnlQNjYmVbp5/EKgm5kau67MDa9tNzmavmphZlFABv
sM/qVNLlVXEj8sCarcKMyiZMivFu5qQbKFPurRuTFSVl0pb9zkNQ7kzPYzZhvwAsPDaC2Tb7n3AR
K4rRk+resl0OBHt9dFf1M5IFJkNWDrTQDsPWHVqlCUiwxu+6jGBiF/m9xWdziD02oUbTYL7Io+5K
Z0O1GSdXXlUt8R5avP01al8o1ya2aLwPVYJRdHJX5LGGVY/x7QfLoWE9OtMXa5khyLhnYoLJxhgm
oqWcYsWs/UpY4ytDXhKYmpB3G0M1Xv3KxuIQ89kwbLGSpEz2WpJNZ0rnFW5YrINGKzE/spwh0nXq
5KKFZYmJoNI+KWY3V2yxn0OiLYE+zvrOIi9TsAsib5Yk2oT+IV0qlvI77IQ90wM0nMbQMEqrgP6Y
Iy1v5STDbaSS9FWZrCJI+wJB2y5juF7tXPpKHY0vamTXBzDNziGiq/SXo9jbcd9UgrZTT62jGHfq
va6UwWP2zNX8CDideA7X3hNAweIQEqfmI8HW2dPKky2jeO+5yj2bkROpba5ctLwwCkxodrsEy88G
9HW+bsn3B6obntJMZFuiFT1d7ZzjSqnieRcFUlCvx5u+qLB+UjTr61NODJmF+CmyGm7fYzh+xokq
tsqg2kc5tM4XnOP8W4On6mK1zY3QifUoXfOZ0Ep7ybywPmEScpBDiH66xPDWteUMz20R9xAsik+S
3N0+Tp2IBWFSbYd+BoaG1I6sTPgAXlSIFzmJTCrJy+oqa4uUGk+uAT3gpkUYUJSxHE8eT+XYN7Rw
eNWSRFnKtaxTIZL0QCJiUxkUZcMMfshs82VScKOotCuu4S+GYJyG/An4u9j2nVs/CLcDmtoKY6PW
4Q83g1AMGzDeuq0nfGSpfNdWuTzFpjkecWREb4OH9udQygMMIK9XrBnkT6vOn+KiJNiapc5jRrvV
ptOyLuD3AzObGueBu+oa+81HyFLQLyozfkhFxTpCmc8TOXra18znvM7KQ0159tpUmmHL6cnbJFMW
fjS4gmmsS5oPcHy2H3nAwKtBH/ak7foN6sjHqHFf8SDubqJx8DMzKtZ5H38qPdp2M2O2dNCtDp43
+04W5bj1j05lm6ynq4IoeV5FQeyqVRCrTv6c0t38yFCVHcva5VFvaSFn8TFz04eq6rQtaF1xySNz
U9iG2LqT2qAsmaC7JkvZkjhDNYz16OTABl4jUPa7KEwTnAljal9rS0z72My1DX5wGtdT0DA4xT5a
rAZoN40ltiMe+wdBXDXIrEY7VFjCN5Y7Tp+9G7o5ijJ1M+TTbBa1mP+IGc61ubIqOX2VhH0/7HkI
VMbcTwSWcMUv8rPoi3qTkuiuAjgVzX5uVZfYbqbsIonrOmCrWXBkxEx2FmBHUDdMez0OBaUFihl9
DzsKT02YzzzS7Kbz6WyZ7lmWPjD3Bl2i4nvSbapXQ8ETlLT1QXIfIELJtEmXp7oLDUX9SeuM5Xfs
e0i/4cQhuhbBxETyYfSg2DHPbpaDROy3RGuOYUiWtS71dK/yVn8s7pGdPoXh2il7kiXR3GaHhg1K
EMVKu6pHoqAEL0PnrY7VxttovYORWqqARXgg+eMcpRdt7LQvbAr5g5wQ29RBzwMjzPRNWNJYrz26
U4j+vwoHsBpfSV8McASLEtzqkzMRqCNqagFcPRKZ8qqncR541aruOxhe1KeSSdlPG1uTrLTA9w1B
OaYWigOBhtWM03lFj3faYU2Zpx/CFvH30eM3ZEaw3via6kOJRhxR+iD24RyiPRJwmVYqmOEDEc76
XAv+dkURCSmLBNT+3Gz4ico58zzaFyMi1oljCVxHYiq/N6Gqnatkcve2rhFkHjnMXZzefpIxBdF1
Y9nfTSKpIfklKY6h5Y1rC/zovSlqw0/tojkohShu6hjHK9vAYcPOfOx3Zo7CzN2AfX1d6avKZITR
x7bwoyjJdmTxibrBLzqqZWseGrVhBLBUY82CkP5Pey7IY1BidVSpP3meksF8bclCsh5JBEiBVlNw
MKrk58l5pvcRLh353m5+h8n8EKUuL6uaE6yfRi9aDbADQuiXEtsnMc+APT8xDhK3QP+gAvR+GAn3
weUpnC4hyZ79BWtCvxVlcZiKNH2K3Lx77xg9OTNhZJpLGT0Wlmw37vJih2RGt4rXcfqysD5elBDr
h49dYkDfEeoe81P9GIaF2q2Sir/a09pKBKUp712ErhnVWv3SxI32pgm3fiur6CUsHPVk6mJMfFmq
LJB0QTyQhhXioYN6dAAgPg6YO+AhgRlyzv0Um7cyrj8d2eSk7iXNOr4SqzLA+sVjP5GROfKCkMfJ
8jl/TVWRPhNkCreujgeJhkFN33IUorS46cfvgwLFgtVCdGyLSMDIjMpN2qR8CCf6Jln3kWHyOXow
6yxO4xVboPEbjAyViV+xsL5W03ytHTejwdXLk3sTeUxitSTfO6S9vm5dBUujI739mKFnx1KmJwtP
0r4wPOdCcw4H2MnmYlKVb7lbyWcqnJaAB7r4UlzCTUO1shlfm0svrzbA/JapIx+UuZIrFiThlv6K
/F4uc5Ihua4aaXY+y7PoQEdygocN0RuJu9qVaQhjnWMZ3PFyGWQ1qzlBssxZoZAY4Q4WrZFPaW/n
skuL+q3qRrd40NhWGSx2bA5jNRtkFeNmS0CberiW7QCSiPyukCsarxr+150dVwXfENT2a1dOYnqS
IzBt01c6DrzdtVdbdrzrvnd0djme0UzjkZcEeMmmiurYDoxWq7BD/s/CHNrYJFJ5YQdLVa9TP9Gq
Mr38Sf75w07yH2VfXEn9dO3/+h/akmX4k3dcdVUMBzjXHaYy1J2/N+mIehrT3NDGCwx3awVJOgah
CbsI46niuqsw+tALA4FVPxiZtVHMZmPF2tp1QBr0ck2yas0/dUsP14rE3Pa//uX+Gj3haLP8brau
aqbtYL7X/x6O0CiIUUN9vLAHvDiCWTHcJcO/QDv+334IRSCmg7fDU52/vwBW2hHgAUpySXQwpPxn
s6Ytner3TMl/S5L/QpLUMfWi4/1zSfLyY/yPw4+m/TH/WZf848v+0CUd4zdCFLbjmbiQl7Qnb+If
uqRj/Ya2uERo1OUC1v8kTFKmCQuFziuLFIZDmOv/OHfo0+TbceF7wAiJT9j/jjAJdfOvHyKuG4sr
x9WWLIcD++RvwqQOTBkLvtXsSL0nRlA2YM7mCBrPEVyDdWQArIfHyGrDQ6VyPN3TMdfdYqEMxTZL
tTkLmmbIAQChK5Jb7g00JtwWumBNG0W45G/e0KpbJ4MxFEFIDiQT+yVihWesGGvDpwkU25tdDp85
Gwmm9+JpWFggXVbJG0jAJ1YXHNRLkZl+RQtGy8TqcOM2UnnuR9PiyIfQdmeAoDRIdOqbl2kwYRQl
0e8lcfBD2wzduipc4DOCLxxt7p4m/PELRXvtSlM07Q6OVlkXreL9bPWmUiFeGRNVaIVs9oQymOOW
ZrNPY9A6ZsDWC6TZprhKeaEyMISrxom/8f4ngaK0fPWoDc3eyhpoVmw9mUvTot/LLDUDhxBdyoOc
NhGoJwL10y68wnsdUlmj4uSu+uYUnTyztvcCS/fkrqCHY9eNLW4dpeena+5Ivhcs9KZNOi8Yk8ro
wbZ5jeWzwOC8OrK13QEpp2FdF5Hy3veG9ehiGy986A7aqeHko25HS8tfZtrl3NUQ9dpbUwD/8CE8
8N1ymr0eXJErP2U8khRg93nI4in+ruTtdBGW625//X7sQ5s9VzbSX8qfez3veDNoABoCx3bKcaM2
fbnteyb2yqUDPal4kVmhctOVQx/7Tpfop8jVejBFfYdH5YRDJ453IVQxubNbYKJISE6WbA3GSJKf
IWCFEqzwQZrVfkDywN2YDv2mSyL9TSiqa280MbvqlktF7vqu4FpwRXZI8UszziyxHMzjCRw2y3qs
KGR+aRQjf4xFMy/hifZExwZrRDm4G2TOxl7hojAOpdVHR5bRMTFVKmHIDVIOIXizXTvNbD/rrCRg
3T4Q0bAUpk29LfFbsg7NrBrTqO11HH1TId9lOc5bNvtIxrlu/ASbhPc3RG+ufM2QU7yK9DTJNl4K
6vSSYepkcu1zAvbgiUc9MLHyJLgwmgrUTwfH9h4W3nyms48zDb2EK9mpBGDsIsE0E43uVqMvZENG
3ngB+J5twRkoWLTtGOLX1CWFu800tX3sKvPN6vL+VFjqa+mSiw3moR7pyOqlItdDlp8LaEBd0Gq2
DSxW4sFwdBH01N4fopBkoJ/0bvMgZV5dW1sWt1aBIT+Ca7giymiHPgLMruFqXheObe6kY3dr3TPl
ITZrvGuZPhrBmFvG80RtA2Lj7JJVaGw+qIsQbbactkq9TLioRlzHJMOm9WJqBvwTppKWzFbZEnRq
z73hpQ+Tiwm5VEbrCmFVXw/xQMe06mBxpTshD1PfVTzzlHt1AjEcHfiNtq3kHGpa9DVjryCyV+HS
4a2XwstWpW1AcUrB14FZgoxf0lajOp8IqXzolbSZyl0E1u6xZtpNOVMCgOjjwUh8JSsl+4aZSo60
ji+DIZqDZL3xotgYePXaoS+EUFfVLZAaVVmXxMb/N3tnslw3smXZL0IYegcmNbjAbdk3IilNYJIo
ou8BB+BfnwuMF5kUpZAqYpRmVZM0xUuS96JzHD9n77WRMBaDHZoE326tsaKXDyN/MjZgOfASu+5y
BhG0vklm1T/6HL+F/0nN2bEp69X7q2IIQhHuEkzDo0Kz4uUDezwn5fjbccR0ImoDMU/TBV1hJvcu
GRLM8VHBBWZXZmeSTPslkB0zAgi7LjsxFx0xtcW8J2CcnMWF6bvSW/TGuNIZ0IpLspC1+zynsNvQ
ZFJrs5ykZFEVA11PT3XXnZfnJ1EBNKgnFnPTRREQ9u4YfXxdWdp8iF78ucxPRc0TyobO0P98ihqX
RWtmlvTQoegMXWATFK60J1k1Ft4wXe1W+5n9PfalwrR5HCbz1nDWDxqSbg4rs+eboGRTF5M+wX1K
Js2vLnnbL5d9t4ah1cT9baHiqIsOye3Zaw3w/8ul35RLq5ETe+ffl0s7JGPpM6ljf3pfj8/U9H/+
zl8yZ/0P/oTuAAmnP0Vd/z8zXE/8ARfEddYYcQOk9VpG/eVWZfCrGz4BWvwxHR3y/xRLpv2HY+KE
Zn9FGY6M1PknxdK7/QYIahLOmS8TEcA/Ycd/P8ONWTKU19TjgUEdInnsTtg6Ac366/jRB6rkdNV5
7hKEE/oJd+Obc/WT7c67Yt/RTfyCnsH5YYRNZPL67d5IrAFSKfjC87CfRlNuxVK6NJnMAj9dWh7+
xUf5HjsYYTPSec+0priShlE6w942OtjJpoGQrMfbhD69/RdHxan0LReTkPsDL10ZlFaLbTOKnOcU
/45qw26AcjrM4nchwt+D8J3XE0iYnI5rnZuCQuX7EzhLAtQKhxPopxEKxcW8waPqvszSDeMqymh6
WaDPoygPGrA8wa9PKffg273qfz7csmHrmS4WbXzYb6/egJExspphgDrAcHZVnW8rKEr/LLeYT3HY
chIp6eH2ZmPx7lP62LN6yudx32EHJz/BrAAyOXMr5DZrSvDovz6od3uH148z1t7FOscGYL0e9Jtb
0mklYmtjGPfEYqAzzbtvIP9fPN6KG6j7Zy5ApT89JH+bX/7jaSQHgbEx9AFkFPhrv//EKMEQ5Vnw
kHH6OQHpNQUXy6+3vz6u9TS9aSy8HpeJWATkBKWaY62P4pvjwioDbrfNx73FrBahnnZOh+FqQQTB
9Lh0fnNMPzuLbz/t3UXDbAFw2ClGZm+88NdJUCzLASVcjhrapyHV5fmXXx+gyUL6wxHSlnYdCwcI
N+S7pWxJ0FBNqJD3RuLaV3ZtFw8xAOMjVDicQ3Wch2N7K+TiBW1h988uGZenxrEOY9ytUx1fbsfZ
xIc1iebrPFvakRmjvzGjob1T7AigAMboNFv1m4XJ+Mn1h6oh2PU6K3ni/R3n9Rjw64HHKJ2Avmxs
bcoxkc6O3EK1XqNboEeDgZ9Ci7O3NTEFftKVmK9hbjWXAtFuEDexfwW7I/7Ns+D89KuxPq9POJF5
7zs+mU+GsYLdxjA8gaCUOCEzHvCTHhUvAXM9rWELUCqGDiTPGOBO0P678z4CSoLIfMDiD1YxX7eW
LR25jWU0tOwrWnZo2ZazeDS7S0YRGltJ2ps4/nDh0xkPWsDID+OUag8DKM7At1JC5mxN7Bgys1+w
Om871vNpyDtqaq0YA7w3iFMLYnXt/MM4eYz17MVCHqnyXWeNDA614apGOHhoU4EinlpzM0dFdK4n
i/6o0Q7YZxUwBIJ7XvLFuh1gyaBSjfE+uslwxV+udr++W398QFBnURjw1PMOFuLdzQov0Bmdab3o
PT3rHBVk6unMgOf7UUUN/UjI8v/iEx0Wa6xVwL38d5/od7MEnpkP+y6KQIjZ24Itgl/Z551V4eXz
3adff96P73a6mKw2wOfXuBLz3bLWxwgguTbDPluAwZrSno5xPTFiMLvfRdn+eJt6DiwLU6crqUOJ
Wf//b9a2GHV2NsmatyDsojM08caxnkbxmxP4009BUEeZYtH2en/JSFzRyoGUp70G+KhjgOVrB2Ty
3vWvz5vx4zrG0XgM46gWwbA57y5UnmrKcBu/38/EXoQM09AbzWUcugjACHjuCZC0uPF1YcWnznvs
zHhfo5363bKEUPHdcgoRhY4dfTSHbYT97vq1bQ3ZWgqiFQA9bKfWL3bRlA07exrwOFm2so9YRZmY
6vW3op7EbT5k0x7Rj7wgmt46gc75XRqz9dPv5Hs0CrkMBpvr7y+0t3AXLc7Yr0xbLDVj4TlfeKFe
C7vH3OHrz3Uh50dBtvvXfk1ck3GQ1SZy3tWpI+N+Z+p9HXauLVbI+ISY2xybdZKs72cHL4Kdxca3
pTIMHhIBSwHpGnm97Nb8RxCUwM+lo59rdJoOqq4/C6nfuQsfFINuDpqJ+eBvFuAfX9owEOm3Y3YE
eEOd/P3xOqZHfFrGrdBmxWMV7QXenFBTkCNQUFq/qRDMn55dOrMYjUCn/TB7iG1NA0Vn9Xsgb9VR
75ytr6MzUzA8LiOgEEEixuZj4bBQEqa1XI0rMctNAYz5XlWHbJO/kQYnL3OmoUpNn3DGm0GbDs3d
QpLmphlS5+Cg9zlVCxh0ffhd6fbzA/ANg44wmBfaz9+fLgIDfJotE7csKndUbc2Odmr8ga0yJVUr
sjDq2Y/TtBmoB7rytCTqs5eKe0LB/COjqyjABSC3iV77N7US9b1nq2/KiYi09pA2TE28hFOeabyJ
h4LsUJCIv3n214fq+yqNh+7NEby74NMAsTSul36/aBkDM+VXp8FB35ZpejikHa/QEa51lulHRr0y
6FfJ06+/wk+WbQTCDjtPml7Uiu92FEz23apj0dk3cfXipx6mDgOKD5Ya/zf32/qX3h0rn4TB17cZ
KOnvC3solSgeI4dj7eL7HHvpI6nN6KfKhd0EAe+AZHRX805E2ie/OcifvH1d3WbkYGEW+pEoNsQM
TqOM2JhRLChQvdVks+YhvxRi+MKW1w1/fVJfa88fjpX2Nt1xNtzu+zWdOUQ/pykLF9vw6na0qHuW
yAqXCtUYcenf9AgGWFrgHF4aihub1r7s4w5FpPrNof90SYFJxZuFcCckRd8/I+mI6Qsyfr+fPHws
+mq4shPIplqKpsZJspdfH/lPXpqQuiwuM6LqH8d5Lmk/Mf42LvLSzfu4wQurEL79Zo/40/Nr0Mng
TuL02t67FwOSgbgmuKbfs0cmYlbSe5YV6D43gpzEAIE1WsLIJRC5gCyAdJVuQLGdpXamYIj+5in+
cVPuMeiiWtZ5hjzn/ao9LaMDCyHny6DU3iYxyrG+UxeLxLcTlxCwm76s9omg21/nmPZ+fcaNnz3B
VEOcbOp2z35/rw0A6U2r0rs9TKzkSyNWoS103eGqTw2nZFpUE2OCiRx7t7b4DEmk2xZOqGfAOTZl
K5I8QOU1XcjEwtJlDsNoBGQY9c+//p4/+Zpw/WzBkJfemPe+IZNmRt+0nWj3g4rKFxvz1o2qEiZT
mqv/q8/i9tDdtc/1w1KDvF0NWBDbPSSz7gZAnburFxGdkQv9+R8fFcHRZC+yoFG9Mcn8rhRNNNzE
+M7bvTtH3W60ldzafetvVzrAby70TxYxql3aIpSIaNLf7xtxNsVZPXJQqaXHYTRUzV0ZE6NFjYO2
fi5txHJon//x8QFfgMOI3sOwfwgfjGOdOJrEafeLacigdBgqos0ww07H5fjrjwIk8uMbgneh7vvA
FzyLFev7k+mBUR9jZXAy7U5vdy5wIKxaiT2pECZVVQRux9jRpSYvQMLKSduxcxznrSLgrIQZ5vBw
YUxF6hL1S/FgQmNLwo4AcHKRCnIBYDa0yWcgOmiz0DD1uzgpYqaZxIhjt+KQ6P27NbILXzK32BHc
ay1njpb4+3TphNoSK8kcJc4T4540AGWEhY2Zfke6O4wCmG6J+eRPqOa+YSm0zXhD+oGbnM0JAUEr
PbdLPvRFbSxHBG0+wUCpUZJTqjfGqUT0pu37MZf9pVNWo3dhD+MS3WAiLKod/61Nu3Ii4WfejDYu
0bDKpR1feAJbZjgSwEC6MRLPO0mwCRQWRowH5JEVSu64M4kkSNKHEmY1dPHRrrMj+Jm4CbyRkOTd
kqcLg62G3JTzTLKdZMjso8re9z2exBA66jIDYl4i/Qx/WqTTdygbvOEljklyRZnIfxZgzNBtRsPM
0IQk5LvGSbED10OfLddTJOQdOSYdI3mt9cWtziCbHI2Fqe2RMmvetR5i6R2yYBgY9soPCLBT+Puq
4xW1LaK1/adrpg/QD/3YB1i4BUOfEnpDT+SLAYYMS0XpjTf0eXejdJpHUieKJ/zL+u1AhvgmKrP5
oC1ZsbVa/2osll3V9rs5EdUtmV8baScxQ/Aq3Zt2PpEHmZe7eJQnSy5TYELlYkYKSmo0o3DMZmsH
3v/ZtrRpK0Fer4kMYu+CM9tiFnb3OAbrDTWdIiLJR9EF0+aLGNoJcAij8kpIRm+uc5B4nBG/4UxI
iwc0OFsXGty145fd1tAxVOAgZDCop8YZquDkwpq4HtSzkO/T6GHGtr13NAOvA4pBGHnRMfLtHGJA
PlJU9CIoeEuEfS/UDUjeYzsgyEoV6ONU5VdEIwTzZHenfJ6JINRzxNQDxv0MqUQAcpBIRysJU67s
NaPR21JLZowL+DsQSYEW04YxjEwkjYoNzC2ZOs2nyuv18yphEL8MrQt0YeheXK2tAm2QTejRsN6L
unaOXQGOXxDsfSSiHvfGQiAuTYqTacw7zJ7GLneWp1IfUeWl0QHDx106Lk/OHFVbdHU06sboqSSP
AxFfXnpHOQpoShqBdEyt73EUgD+JLNIX49rb6hkqZoLM1cbOfHzf7B5v006T123cAQAfZ96LFvac
BeVwMa+EOI0YuXZqDp41pAc4GeWhKj35Yvf4tIjwI7ojzGU6qCUY6xYCCVtzJANxtK2xxN7nNTH1
G5Ob57E0dQvnV8tukpcpi0QWj9PHhnN/2U7cZTi5EXzkxlFHGrplgloDoFfeGf+o0bVzuiPwLAuz
/GWKp/4jSR2iB9AA+2PKQ4W84yOKwZ2exfCgNJPvvBeaWX+d0ec2BysvzDHEaU8SxVIbwjvXgA/A
bRQeFPFikY62CvV1fKx1mx66jjMFObAqQoWI/T6hq39tFpl5H5VVnh6RRHdbhLItAl0TiVwqJ+DW
Lc24JO118hcj6kn6u81WKBwBDe/zr0PvxS6CPfD/Ga4G63yee/fOljmjUpr7I6w7RvybJpJ6qJiV
f2DOVL50TQf2cCl74xNJpx2o+sa58iuz+QgpZQp7pK37gYrl3gPT91FiG+BmLOYtbPH2pGp2fOlc
2UcT5v0jXTjGIFnPRHeQI3dCYvntUxJ77dcWqsgun7X2SbQg/IlYG4oj1NN8BxWkf3TqFmSIgNQa
upFTDuGoeh4OiDi4rHQbIKcLtSej4DqOq/Bf0ELe0pvwO5xZOM9x3db8PHoO+dBGU6y2npMa3sZH
QZwSmkTmRFAyGmTqmzB0nlhHTkA9kzuwFsAzRDeaO+J9G+0BOzqHKJrcT85iU/FV3Vw+SHMep4s4
iuKr1GOEX+uNuqgHMsjsxOavWk26t/XUvZOD6agNRU97QtCMmH/qm0+07kyG/LVzFXc8qgRwlmqn
xjnfTfUM3lwQdnRVFI0UQYOb6oqHqOWh4urShG9PeekTt4xM+Usn447Qi86471POd8rgnWSOCnFI
wkmFObIAzjeB2Thd84XIuaojSkdBZMnbLN1zZtODM8MddLVxvjY6uz01RuafY95oAFI03RN6W3Or
hGi/1kaMklXhNQHyQorUifiiZT/6Q//sIy+4slWrIXTCQ3Y1p2u64uSSeP+scCkgw2jQZiC0AKkX
LecGr+UmJOALYmfitcA+qiSrWKFGJFkgTo37BhvrVerU0YfGTeJL1xnrT27s5uGwYt82ZJlExkaC
pnx2Rsvcxvgz4KLoURhrozxb6Wf4lsT8ASgG62KMC9DCZYk/R4uvRr91wZJ4DhV4Be/qCoRicezy
iESPwafNEKb5FJ2ScuAHIul7SLenYggz1QD3UDznNFqq/hGW5YJcX/bPIradIIoWvETY07jLRwI9
mbmY2ILKRD7Y9TCSE1rzJQtHz2+9oUMCliXuneYrCFZNNSVXi1tWBiS4qnsqWjVfezhwHvRmzm/T
9XKbwB/PncwgfdqWfFCObgvHJFJgiozkyiZg7t7LkuVaj7XlRVe4dLR5lbTRtI9uzTKzj62eYAey
Jv5irfJbdgfzB19nIqMmaWsn1dES32rEa76IhkZUEI0JWBW6bj2JoqBw8LtotahYyXHIB6nmRrd2
wpZr04x9uxxLKZFfJSN3ktJapBO0EbnTWLOSqyLPkIwQzVtfa2RIkcqzrPI7pPsJwYtW7VUIqoaX
2tPYM0m9JFCjnNoXaM3Ggx03Uyin3vjmoqMeAx699obVQr3UZoYGxTWrVTkIgeSb6Y0KNI8U3PtN
w2lxeZP3e33K8e67lLz3CvPnrT/orGbCld9mtOc3Q4QLd2zN5nIAbfWRjKL2xhi8+IpM63Q/+HBJ
096z0McnPplIHs83SXjDY4vHUb/pQG+wxtf5CqZdgKVQUYsL9sTRrhnRZMFaMgWdvQE9XBtZ3ifV
e8NlVDbxXhKQfLBdrFUtr81zq7NzTDQiTq9du292TWX3H7pGkqSmkpchrvmfelhAmC8a64vjx4D/
m0Jhv4PWjD8OeCm+W4BfDap3LOphPnQ8h4NVLrdG2c3XFCEo/uwsesB2Z0NJre+IYrkAY5Qyi8Tm
hYOlC6fRz4it907EFshTVjYdH5u7V/pUGpeJKFk3LMV4XU81HElkaFWLE93B8qqP/pyOMYtuqWBj
MmxsDUc/OulwkssC2otn80KPp+4cQjOKr6QibNi0KAF9xn80+T77TtIec1Fhm4Hg+0yAzanFksmS
5vF/rL7dVq7RBPNgn81zZj9SbxNlAdrqiz+tc6Z6IMZWM49tVAumZQkFqYTR8+gB2LrVq2Taibk5
uDVuLH+Cz7hJ2xpfqPpMF7j8SGAe6T+i5iSZ+HlY6NnhBGJZbNBqed4fc00nYjDScIuVdrPDcOec
lRHIaRsy4g3/EDTlI+1+bDXsungwbseeDxmdSKB396sNrVPQxiKyP/up7z4gTCwOaSoe5kwv9zTN
YXfolHKgkBbSOdMpuUjxWge1YR4jSxlfEj2aduA7dLT+hgq9dLRC/EcYA5tkICmKVmG8AMqjuLAf
M9vZV85c73icWIDrjN0pzkIfSofvv8h8NB/nxjYu/dJXqBZK+54QqywAJmbvHNYuDq0Hw+UIcbNI
rpIj+7ndCepCTLgdJDsQ0t8UoyZAJvGQXrYZtwEA1hjRGo5WlrVmSTZ2mfXB3EBEo8UNVYAEklG4
FPR2TIIsmOdTPFWHAfIy4XG2dl4vsL2Vbj4OqVbueBTh4KiMQs1xKMjEeFnaTvShyGvKDCA5OUtg
tsGal956eqdCoui8s35J1zikZJs4WCdyq3OuysYBQIUI1aCtXqjjstTyAqsorx30qjkPnFsBQZ2J
kgTVUm/aTIFC6IDrgCImE6zZMEOTF8ScZE+labt7x6BFTGut5o2lGronY6rN15gN2/OFkQa7OiGJ
v0O/DNodAvetI/D7ZGI+RHIAwdLnFwVX+ayvJnw9dl0wHJ3gy079cE7fFzNgnx2MWfOffGam7HM+
d3U1BiUYu6BdcwwzUSXAc+VgPM2L3R1rU3wxlPst6ur2ExVr8akgaoZFCxgqjiNtZ8kx3pKBW94s
LhVLQSQNQ29/UAHBjElDOTQfpFnK9ETy82SHUui9OIjcMHjH2G59pREoGm+qRdRXdIqQ0Zlehodk
LAoWodpwsk9lmVU3ZuuVN2BlUWSmJMfts2Qanove1OHsZskzATqExZkaf7BFBXByuqy+W2zTm546
Kh6uW8omp0xA0Gyk5lrHovF4o/hz85G3Jb0zVRjQ8WIakmgHU/Oe+pidaQ4q7BTnc/9c5hjOML3R
ROiXsXzJ7YquQq+G6JPeZ8YX0it409f2Ml/3UL4+YV5nE25HqUampYr6Z81pgPCZSvpiq3Knuiva
mYWhT+ap3ol4kPXO9ic6GhiQuD0Sc6TAqauivkvcMScpm1zHT47h8Dt+gywyFJlP2pdd6dxGlUVm
Xyh7vuU2g7jphRUqLcEmZuZDs9Su+rNUOQP7Rr1CBhpM+KHiHcUrf1lpsJGP9kT7MYSMtmh70loo
AQYmpFjW59I/zxIdh6XbocMPcD5xlTTFqy6AYxZ9kp0kzSUeCfjB/eWUL+Y48qljay1kv5Lr8+nP
k+lILSZQivFkGqheR5kmDAWVmf1EvQfdGQdWS2BwQC+IUw+kpLpz0I9V+yLNaPegLMD4SspffmgM
ukBXZusAYiMm3DlbyD66cyYUFVxC5q3BFLUcXy4c+iFdo+cZ9ivAYPtyQfhx4ctBvkiX3ijCUKdJ
LlzNIHlpkea+GqvqsTR8cZMLH6hW03j6/ZQ0/XKYacNHV/bIQR9MqfMdqcr51mkVcfHAllUaE6ra
gRaopzy79P6TBRefzVmU2sDPK3Sfzym7l3TDl10jFWT/Lc36rNj7Y9cywPBXVJYOfHAOCp3nZ4OV
UVeHiv7faUp7jSiBeqCig9HS4M90O5ooxBIXBAe0KcFXPFNsuHkJ8/4KynFNlavI7CsDU82quEL8
i7VzLSELGPewWdAGfjAy1L5tUesnZtLdAbKadVPG3nyOlil9IM11+jCBgPyzrf6PNKh/h8j9jqP7
t2ko3/3Uz7G967f57+iV/yWBKTYqijet0x8SUxAz0KV+I0D98xf+I0D19T/Wl6PBUOStUcd3SVFB
JUXVx72JCpVO9V8IIWtl7BqeIMkJ5QaUt/926tg6Jh6yx1cBJUCg9bf+QVQKT+73HV52tqv81DWt
NZWFadzaAX6j3IBtPchKpBR5bUl8UtazH8vN/Ha2nPy5rKQ6Tq90O94ckO5AuwO9e8XfZS4kvEj0
2jV0MPh4QNHktW0N0UOu6IyctStKLxmA0RDTsLLuomq0tIAVFPAeQW5bUFziYXGG6WbsENtvugU1
/SnJvOJZrgg/2Y7eQzLXGWjBV8bfwGyPENAV/QfJ7pisMEC5YgFJ9IIQ6L7SAvEduc/eihCsYAnG
vJEuM3+WVBGtfQsOEebgKJvohbDG8irWXlOw6ZuC6Mw+Kl7an+0olo9zTJ6aufTJi2ZZUA0psdmd
drO45o3rl+G8WP11Bs3+QokOIavPBvtFlJp2U1cIYTZClvGl1Ey0b69Exbj3oCtOtWWfm0mWo9jK
lIFgasJxr5jzHsjB7LeOjJKPxmLFc2B5mCn6dcC08UvQTYtBy2B0RuiHCOkOJK3HexZUjwBuW+71
mnT6UJWle1cmBFXsmeMUgpCFxOSFxFuSbS4QIehLdu0/L+z3GpjDnQDAU0jwrX43BGaUt6j982zL
LI99MWxdXhbt7J91tNpeucvVRvcbjxx5CPY7NlfjrRRle4iXpD5QEvdfEi3yhsCH8l0HNmO9u7Yg
14KeF5RFXms3tV8Qx64hsL8ycJ/rvEdUdpW6S8173BHyqRiJ/HBHe/DOjKTGd5qoZV5fUcI/weci
Gzcup2xbsOhdQepgFjGn4AzxFYBVmGbqNT3thxPWJBK53GSOr72heaHttIwHfVAtqekIPV+oXwqb
wlwVDE9sNXzFd+VqhwhawAPVe3aUVtVulY9Bg76QKz83ON2u3akDnAerj1gXqyPX3WqtnVH7mK1n
tCxXaujj7KHV82iWN7yh07oAZAM+dy8Mmd5Oi0iuIQItRvHM1TUnO6A5l3JuZ7vCln+uI3Ks00tE
52VE4ibEmNKocfjag8TXPblQaAzzQ+zxGVHfhszq7+x+jrdThY81GAzCeA5RZcDbr6EYwgt2A4kR
8ATeM99RZ5Q83sxhlxoUS5wTJV6xGbZ9MD693pRo/oxoRxb0stEYjG7T2R+xklhlWOTGmYnx54KG
DLrI2mZQ7x+wkDjnqrGjYNE7uKd6tRzcueW8j+wHoBnZSxRWXscdaFfEFWuQol164KMVgEAFU5Gp
4WSWXblNAWPT8fOn85H9ZDiBwNq3zjgOAJRUe+b27XgCClHeLkZlk5xSu87ezSpwZH5/oxIezLzO
XpRnfTA0loHCy5+9rrZDtm3IdHhX32sjOYAFsZdBX8HxS2fHuGOPzarlgSwg0huZqe4C4oVvgEtp
ij2aC/To5Zhfw6l48O2uCGK6Ixvi3Q7ZEN8SI5Nsy9rIgqgF4pGlunTIIC68Q6dc6Cq5u57terpH
LZeEOsTho0DOhXjUBYdjZuatS7MkZHnKtxTtzpHueklTz8fiH9v9eOH4ub5t5wzQB1b7R6uwbXx8
RMQjiC7AaSfJSYyDuBeCzKNmcouZRapnTUFwDrUtdSKNJIu5Zh6Rx+pqDT3GhE1ygpKsjTmO/0Ot
bPswan52PhmaT2htTzpHZCrUnIRCBvTymJaneXtZkmy1F/j5ACSan9EAEuwep3I3k4EC3KId8DlK
HW86J+WGejjfRgroM1SUgrNtWhkPKiYp0nSYbHHOLQmBl9yQOSCIpzpPYQxfZb2H817H7kbgBRkR
g6lvda9BeGMLYp17r3xqGQReJ0MMkzTm8j9lQORMZ4Qpk8/VlSFRmS5FrN+jvCxe+sUePgojtu8E
Ocw3bctMaTFafVdA4rqQavCOIJ/7nHwZDZGZh6o3sJJ0vEttC9hV0lufrZ5b2rLaiZyLtrrwjKY/
zHTBrnD8MdwZ2pGnalruYqMkvaTUjJS+kT+ckwElCQ3Hm60nThbIrM9DIFcsmUV8Zfhs59JISwFu
jYJgbOkJCLxWvEqaTHMTDYk66UXDzifPSjzYRfQhASVCwGDj9J+W1GQzqTSZnpsy7w+9GbVk5hjz
lxIjQqCsRt1b0mInHmWi25ARMMQb0fYf4AmZ5wRlTOdgRSWDB1fPuN/a5NZxR+MOFJ65U3XWhMvU
QtF2lyF5bNo1YFW583XS1xHRZ+tqzxt9/pywTb+3Ehvv6wg7EJS1BYrCtBW70XFgKzfcDOPSZ7S1
LWMYnvSWeHsTwNFk5PrTokGKPoDm6tJH1BNRNQRD7Y68iXIdZIyqEyAkFRii7WjA9losOZPTjGv1
2Ruku43ypcIgnLIEE+VJxFXXETcVJ8u4n/TyfppnJvL5xEgT7sWRS1mE7BCKG6tZhtCpBPZBrQlb
CvF/UR//vKh9W9P+n/+76vjvCu3/hfWxab0KI//eo7Va2i++zenX71Cb//m1/1TJ2KxwXME+svxX
0uabUEEECH/ojoVgDDu7/1rz/lUpW4JfQm3or2pUlJNvKmULuzv4DkIsKK91k/L7n1TK75X4aCD4
eLgQtoM4xUfJ8n2h3GZ2oaa4ys47k4Sbz7gbQH1UtiALR098DUOqBSkuWw6pVfelRhuGrmMXQAHl
VqfvsydkZ3nurBi6FhIDh+nwItXZTETCt7YrBIEHwu1Ue6gG5hs9LuBiWuw7jeLFo5cqR5PR9zN7
QJZ/fYk94TAjV1niX9F/HQQBBKM0rC1Ija5Z7qyKOVrgwjSBmGlNdJg2ytZol3RJrcN1SREwoLUU
2saUJaHGOflmLKPJuSshQ3p3CXySeqJOJc+IcILSHhSEzqop+3s64IS3epltFfpj2uJ/IAWqkZ4J
kVsvK/0sBaQ2bpXefqWq6XaibZZrxywqEahlyvhVd9HUp4b6PL143XX9ow3q/4sPoOD+/9X+NKir
6tvXIf06Dm+3qX/+2l9ICeMPsea8usgSV7ngqvD7Cylh/YEKXvCgCVJfSIphE/nXTtXkyVwthLjs
+BL84+1OlfAYLDWwboWx6g//yfP3p5rqjYLT9tidQqfAsGgIDHfvdZOOuRA7w7z7UFexgac5JWRJ
VTANeL8sbv7F01HJNqsHtxpnP8jZoGLiWfKTZ9Bj0gfv3pNeftKKIb+YoTNLfPMwllwyCjs8+LoG
9TSDkbCs8fY0YNTOtko9bOPGYkjY+rsGqV7gu6MfCN+8eZ2WE2BdbTLby7dGK6jcDD6TBCWassDw
A52wsTDL+ydZ+PcjlESwrLUZuE72hXGJHhYlP57DugwgpuI7lt2TAegvUIxvNq/W/zISDySB32aW
8UUiv+F3m6eiTl/IU8JAUwvwGK55A4Sn35hMiTZuMw9b6BpPLuPbzQBXFH8Oh1fF5DXPPJ0huQDH
rvOOMRnR26jn1EgfzPhQWhuV5S9mrs0blwHbpva6PtRb/mjBmGlj5/EHDoHToIM2TDFXRx0/JXmK
A9nYBP9FCNDGBN55ZnfNri5I03KhhgfkstxMHqSJ9TchzXub1AcbCEMcWO3CKWgKqBfOYKibuC5u
gHtKdnh8ZMGaRJYHmK1qYrg7tnyh1/GtruIPeb/2LsWaFVhXL0vFAKe1OjNwooU8DOjv7NqL+GtU
kPSCm+keYPOwpSoF5qtjNFiDuEm28bxNDdqMqaHf30delJ+3CLYC0mrUrlG08SaPs2f1zIwnRxw9
Q7t/vUnYdaKusds+bASqCTbtN6VEM9zp/v1ELCpYv1Wdpzs3MuVLxVluHy1tRa1BjgjruJxPwmeX
JRt+Wx/4WdiilzjN8rCte3MrZJKhnXVnThM31liU9OUd55L7+WX2wb7hkfHQ06RfUMBy7RX/lUVs
HqShVeE0eH0gZM3vlGukCmStELqSutBbSCNd3z29Xm86hijGCm6rYeJ444RbhnxpLj3lMoWdV5x0
I37hIeeuJthr4yE1YJ7BrVKvz0JMpfihSPhP18u+IB/k+s+MyQmZSy9HTpewxf2iuPJTy3MioC2c
Jq9UFyi9msAX/ZOAvxe4givsjdxMHk/j68lALirRwPKjTV5+KevJ3EY6ygmyXpwtgScNPmngMQtg
y9uyZ8gCLCxDY4si3xqaZqdK0NKY8vWwZJ8Xtjq4lilO+jOv1xBBA3o7pyWVsudV5jYXPJTkhp4D
fwY2MkJwsap1EjpV+YVn8qBaOguBJ4l1I6CuQMuUv+iFTG9kQs7K+ngBjlEH3QDuNduFF471OggY
6fDqJZfbTnymW4kOXwCKPfFQ62OYe3Xwem21lSOnRUzkZbQuIdwCVYMqxaKFHbze5Urkalc3nb8n
Q5L9Yln4O5fEAkx13M6vN8B6h/OI39DNqPbWwjJGw3zY2mrlvfwXe2fSHreRden/0nv4wTwsetEJ
5MhMzpJIbfCQsoh5jEBg+PXfC6rUZdHVdntfm6qnXGYiByAi7r3nvGf9meUwwrLpuY0IGpZbhYDg
pV0Z+E7KR100rlUPBj2QwGL1crJXUvz4CYzijTBUCy4XT48OSzSsLBgxZm3EJx0Wy9mD23ztTBB/
x/xVSzhnaN5Ynymkiy0omCwEOwc20eE5xTFjnGmCBDsOOmjvKqs+awLqyYJgjbW3IpWaxcEgVoGR
3j5IS4QBTBDPsTGq0BYWCEFJ+lXfc/LqTEgxoyt8XC+44qes0g96gyVHY+4YeglYnXjkp9M8eNrx
YN6hOPL3ZJTM+1aymLS2UiHlD7gUxVsYB4OnyGubA50Z/sNj1va+NpkBupf3h1ZlDNu0RHvktdNb
p+eW6B37zpzzGQGNRtAF3GS2HbgqczcxFSY8MCyaUo/Ia6rPjCIm4hWKN7zBfDUzT8D7d81ZEyEb
UUHYSfld7dottvYkBZ0qhyXQdjriMbT4ljlvFblNV+79uHvrPP5xNdCsi0llSDLWE1srs53R9998
HaB3rQG2azrvM+TQZlto6a02gjVsUJ5Zo5+c5mxiZAV+pzQid4AqYuIAxRY6ae4QLeXytXCgf1Py
YQrf4qoQ2ga9Yf5qEmoTgd4MAA7q5qNDJy2idG/zy5yI4ZSNOj+hxfA6pmtn2MM21ztGY00mb8HY
uWsVaZTkMvdiUmBhCvT50xz0Ykt2amuEbtdppzYeXjTEd7+LQH2zMx21TWJNxZvfWdriskospECw
/I8HiVNmF1TFFLSbXuvA9uU9z3xuKy1K2Ioi0/DjSwApRNuVJI9hSzVT3zui5RLVQRKboT3NCYOS
dIASxfQksHBG9yXjqG6G33YN2Nect4lZx9o9ql/CnD338Q9HsdsfJ5g/Euc+uHDWcw0jSg7NrkdP
P7A+aKzLQDOBD/UDwO+ZSEoUHlnB5mLV/uPQA6ByJE+djfAk+uvrfvCh/LiuDZvLdH3ds/QPBU3A
qHVG2DYcjFUJN+HZhfRe/F6PGh3JtvgbG8oHs8GPq3nrtMM2Ah0H4a/lE6WTZmdLPRzKmRtkPQkE
dOO3WOD1H5/rv0XA35FSAmyxf7gF/jSlOjdDJrKX+tdR1Y+/+slK8X9jNgKjgMHT+3Dp30VAYJOE
ARPQweBPuf9eH/xkpVC5m75JhoTPMAs7GcMy0Qwy/d//y+QFA2gfDLiIL9JxNf6TImCFrvzRsWYY
BnaxFZbiORhXmG38ehch+h+HJjNAodUx8uY814x7Pe2Wi68yjpxd7kOmIPD6VWhe/MhWA7u3quOT
1meIkXsT4lPpGedGh/UD0ItjGi6kauP7hfboU9xGHkV7RlA0e5yR5tONUWvD97znvMCIv/xsmzQ7
25X7lqRVTEPchtZam56Keg6foZHo/biXlbYcmo5hzEAl8jd0xg9PLd8ADivTdvga+E6xWv36DeSM
bVSj2vY49cZ0y9QogJNBSWJKuX4u3vcfbpH/sDp9eG7fr8fmTmOFxWn1Cf16PVNjWJQURXt8P+dM
Sfm69sFDctH/1T2j9ZV8b/7DlT64adYreRZdHB+fGrJX68MnW2gkLgK1BwNHjtUm6ZYbuGjantyM
7AH6sL2f0zy+/8cfz0MAuqIfKCyxNf/68Riji7Gqya2HGEeAgrZiBgWDUicaJgcPxT+/moOVmCqa
bROgyq9XSwJ/zOoqR7Wpj05xqXvUvpPLABETRPD419cy1hX1D/Xy+n0CReYirO0B+TUfLjZB7U5J
SMmOXTqVDF1SVFxR1xEv7/cGA0HiUW6GfjDOoyjUAZw6quJMcNT/6/fx5xuIYt3HHqXjIeLA/+Fn
Jb/Vm5En5MduQJoTTWKGLIZe+jFwieb7m4v9+R5ydMNwKH4w8Nu2+WGX6fHIW7J3IZgZy3L3XsFK
jSeYyK4iBeOdMUDx6qDw/+a6/+lDsrkh1yaMx6NR+esPWyQ52hwXeUc9dqDB1np/tIYRkWVGpfuP
vlAbzA/ztcAgY4hVUP/oOrMzDRhkGmTHzOiSqJtmD+Sx3kPzoIb59NfX+rDevl/LoXcDsMnTbRqf
v36uvJKu1mvcQ8u8EILexF51KjOgldFfX+eDCuHHdSxOP6tvj9vV/PU6g1viAG+mjKQBSBIRCF4+
lD3XzEOU5TykWQa7ZkIxBBG6b/N4q1dJ+qN5+P+7/qzvgSkuC93aAsMX/eHeUbNRZJ0jeQ8YfyNA
6J1JU1RLLrE1V6cm8VFiudb8N+v5+1f4h8d0vSyIVD44R0D20I/GWZW4hGPGHhxoAkC/9LlbndAf
zddtXqf73mprYiG1ZqKPM0+JF8YjRi0Kn3r6HZFD139r0SOciriOD4mukflAxAm29Vy7++tf6D+9
T4cfZrUCQkWD6fDrT1Q4VjwunqYd6BK6rzNdsj5UXRnwE5Xu6B5qFPZIDnLNI/K3GYsLbRVI0lTS
8XEoGvsqkEF8nDLfug40V3g7QmianCC6wFP7v36vf75rfWyZFjFOUCqwgn54qwhsZSPojRyrQEcR
XiCMKkJyguT2r6/z4annp/PxsK+LG6CqPzv1Mw1XS6yJDHkQKMIgW9VuddE4V6WwnYe/vtbH5fz9
Yiu7l93Roa/68QA9+8IR9pSznIPRjRI/VhFjQrR9PCpMbdskbKdxvjIQHz9rVZ3spwbW2t+9iXfv
8q+3K+wVyMJ4Rdd28EdgXNm3msmTgR1soN1y9EqTxVQGk9UeoQksd4A69df3ngJu+3dFXYq7I8Nr
SX4J/bArgTv6FAzDfMuwlHR70a3a/Y70LbJdCjo+ZUpnJ4UPcL+UVvym6NV+9udyuaACQpEddL27
znQLxAO+c6V6nQWXOax57wyF++CmrX6Qhm+cU7IJh4ikMI0QnXG5m5MY5X2J4f+mIrz2pYxn/XVB
L3kRWjsvm2Cq4zc0wE57qquOyXaNTuiwEPgqdrmHlWND/uV6RmgIQd3UnWm/pMSOfgM2bn0akQl1
EI3eNdgkxr6VStpjVBGLlAKozdNLYvFkMzNKIqNX2euQsng3QIjekkbzTWKCODbCHtPJ7RqzIBmI
xHDt/WjTsotqDzmr79FeqvPOe/a7Ec8c4gPuN57+BP9UE3D5tu21O98UrJ26GLznBWx8NBVBcvHW
vxVOw9uYHYuYzWwUCECyUnsMGmu+sM+Un7tuHm/ev97YHQGq1ql+11pdWpCo4ZXpMTYS1zqZGKMu
BRGRpLQsaY7P7H21Goz5qpcLK5SPWPlr3RTckY0+gfsoSwN0btby3c1kQkAA1fX0kXAS+8vQ62Rw
mXiab9eE0HXaz+uMaYa+U5LKLDove6WnSqxZ3PdzAlc9KLEQQld7yBPL+uTXqjcx3fHdVqCpXsuk
MmmCNPZL7nQa2R+OQD4cY0S4c0ZtYtBc4H/QVTfdZLOt0sizjexr6UqWppUNasw6ocXWeh9Wa367
P6AGCecUXXm0TAYHGKNqll2tSu6ld65yMuJggU+diXkjhVruKkfTQfKT5xsNqUCsQEsCjmOVj3Bu
BTfYVgd7+JKOic4M3OfudQp7uu1jtG6HgawmXE6N9uiixOF3TOz5kmhlfir8chssGgbg3p5usNd1
O+KNDcLcCQzrROzgvmv6u0Sm2VH3+/oKr6IdIsXCgGkK/WJY9XIaOt09IFKMHxPp4Z4eipfOpcs5
czWMS453Uy3evsgQZnf4QknJzK1nH9fEBs4JMrMZ9VaB14C23BKa1HyhgZVsF0wEqBPFSh4F36r5
OcjUTZbU8yk3gl2aIpNC6NYQZWQhR9GGFpH2GGyIp8tPZQEugrwQkJOgFInCtTFfOfYzFkvrklTZ
TT+Ro6Hw50YKx03IhmPtnC77RHOczFzRmlcl8l0dvXXYynrcw8/Uw2KBWJIuuhsFLdbfLEjvRTq/
kmj60g6a2OZaBfvDRU2Euts8wnl+QsdMjxqsbhnOk8+uNrTm18qyTwuAyo0ys+vUzXAj2+6jUvFV
U3vJk2xJOE0RkJ/wDrIA2+sZqTLnazezrItcBP6hrBQnTdHjg3NxLjzmBpiqK7LEA3S+nZmI7yjG
2sNsNCTWIUuOcZYmVn4y6NsB7tMS7zw4JW+oKW1gdBAml0/OYlu7aSzJPZKKjDm0X90NByU7jUaX
9aLw9PITY+Dk02Dq48PcQLAhD4VMwE2rlvlSkLO3Zsh6O7sgVzGvsv44lS45O10A9gwAonXpE/3e
d8bx3hvneWstw7Bd9x9UTk1LhFzWdtWtkN5CtiNG96Ot2RwFTJBTYT9zFgFBxF5YuyIEc5GxFNUj
wqaYHcFLAu/Q5pQ+A/dfVHHM26Hnt/cD7rM27FuzuhG6/OyVYDuNkXwDu1vIkk9KEuUj6ZLwutpS
0FfhRtrVeeHc6vBNdq43JF9knoxXFk4cmcXjKScDTuJOGIOvVj4R4eKg5l7HVb1GC7BPT4h78OWY
9L4Oi6q4MXPODpQIpXaHLcLbVnNPIgk6I71ChDfYtf8m4bajUawNkuIqx/syjfTY9zoGeyaHIyOp
ZuA8RhLnoV2W4Bpjq3vXk+kFUJt5jCY770AFHRyCyUDN3RpD/71llrNlgDGfOmldvMrW8Zf05LDZ
gXEGAVFzhKk9UDllcFfGHfaZ2Iotiv88tWlTYPrUMvLVDFkGJ37U4GFykLmyCSO2JIfR/jYturjz
pEbXoKtF5DeklvgutwAyunYz4wDYjx4pDy76mu1ILPSnYhbNbSKFtaliIz/GeWde+AazyCI3uFOx
sVeOw40d1BeX9kEIN9y8TaCYHBx81ucgSRD0tovzEDudgbNmbPYldo9duQj/ZVgzjlloulCJkXgA
X4L43RQEBu1TVZsl4z668YmIyRfWJ+t60P3mRl+IM0LO3LibVmDX2c4F1FPYF6rcl0XtPeNqpYnT
dMkVIi2/IRvGLo+zFszfJeX4GcnwcIcpc6I93RIfEALUZk/HwIEVtlHONRV7u8f65VEAGM2J5ADJ
0yXby5hXJbpfR974YpoOVof9L8wC/1BN0KJHv9aYusX4xTGRXPKh9vd2oqrXou48Et/aoPtiIx/e
ubDd3wKnIounZdBw1IaaXlJe9p89nMAVL73tO5iZSEYwJ4YiXtSL3to5vARNkO7aEnvG5qpL/Gw1
LpJ8Ga4w0Wah3uRbfvFsW1TmN6DUZP+B0kKyG1hiWyfJfPGCoXn1jFqR/wg8yw/YA7vUWvY4V+OI
8bW8NXQlXvO+YM3uSnYNFoG+gEcMgKIrnE9SH2pPfEPQ7pOMZtdT+pbC8iHNSpQYSWxZUyZJ7a1z
0/oyOa15nY3O8ElLYvVq95n/nAwBUd11TeQpQILFZ2rhMMjyKrwYVX3QXHs+mWYeQL5w1ZdZIqbT
i4oMRl+VICU6ZmkEihkhp6jkejZnL5Il/X7L7GI00eVk8a7kdLDrXL/YY1aiWh3ZMxoTaHxYDgPE
HRandICS200HI151yUzDhkjaZsNyNpNp5Fu5OYcARJBZwxDXQ4PuEPdlGbD6iEV7zCDc7QLsHNuW
TWFv6a08tUs2fGupjagwGMnVJH++db2ffY3N9Vamo6Qz72xN5p9mPx1c3Yo/z45pvWhmq72Z7jCe
Y39OHp16yQnj5WUnewo+GeDpN+bg9F/j1s44TupB2InsEwfjGJYNWHs0ePeu9TlJ1hhyggCow2Ju
quqz7kD61H3t3lNTscEetoS65+/sBTNiXyPuQ/laAR5JaXdiHsehCYjAp8ZGcweiGO/mK8yCFFwE
dTITfdmwVa55Ypq5G9zxO8DTYE8tb4ddbwa7Ah9DWFTuyRQVccIZBJDKGXZ+Qogoukot8mJuZz2f
jKvZwd24GEjeeeG0Gfy9OXfFBnt4ubdlNj10LhmW2KiSS16rNzQSFqY64mhdpcxTRmN3K+hmnbJ+
Lg+BTnvAnFaWbtsPe4yP+mshUcBS47PrcBA62UNjb5kwdrBaJAJrOeXnwpj2BXl9G4sDFwj6yY3k
ON2M0P82qT25B6cnxk1nmk9p0hKo5CNh5Sh4OxlC38gyb3e+FN9lrzXbVmuWveEi7Ki64Gs/Y1Ts
59a9ki29gyXRj5j873A9vGSuvWvidOacElzXlThVWvc8VsvNUMQntI+f2j6+sOTSMEKxeYUO7C3v
ks9wPe893FQtp+mwzgkL1rNxv5B1v/EkSc6OLsKlT4Yo0AznU7MmBOuN+ToFBgcrLWGRT81jSQRd
hLBmlw8t6BtvRLzrfqsUIzOzoqu9cTQqgmQchi+LtXybCKJyc6gHnVdmYzgHc/JFb0VC8BXs/RPS
DjgW84wMO7P2BmkOXfY0qUkcmAecne6T7qvhsUMvs01FBsExSQ8e3JoQxOvwpJmQYydUaQdFDXMe
hp4QdhJVecxn/eRYmffk4nzfZ1WHs02kY3/MOpf26Jiv5YQXpNO+Qa28JSKd7BZsY8tZKkfrd2k1
3TumG/yOfH7WTlpb0tDZFIEgu8NUQAeupF+Bsdl0qZpuS7NfX8/sivwFlwdMmpmBuDwm6I4ZT49F
22/oatpk0Ok50YPk6eEtKDgPHchb8bRrifY6iwS+9G4D4gfhjRgpOde8mh4wzbOfANcQ6De4u4Vg
xODgLeg5ilBIRabfUBYl3PZD1LC80GdaZxq4IOLnIaFAiLWOGqPBeptny4ShVlECd/F80chaDc2M
tBk5d65+nWtOprYymCk7Bo9laVxDCoiLpjoBZau+54s53uTuTCI9CSg70A2MMKEaPCeVRpM7IQ39
3hCORArcU4kki9JfSYV1nYtM1VryBrKZw9RpxZeOROjIL4GD7VvD6o+c7Xlpkh+R/jQU6JEzJ8sO
JBf11ejKr24JlSrrOf5humsZmC8hmpj6WK/ZOwtb/tFE3RBmwopPVurQFBAU+cR/0iNYJzXv13tX
Fs2N2x9j12JmQx7rHr589fT+rxAibN7rLmU/ASbB3nOc5WBaxOqISlKDTb1Jl8C3xptx4dijUWwy
61lq94HZ43yBpOwQgS273XujmJRqxihTg3wDrDHirKyF/ZzBmtIC3mKVkvvjLrLeu5UjvjDQ5gPg
cqw2rCPLnaDxcgs8yHjCwsevXhfE18Tj1B97p8ZxP61gDzLpDksxLJephaSF1Z7PhdUwfmwdyr5O
pW0TOnMOkU1rqe2HoYS7AqZlLCAF0RWhecliMODDjfU+QFSuHGzyMb5M7n990c5Bk7QvNP8yDIk5
HUV/uQp6EF2Q0wNJEF6HvBwt2NLsZDGOpJZ0Ur92jBFmb74wIVscmlfxQr7Net9pGSI4laPtshZZ
fi77crlLpUC2pchx5P2lGKk0Al5oilBm3cEaXiN7BqZsBv+T32q6bjzF10aTMrQJ370gHKn3zdqK
ew/K8OYY30w5Ig5psmXnorG9SFvntQO1vmCZuw+JGWjb9+iDlkyPSHqImaba058qnT8papvEoFUC
0jaSb8twJ25Yw/Lmi+KFtvPSBw6Jl5r+lBJjTCqbRBACk8m4TzWO1wahozyRa8FPpmL8tsBcu1I5
d5NFaE+UE3DzQiuxtghXMtUnaU7GOWBiflIwMV7iVJ9u5zjl0dFSHmHbGphNjjI+xa3RvBSekMeg
mzRI2EKVOlL1MjbuKQ74hLXp0v6Kk6TgBByP9T6oCS+ibum/yGD9eivyHU9DQ56IEo15D2QN1Nn6
wJqiSH+vlqp96fyMS0+DUCfSH+OjpOWKjdfXxMuysg6B0dzJjr8LoJ1dsfi+Do5A7WBklB6y/Qb2
BKUQw7y9UD2KHsmvI2XMwz7xBMbDHNCxqIO9XPOuksadLxYt8Etbqfi5H53ZCRd3Ma7KxDRuagvS
mVOuTllJ5eNENcvhXie+DBlPz0/srHfB2NKac1qHlgIwSQBXvqQmHIOBuwRi0WsCBRGLia81IbNY
nummd+KooTrdDbDknwObbypxkeEsFARvXtzygQO53oO9jvzLc9r4RHgTBl7fmpeDtioEPd+j7PPd
VH33Xepk4kaN6UkQ+vkVJjdTKMGBvKeV2iawZ0Ecbcw2786GUPU1pvXhMdNH//dWwSfNmik4AfAs
Z+Ll2ZnsbOx2s+PNyA3xUx0VDuTn3HUArogeo1PkQT1XUdlmzfyj/fxfocPfCB2YfrvGHxrXfxI6
3PTfk6b+o9L5X3/y02pguL/ZkMrhGQYeN+zaxP6X1NkwCXdhFOMj9KfHzr/1b6mz+xtPJOJnxsU/
k/X+pXKwjd8CpiL4D9BBe7arB/9I5WCuY7U/NNlRVDPYR95AZgS41D+NogoxwOMfguw2LwILiKrF
EB77aQJ8JaAcsO9sFy3sHm0Zzbc4hv8OYBR9Wlhgax/ZSVDot+Q2c7YWMiukdZ+ycZfTF8dXWqGH
bgGOpsVoRStizemklNJ/J1meYKONJ2ro4iTKExJgDkbDSblJafKrfRPYVGdpl5+gOxhvFrCmBu9c
579qa67o5CIr8wq7I1c+IQZKeuW94xOyynazRFZQQkshvpusX8sdQOCYfYWTqWyJmVssGzaFrr36
a+4pDVTUgWsWKg8sY841H3Vak1I95Qxfya82t7beBmsx46b3/XvQqlgzVxXk/iCCMAW1z2r5xKhK
MXpRM5RtFOhpetUR95WoLAlJd3JfMw6inwSwovzaobqJBBXGDYxnwmKRx6VZWLqscJIaiY5LMAUK
aYDM5gcPyTlpPHE7P8VzQ1i7HiiYdFOcPODoJgZGNPikQ5qq6pi5cXq14El6ImnNwLhoTzraa0tt
A1wepH8ZORHcHikH+LQyq/0y9xOs3KSDluJjIz5potZX+JLPrKeKF4J6i9GDyQDpskMknplrWmwq
lih3hOgjt/TmZ7xXnXvLJzF1ql5VTVGwxgpn+mBtxRo1XGl5+ub1ZBCnaxqxyOxhNzKhiOisDshX
U++uW+wJyAfuwcicZXOHo7E/zQ3tWb3qjDttzUGuFWVfbHPgpjggJ3lsA4MJ/5qfjFyRXu/cVCnW
khkB4a6rtfZss77PF70edK89mYU9+giBnVrQAOOLoP1XqbRub+2iS5sjCEiDboOFa7BGgp+5wFUq
YZ8JbQMQuklrYmSYfRvEK0W0kzLrbuCcnlIWKO+hamvatZ6GNJCTi0Iv6TRozeYUfTdbBaG0oTVN
a8wZPdjmlDdxH5zdNmFn7by5DfPSIwWk9OdKOysnS0QYw9y4Fvh6z6qWKUE09fhC4LFLO1uMw3Zu
62o+TrihnZD9uoaji8kuPcC5RFGKu4g+hqSpZITjkmjyoPeVt6uTLLvNptlYwpTzH9LrPq54smMC
Zalr50xGYFGGET9fq9R5odnQRUCJrLBJ+TWjVlXKIARa6wFcYkJKbl1IFoxYiDD3LtNSjdelcPR9
X3hDlCZWQglq2NpKjeEYVWpedq01MPt3Ko5p5DAHcvuoKv3xycxEs2ew1yUnWxf3ZETlzDgH7ZsG
E51nCm7LFPpOPjvXsrEEYL8OUhqgzrl5mmKUURt/HlJ2afS0eztue859Onj/DV4pKQ+sRPOD3TE5
OJqOKzviq0vTpUmYmuPRy2MLvnrbv42a/clBiX62MkcsD6og8/swwnslUy+Gg+q3mnFlCeYbS5yb
d3SZeR5jO8irbZ6wmgGgJf9k7vL9Mln+KafOLCKfSdB0noyxufIweS6Yuvti7/tY8InkiEGa8Vs1
u6QlxBdtpnXHfFBXO2ugvwNP27wiKi7YWn6uBVstaxkKIQMzHtvFziLdItlqIwuoRq89hNCXXJfa
J6sv1bPQJ9VvmU3ZPGv2pIj7ow1fGa4mj32ycrisIRdbN4U7fsW/YFPDUQeUG+paevmI7JeKnobQ
iNkOZ+Rx1CdEe9gqmlAvhaZwMTQ7Lp7tdXSpDrDXrGYby2pMsFI71WBfmrod/I1fx+WjwZThM/DI
Lza3MDhSgWCII4xuHgjx8e5cQDNRIuM5kiYsLi/gxL2toTZtS82JqZ2ncbqvY2FfU+YNalP1XmVc
xr5pLotc3Hzvd4311MnpCTyUworiZpA3jSwu8VYrXWIVUPk0XKoWmNgyG+K+ykE9hBSfU3JHiEHM
XA/P3bzMh8rypIeT1taQFZ86wapxTdPS2L0fEv57nvqb8xQpdygb/t/uzf/TZ0vzUTW6/snP49Rq
z7QxaKI3A/HD8PXfxynDRlDKgeiHA0x3Efb8FI2uzk3+yoeCh+/MNXnBfx2n3p2bJIDxckg44Nb/
k9MUOtMPpyky53hfqzkNbRiByR9ETCzngpvbHc9GRo3fISAfZVWuJDGoSFdMs1brInP11chYmFVZ
6V/ku8exePc7mj/Mj6Q74YQs+7xnUoO55t0mmbl1K1wZDjlb1ZpAAsoB29gIvYdW93zItXHU0rBG
sVapY4+NRyjs2pLWf3upyxnqmALsKzaEytZnJ86nU6NVisYhUIzLbNMagDKBIEFzn8gBVnu8214S
6lMQBU7envNKZHuobgN4IQcUKyPKpQbQPYwa3JCRJxq5aLAdrQ7icdkvULpc5nz3S6EchgswPzak
pKtLhpGt35qpHGE+YKRHDWElermvJ6YrrFp4WpygoTEI39y7Bi+Ldl/MerbvNLYPXGezpEYsOAVp
nDMxV9kQnxhh7fIFTDcuu5oXXoGDEI5UrG5MIj2e5Tgb9yMDA46WMpdRKgTGdOz9kJREgiJDFFXP
saZTT7K358/x0sCv6pOunY60aaj44p6hPok8+mA+xSUV20gyzF6Ybr+1jUJt3aTtQGka/XlsGqNl
2O+NWx3rTLvBIO4ckc96nwPgc2dTEh6zz3K7gxwoaBQxCTbsSLOwRtx1WDJMqdXV3pJlHLqMU4FF
59Jj1USCDG2xUt6G0qBvIn2wnU3rAp7taPhGU6IGf2eO47gdZd6EVWKqZDebzFM4z7fYgA2USpSx
mf6CPQb+lcPTuCvitZWLgOUFrlVg7oK+cvYkbrUPNOvTq8KV5VOjE0kd68rgcACF8lCqNNEjs2eG
z9gyIj413uL2ZcrWpmxr7PuTobYJTIYdqO9pm3p9cDM5Xbvv4n4Ih85OTghaJm/TWFXx4JbWOqNJ
h/J3Pdeao2R/PcrKw4TiePFXnoZeARkxglfCxjiNzUKqYp/IDlJxmQ3HcT3emKXygP2xTzz4tvqG
6lVbx/hLFPvgfmh2z4invNZiP0vYJcLEpTsA78YmHdrxn5lRmntFf5bJrVgMI3IUtj5hVpoVibh7
dOyyv+58fXktZQUNvEvmzwhNqkO8xDyCGgdzLKEau6xq16w9ZHTXHTFD40Y2OfBuUzGMc0ThRwbd
nE8uhjbskgE9yiBjltyVFU5QGZf3hd2aoQDnvFey2svG5z6E3gikk1nKHbBK2MdIfYJdA8xrZGWJ
jfiqJbFoMziyvYEzF+AH0oESGcV87ALRhBOF1EocDxj6y2+5ntmRNY8jI5PMPuSQGcPGNl+QdH1x
yp6OBZIbjvHK9FB/dRYwJtg1Lf6lwb0dBRsjly1AOcz9D7npf3fFv9sVbTaMv9oWj/XvfzJT/Pib
n2YK+7cV1GV5hLxYNqqa/7st+v5vNNYIZYNc8HPv+2moxoYN40AnvAKLw48glZ/bovcbEEtABC5W
tQBD9j/aF237g1gaH7Vl8C4wmJEe6qOZ/lXROZgizZZ00lak6BTBPi5fnByQ9WbA2UXxhjKGUY+Y
wf8PmhoRIWCDcNO+uixubE+hQZ4ltsxM/e4NRnWzxFP9NaC8azZJUAD/5K8gZTWx3FX1Un+tHA71
OqmRN33GfGCTq966oLnymQvkVVIxqCvdfeb6D9zi5X0/DepGVy9V0/ebVKTFZ6n0/plUcqWFiyrr
ZV/o7fQiePQnFmKNDUOzEkIBpqC2po0lSQ/ctm5XgKUqYDRZfYXjbYafvGUqnB2LqZuArpfBgChu
ii36i/FiR07PiHuL1sSzwp78b4bPfm7tu2DlTRO4mp6t3FM+WdteRn5LXbpWCEKm+daKtn1upL5c
D2yN4WCV4ioJxPjNr1T9zHgTmZLySV1kjt3dzW2evJgpxJcsN9f54bBTA+5MF8VOiEp2vF5Att46
FrCtzehPHXDCavRItM2Ka9+qpjsiFPEogzRhbnjEWwskgnTRUNUDiGN73o/MiW4NDL+co63qG3Ai
Y2NNFRwrx2iP8EvlAwsOKfZCiK09zharZmsgvkAYcXJk4kU53t0rxF9QVJBBdie1wPZBkgZxGMBQ
5519vTJBsWhz+dmq2uGB9EwoEYMBkp7kDOMpIzztiVnGdGxHB2Yv0//zuNCxkHXmkqA22+E4xct5
SYzhS1nMbReukQsU+H13xfRCvQV9sND1niXCN1Ha6Y2y63KLPbbOo3oMunpjGJ66lBp2mA3efPRs
a65EAqHW2WOLJDTWZAj7Nc+Bk66IyY5qvbOS29qnXXugKZfd4w2wvphoze6CxeFqyF/7B6M1ifDo
UvvKMHPFtJ2myEGzJLqWuWkjU6ruwPlF3WMEgnTEGexZq8lLxyocfAcE4vU7F5G6vTGwW2bbseuC
+yB3lzEUAJy1J9SL7m1qZ3WxIWET9kDA9vLNbhsrWE30xZYo9YpDHu2CrjLqR37H4hOymPTWm3Jx
EcYMAIoxWbA1mrE7wyHgtOLOSRVxu5KbZnX6ypRnYKJ1/P/08exLpxiIM6yr2uu89gim2IwVT/nT
VBu5Dd42ocfJ1zOhdm5Pgcp0/qsBGyfR3gdqzt170QSTXp5rXZ9qhFVCk9iLxwHtgQJYfD+PyppP
KSFWh250bw0/B7VuoxGzLGRWcK6QJqFXVluBqPeZxuXMYCpWZeQNdiDCojUbhLDif9g7r+06lXRt
XxF7AEURTmdWDpblcMKQJZucCyi4+v2U7e62tP5fHn2+T5aXrOkJFBW+8Ab5YRwlYKwlcwBsesBM
0jqzr7220pdK+unRQ2KYIttQbgsI2Xv0loo9PgZMRdbLfTxoeo7ZNJUfdTyL6tIflZ3fBtmwltHO
a9fR/uCt8H5QUgn8Wl67Tmed5rF/9Mp0vrOK0Nis9EgMin46n5Lav2qA1qJJVbi7UpcrLbhquUOO
yj0b85J6ZygTxNmG8m6m5H9fziiJeUWO4BNVzz28+2on/Agk1ZBtnC69RnqAQhadOKqJl1N+jrAr
3ySsDohX3O2jzP1C1VCiuWed57mLLCstCiDN8NJRX99qMuDHlKIXpjp9s3UYlgPaHMNNZntfohHY
7AxCY49MsXWFzCBgPLNbL6P9qXYUmo1JzEtGimaYLoAolttY2fSZXYAhDqJjB9CpH0EtY+eYN49h
gDZbFbbPkje21xnt1oXOI6rrj4nob/w5z29VV38Gaaw37nIBh9U+VHbzYcpEtal0oLazTaSH8vpE
B61E7W5Ea/0UpI4pkCK+Nk6AfDdr6l91mTOc92K4UHlMjIyV6NEVk7dzhqXo0MUN7F0QFel5nwQe
HL25Xb+kehiuIAJ7B3924G+P3oXP2760E6oHNgirewrnzdGStXX0YPtu1dKs10sf5zHzB+moMJPt
Xbcs0b1Y+yLdJZkq75DAmFGM718CimznRZY4F2sVdXtrQL0AIwZNqkf+h2BuyPR7CHAd2SHzi4Eu
2KH9ilcJrhTJco2PCYY/k9N/XItk3FrSG67dKLuTUJVZEkW67Sf8haq+qCjYldWHqYzjOwSxMI4y
RDTZ2MtO8Jqi2AZ5ii32U6njp3Swuzu3DeZbV0f6IusHce/jyfEBJVsjjemfD0FVb/XI1Mkt+5Mc
UoqfFv+B0YiZr8+dukXwPOtpuEeXDV2eUS8HumXRYZyD8odBwl6vMy3adbycFUI/WL1Q6WGPsS5z
lQUuKIqqu5clBbEOfd8Lgeocyhtue4z0kD57Jb3iTUSfdxsU4z2TsLyOGrtEMjOWYCf9YJ/567Bz
nJ/OoR41prw/q1YhbkucMXfWuLQ3cna+yqn3951jFR8qox8mVeB+Uo3XHYYZgQ1mRoq4NHGBv3U8
zGdQR+utDUpSR6ftswtr8qNzOczLqQ4zfeYrjkhdrP6ZBcH7N4Xp/+Lkv8TJrudG79KOb4ryiTPl
Fev49z/6HShDLfYE5zSoNydCjzaC0POvftxPVTCo8TJA+gcSI7/6s4AEFcrogf1ZPBL/42OdKqEi
e/hL/pdRMuJer6tHaI8hbATtCc6xawLmN1Fyj1BHrX2iH09ZRMleeQAZow6iUiGJHy0wsIIJ57dC
qAtJrt4frY+pkvlLGeAqjgSRBQ4WuGtFm/1ojSiHPtCdKS/Ax2XsncDnv059FnyRK8LzqZOUF2rO
MXS1ih7dEohv566ma+UX0bSj7FJf5m1nNV9qsCJX0wLlBoFs5wgLYEKhMnXbQzXNffRlQr8jPIU2
baVedYv/eZr1GN4upBW0pLP0kqgT6TKB3heWG0kbZk+TstLPI1jl6tT0TZEcWvzPfE5cMDLJwaIu
5m1HhK5TvalmeFy0FlIPPt8h7Mq1vWa187jsyH2wDeoFoZ8TWBHRa3QyO0NNq9FWC/GMcWOSmx3q
h8ichpjomfChZDzRhIQpOneYgEfsd+M0BQ7w5tixn7HbGuZ1X6SZnO1NUQ8SObKang3S42O/WkY0
thbgS8Ebor6JmQU2pmm4dh41gxxsyrbwOchBlyetm8KPCfOxWfOXNV4WI+aoKngxuylpMg+Ypjcl
R7fAPvAahod1Zs91f2vnGLGuCL/SaPUIcoe0Pksta8JvuXU/FKhmZMgE2dSFnHq+c8pZHvyoXZ6C
Ni/2cznCKigWbLyaoTvgrlRcouYkQMJ41VmDK8yxqCeKD10NvLmcyvEsnPQ2GNPiUFU4+wragzfS
BTaNCI3e+V5S7DyFPkiOudZpWKP4rq/m6lNcW5zwQMpCoxHZ4mHgfyyaKrkTSTfczukU3JVtMX1J
KxyCkwgRlx6vhzvmQ0NRqMkey0HHoOOa5RPKPJgHgwoEBxKQVc1OZip/RfyYtlqcdOpbN5aOtQLn
YEUHBKzEZezH5dECfrTuHJK45bHtQokPXel/7Hyn/jBg8wA6NE5ROJZ5JzT8lB6DjmZZ17O6d32s
q9SA7CP10bMZdPVxLovkURAVX0QreJCN08r5AVg8ZJsQzGRusFrlD2f2fKiGASkT9gx1vS/cBpN5
1ARvqaahdzXLBwq8uyEfPeOhoINLZ2mRIgXmRCGY8td0MyaJe+FoODj4xY8blS+86xFe6l1a+vUj
eiX1cYqD9tvspp+crp+2qgzDc940NJRWeFu4KOHVupT6LvaH9Lz2dI9UjFg/o2oLQCuatfucN719
Ya11AA6xE8H5DObs4OXtdwMbOTnS7vYpJxRvMMgBqYXjZ2Rpy09LsWafxEwKiWRNWHzq6PShccUK
o3fUA4jDRSoKZnXIAJ/ODcK/SBSUx7wXy00d1fJ81gN+bdjj5ACVyMJunDyj+U62Q8/Pt7Pb2pSe
NZkaHRgAScxicmVKcBrvBmUhYWR1CyEXXt1zPKMNVSKNH4Bl3CaWTUQ0zOcNtEsqWNJ99AJL3Cir
/5it/Ye8tYIXLRtOb7rkiMTKmUoJek1r/hD0uXdR2UsMMpfEw88H4DJZcoY4S3C1zH3H0hiHD2sZ
Ai7s7ebZH220QyA83dJlX791c4MTlQOwwRS724skT7yPCQL/yMiUrkd20y3QbuC/ea4zflEUH2tk
yVD5Bdu94meBXKnuz6kYJk8D4q/fyxmFxGHqLt0xnvfSn/UOFKT4TCkV4yjg0CGS3fNy6RLC7jxa
CnBzlWux4rzUvnYAeh36xrGoeMJYuCuw3KD4CiR5X47auZ4GbAc2JaXeaZMiY61PFNz1PRYbQ0hx
ZRYfJhWH34q5ouc3ZiO+FWE5I5QOcPie3ld42Uy1fBpl31zQxKaNTzOZfW60hb5NnJqwHrAyMkYz
BJLAmBwtjjVcw7cZASuNYt45gloiloXpGZaPE45vC8QIy3Fpa2dwaaJZNltl6+eOM+/emf3lLLFi
cAh0JJEwi4czCZ3hqDpPX1rKRQwvbMNntGvkj8byXqAEueDppkEhgFQtG2Dz+66nPp5VVnE16zS8
ikRRXOLu7edAF55T2+02nV3i3Kf1x8buP+huteE49LRMjAtXRl/zkEH4h4i2RncdxL69BURcbL1h
Hk6JlV6XBfV0b8zw86x7Bz1K6R3zRIJ27oLnHGWpe5SiZprrZfOQBKBi4Mu059hOVPu+j2V5JfEz
owZcTzRH7eRkzXrJNn7lq6PnOM0dM7fa1TAQbzFp6V8oGWHo4FInIezxwseEStg5d7js3Lmttw3I
thZJYVndVrElD6W7NGdOjdeNTfeXSo2dXVrkL8TANd31UY87b9Tqi9v36a4M6V1PQfFVDc63vGuR
8+V4vJzmKkHWepjTWy/sKJoPDelplSIzJfTwwxEkv7Avxw+57cv95M39HrJ6cfBCoKyit/DimZzh
GhyuOs6RQE93yPqbKUFTcJ+vEdh/Dybt1upTjJrHiz7D5UjW8zdwMOXXTs/jIZmR1K7CwAFNiT47
295X8ETf+yIbjKhdAL2goCgt+T8ohBEsT+mfsGa0zwBP4x+TOe7BVZmDXLiVP0foNrN3ptZRkZZt
vCEu73Bzh1k6kDK3Ku/ORgKS/Qi5/AQhYTgEmsjLwqaD9lw6XVDVgXFZajTflWNZO9skdrptpr0A
vPSs5AwnxisfsKBytuOS+ifKEgAM5NXq4SdZe+COwA+5B6xqnju7vRtHBNLqrKbDnK9Htmhrswjr
s5N5yyalpXbIipUIo8QWtLCb66Dt7wKsy4E+HVesNwDEYFOKpxrJlAI62+BwUPdtuOkiLFn8DJqC
h1w31YfkACfpSuATcB8Nej6WiEmevCVPdquoKDzUt0ufpQcFsnWzNhY+a+VyB7bI2RUZpp2Dapud
WhHFxqIevbF0dI71JPDtsQJxYymNanJkBQ9QWrLTmsdwOaTzvYt9aw+qGFFwQCEbN2slB1mRch6I
8W52HXS5q6XbBxbTrxksVNyn+s63IEDgCZRuAF2BMIna8UxXfXTK68QCr76G55Va7spMfvXi4OP/
deJrlanlL7kUah5oFbzTiS+fhuJVIvXrX/yrEe9G/4MoUOhjVyJsQu9/4xpBOv4PCj4kMy5RogEx
/juNCpBJ9ujWgVsMoU0jmfDvPrzkVxLtGBj/v5sY/00jXrzOpMztOK5j5G/QHPMQDn7ThwfNtlSA
473vKUzA/EdZ4bdh7+bZtTq1Uwru1WOOeJ86DIsoERMe2EeedVzSGXcafEDdQ2sZY56iAx1M45qq
CFTIsCxS/bG3gbQt295rfRTispi+q7WdxIRH4laU47KKXZaPg4vvRNAijA4y2prJ0zDm25f5mCjO
84XCmzG2BLNwFEPCUYKvQy4jgMGztsIY1jf2KBmBHtVW6y86S2/0HTwfUTTUj+jDIEXkiX/IHzWD
7zQKAP73dpinCOu3JEgxLes9CkVX+I9EXFI7kOXg2PXZ8uABbuXWXFwweJ7amRP9axX+fwVRfiqe
/AeGyi0hEEzaS1ZmILFo27xuEAW5q6tm6JMXp7SRK4KHlhTnqzd2gA5StCChJVRBhkPthmQhHDdF
jm4cvhg2fKWnRg8L1gzBCJrzHOj7gA0bhumrURfUvIq9YnNZH9Me7US999ei869XgjI+hs3lgOyh
jaAgp8kfC+b2193/qbb3WhvEA7hr5mAEtlc6EXBeWnx/+t3gj6Qzqyjr7/ZsLf4HWWdWc4/xTLPe
vn+h16gTcyEqGaQKdFNCBu8feh0llLAVD/oXWoMUFvZtGRvdCNdmhWsR5N7NPKBXmSKKL0tLbTHI
Cqb7IpN1/uP9O6HP+Aea+OedwLMTtmN6kWgkmyH5w+LHAfRnRzr3X6Yh7P1r2S45Ff2eJnogzpPB
X6X/l0F+e0UhfM9GocgnyASr/1ZKp/a7mpK2Sr8UDfn4OUmeqj66xez2l+6g/qKg8/aNUp4x+B7o
uWjWhd5PxZI/Hs937CRL22H4OnVtvj5KfA9CwJB5u0A4fX8k3dctU/PtYUBP1vYDz+EFv9VMTGa6
H2U9uR+xO7PDXTw6PqURQqlskRcZdHNUi5lKFX8EFk0rjNGliB7zXEn0T1pNPN9cVK4wK6OdRamb
nYMLx/RgZ4klP6dBmizPyOKkTAhPWzZvJlSIXqdnU0isgJ5oFfPpyYKABe64kNI7JYkFvGfjTJVp
1ITOSGPzzLLSbCnhkCEg8RedpDfjzRhErg/WyQXwTtvi7RhImaio8kf9caxw9AOE02CjBANobsr1
8f3xFqa49scOZN6pkAF6TEZaECHxNzvQ3LRDB743fsDF/ue1Rtn618XUFTzqSKOuEbtfsxp/FJtR
qDXkGmjmv34CyqRBplsziqifJeqGiGjmTtk2hOsVced8ZhX5aK2XQ9ymmMUAHSnm4yLGgQVboFwk
PxPoCDUdstgrViImd0n5Az0O188x6LZXfjc1lXnhK+0a+dlCXyI/D7rZXBhsTsDZZsnUvMnc6WH+
bwJUk3jvqs9c9rqBYh/3Pf6cu7lRCgVrHquOL1wc3EWas/eH1BRM/xhSPBJA6ZlSKgo+SPigzfZ6
N+h4gon+XvxcTiL4nPdg0w5u5sqTX4Stt9VlCogXBvLFQgkhpn0X16fKLcrHKTGJq7GmI/IFYxpZ
aBJhsqS6j7HQYrgt9YAwRBpO7imL8rsKxOgz/D1swvzegvuKl7V/M8m4uUiBKF9hYoBDe4cvcrGz
oC1+WoOwnc5BjdHca2Fae7tYyOLRwkKpg3irU3qnUX/r+aomuyktcRUsODKpluCVzlX5iNOHdw6M
GJfHvFUSUhm5dL5VTvnVCpBlWnQCOWlcO9tBR7wPHtwmnJ/alDyAGpCfnnlOMgxHN6/rhxme52Mm
BHDy0LZwUrQW2X4pxggPBqvtP2DMO3wv3Xg8gb7LD7XjgRkHS+drpFSjzNqMXgUpq272IMsmIEFp
nn8aUatqN2GM7IUCKvuwUoWkpGwqBrVleVtUt+48hSwRiPvhqxOs3seUTug21dgJQSbL9l62ZBfv
z4jXmzUTgpiPzUwKQcEchak3E4L0F1USmdQvvC+MS7FjKfZ+aYSC/d72/xJTvF7Qvy5GnZ9QB+oN
tf63xy86ICiMR/UL6WjF6avtB5TyXeRxqgLCHhDrrU6a6m7MRVD8JcT6x8z/+Zicgg6NAYLaN5sJ
zLcI6aa+esGxCQNOQSVUHyrhEFK+P6I/v+k/29bPp/RcN6CTEUE+iExQ/+eJq90KnDq0kRcg5qwZ
4Rp3zKavnGynMWa7r6Gn3WdDTOXILiWCDWJqqddNmfR3ulQEVITB/k3v9xHQzy74yHlL73gaS/VY
VSj5u6quIKkpx7vD9aD+gcBieFlTartDdM39FOG4pDYOLGPMNYvkRlQR89gKKh8Ts2LGlmyOJASE
aHnJcRIA/Dr2cIOl/WRrJZAlj8T5+0PyJrxlSEwYQH+HcRGc0W9DAscKBu2Fy/rijWbw00ykR1yb
y5Ne9VPtROUXgQcVqMUE0biut3ykHBZZ796/DWlG/tWbCUwaBLWLtNYc42/mgIO5u5ZJGrwk44pa
UVn3iB2DH44g/5Sr2k1epU9U/fW4yay2uq+ahm5IpqOrCVAn7ptBYt2s2EqdxLrg49zH0dcqU7Xc
9oV1lS11cLmI5ViLSjzAgCkRauKlbfwYnUZIz5o6WN4M8TZoo+AeKSNcSGfkHRY/z65F0GZgmnp5
yrD4vqmkwmy+iYfx21Km40dbusUdbFvjbKed+SBcg9YVfZY8zGWEXQAy4zwATIRoMynwgUiqd3lK
L0bXHzxphZdZunifnBllpw2SrtTK3x9cM3ZvxxYrENQMDUCNNsnrWQ98KuK9B/FLl3nyGjXu/LHN
xLLsiq6mOjob9933r+i8TimZVSB2TT5roxdLcPtW49Sx3bKvODq/522OUpMl6MnDWrUuIurLh9lm
Le3ASvYvrUDgLEu0usyyyL6zpkgc3r+Xn6qCrx+fUJPtEyXkgBz3bZjdz9DCwwQjlkR7AZCgGPPf
BjnvaUcxVFLndEExjFVDxVZJB5vZPPXlidIqOgKUeSNwxRZUkr7xg8+gEKYSURIyoxoHoKvCz4ZT
JwTaYGOanCV4w3sb5BAAfQ60OVBgaW0KUb2DqQAGC7I94irQHvJCWVeR70x8YA6sS/oSy+0CXAKh
NYlgcjJzeuPYnBWX9Ojon1miMt5gXVlTiUSQiHIiPr5ySpY9scjwAfozba+qFP0GvkdgMxNzquh+
Zg+3Isoo5wV50+B9oFV8UH5JsX0A33sFMWwY8OJrfTJWCEHOmQiDmc6Fn7ifVN9kn8d6Vj+8n+5m
w5SDS3//7bze+8mBaPqHHHQCCWP25bc7MmL4RABlIJ7LsesJ/7qlNUHrFNIBnP9yrdfrwORbTESP
TjZzE7RC4L5eBy7W5wXWCu6LJpzIvO9wsjkLzuKfkWHSdCbpKxc4kNH+v31Islq4FoiXhpIy0JtW
NSSjoY/wm3nWdjSaHCgow+k+dq2MaPn9SzmvowbzkBEq4Hboo5tMOeltGMlbdooZl/CXGQR/YJ9w
XQl+lFR5O8OYTOKkvdHRGtvVZZP1tW/v5ZQW62M+BC2hLap0sYZJmKMbdZfnPhqC25/ST5eU8/tw
OY2z51X96f2b/seL4egHXIAkMtmb478NAIgRQ1e7dv1cL5hkCRwDoiL/MTkLcTv7vE8yAZa9UX+L
B5x/zr6ItwLIln2KVtPbQkpsRLThuVrfVkm3ZcX6RGYj2JiwTXtUhqCMDejZ+F4RPC1pmZAddH3f
k+5VFjz8B9QLZ9K9NNSr+pYA1osOovZBW8lqoXf0lzOSdfFqI/cCbjCQP5cJ5ySKUm/CF5nMLfzB
vvkG59I1iUu4qPWW0NYk1utiJ8tECgDx5dpCm5vVNNQIU6Be6S8LKU0E+W15ZgJWOVAiNLdNQe5n
+jQ5Hk6dv0pCUAKpdwArS/zPA8hD7MqmKjB53VSqgbdT98onecLclLYYDbPYFI3YDFOTvS26DO8w
21b6y7qw7v0NxsIxY4FuuMmG7TXzu/zgep1kfXfpnOnb1vfy6ruP1UcGEhaVg/WW5R/Jz5T+mZo9
9oekZw7eFjXMO9xQPhdDgwzvfvQB/T2uSgSk3n3nT/dDzt/MMFBzdhDTI2h4Zy6+8Fwa61kMHLa5
aC2Ty4V8B345eA6lgNrSGsDh5nfS50OH4yMYvw2Vf5STTtWdmgPD6Vmw/qQGMPQwJheojGgIIPJG
+wZ2q5jN1axkIRUWEaLFX5CBkNOJykCXXZVeHQL+dehXX6SdtYzndJkgweL2FpudL6Mds1yEsCrI
3e1YmSpeF8Y4sZ7asFMEl41Xt0Vx+v0AMseRkswXSVhSXtuOLQZUIpKwXGA+azaxkoPAqvZoUPr8
kQXtQtI1tEXe/+s7OiArULKzWGbplikHx28jgMuYxJfSCZfG0JS0eYHz6V9jsmdG1SuKmZEzxGc+
MM8qLc7rsh8pqjhpZK5IR5Y68tIiDZPSyww6Ho+N3kyXJlLU0UTR1EyaHJ276r5WsgmCQy5wy0VD
DglB1tRUR0gE7RK3B368FdrmCzmanDg4qEQVoTi3ECpdnrsKekoL63HKub5kY3TiDyEdIVMGQGKC
UkLs1xM5P4x6U03OHS343QIiwjxEHrW+vupEPNXJvrF6894D6CfcXb+KiYdp3NjM3150Hj8lAHjF
hCTO5PEtDbxrlgJJUchPkH0QVdn0AHi4pYWn5y/nEbvbfOdFKTWErU+uvTwvYVcwU3Dw9L3TRH2F
20PrEcG6LUq1IHmuBy9k/mejxw/bCEg7t5UDf+AZu6liBEf6fwznGgZmziFyGUBOUZqWzyEBmsAU
NcX+6aENa/7bOWHJAg5y8uBritkrZRTE2FjnS7+sZvNIC0rDID96s6S9yHwpfUaHNwFKceQPhbbQ
9BBkBYVDoMpBOyynSdtDXl1NJR1ZQUsZwEm5XZPBFMS0yDL0rdoiWh15osAmNZwx+yFKZQZiirJh
YHamtEzx+/Jt6yDRw20F+jf4vtg75jaCTMmEUMqtXBbN9KdIRPq4B1GASQ+Bwtz4KLLKCWh7ahul
BEI7Cn43jZNmMeZo+WjeMHJti+0cQKQNk3WWDbaxXNR9BwKbmsowWPNFAduMe0TNj3fTYQjbSByP
cJgo6XbnS9J8iKou9mqQVMCswy24DI9cjY2Y7WavRJKDhE7asYmAiNNJ0NMmdn2VnmKRj8adPSzY
Zv3nFZaVR9+OkgTPHOUASoi8+1SnaXJpNPCc4FrpaDCTJ8vNlhJAxSNcxN3dzEujpskcikXWFclF
g3oDv+vcaexh6krBVjl0ODaFuwoIBUGjti1n7K6H2XfZcvO6G3lLFERMeauBtMB3RZ1tdsGRwWfm
2lkbUzezVTvzSZoqptql+tjsS4WNXMFdpCiZKmbImLA9tciyMX4qtdgdJkaRteC4amBCTXCcqZHx
9jsqsOjoMdPDEih9cgGzZeTSngPnE0/shF3px7S0pmRYxbJl5YXQxxgEpcaO6aihPDcWh3K/sD8s
YWp5Nxq0cwvZAQ9m79R2+CKn+xBwHJb0sJ65vm1hNfdchR39kd+dEXZ9MzgzAXUTHQsawWih4a02
Cwu4+Ip+PX4j+P12aP7Eew9Rm+4D6SEPnzUc/sTcC1XD9hDks8UooaAQsLDzcaXAfwqz0Yzg72ld
ZbP53eJBwHe3a6ZNKZ80wmz3CBVwaDkWs1LQGO+jfgagjT8y6xOfLlNgDunWO5s5dYL22kWvN99B
MugVQfzqLP5XSJtl/8GudPlAYhcBFer7LuvO4bxOABKbaWyfIb931kWPmph3FXOn6BLUbdZ9zdhz
oTEG4G1eSCHWnkwaAYmneQUwdQOOrrRh2pWquWiFBDkBIK+OJKrDnvAGtChmGU7XCPHFGnZpZVf4
tZUcq3v85dE76HhHPZu8Djv4GhBIewDuiS4mE9KvPYrMGy9YSjfaoPS6qC8R8B8PRqNavIRih1do
6LFgM+Jm00Y8P4wgRFDVmSKSZTUGKFKt6y6iImCjr+LimHyB6GsMCgPvyNm2nfYwRUEidpIAbX1I
cjdtOPh8FZwPKOOHG+Ep19kuFCIagAOJGsA0N26Anypa8sh7yDI5Ba5QmP3Z83oRw7u3j87spO4h
bjWAkQ3qKWuGP7aQ1m0LhM/7OA6AaZqj3QbwZPbAqbV+0EoLdWUNqrZACHnD+qhqZjV1Cd8HdR6A
eWw2pfKDvj2GFD5WvbGnoEUWWVP+OMaZyjW2z15YoeRSNAL1xaBfByRdnCoP6xfwpM2kd/BNl+57
lEsxQhRFKynYuGKQyj6quO4otI6FLSFvxQB9/Gt0d6yiOE4+db0y/Z6GtVCRs23CYsSRy5HYbvl7
XyhhJde9y8Pkt7+jbxspbR9OcELZBXIKZp8cS20Ft0h+nKm/tt4Opc0+noinbEoYp2UKJNFYbM8s
mF4vJtZECyMnguoFvGWOlYiNhMXdgfjkrOUAZzkAWzU7XCVtE2Fm1gJd84CUwkzRhAdr5/Bi7YA+
qS3UzomjR2IXySlDnSdxUU0NAr7zMMrGxCn+UJjMISAR5m4RFcee7zh2VeZ/Rtik5lYcCnMFPj2w
ZcZdO3aSbVIOA5E9vkOM0tFzJVEw5QoTRUfL3LKX5Sils+nFFoA7znBYMbZxDvRXcYo8tyQkql1a
VNYZoA6bByUuCemAS1n1ZkOsqE0HhxktTEKTGaMvBqitA3Nyhr+aEz1lMK49BmvQoKzhGb30bYPO
DV9mA61lLaEY33P/Q5SbfbKgrMFH3Bzhv2YH3Axi9RPFXBOvQsFht3HV2PvfZipMzcF3UR69TBrI
U84BT0YTS9VtYEKWNIJ/D46sqX3l/Bgt+B3AGUuH+iZk7ZpO5iZoY83YRlTDGH72cLQ1983PBrQ/
VOaU+n2CeU7DOOL0aHqoPiBL7t7BlYGBbBMvj5rjAl4ItAFG9wSuIecKdzAOFprjp3+NxNqxhDY0
71Yi0qBO+cYG65PK2xVOvYBZJiAyUzGziQPuZaVpDJU9hXPYBeY1cmA6ziPp36ge0GnUPLFAIol3
NA6AmPvrOikm8FvrnFMk+zIVqFkUp7T1k2qm6SD96WFFa5WnomZo2uE9iFSafq1dm6DCVuBU580M
a5FDMfQ7JgtNRN8BPzvbfaDAIrpEKZAfTTQ/IWdCEdFuk2EKb1eFD1526ceBzf0sq2fWgRC96ZZN
UOGmh3LwzBLpqs604HEY4APx5JlAzUHs43PWOWaCCTTuO/fYuUFJnJ38Ol3TCdC0tR0hG7Gg0Hcn
CgTzbeJN5Zv5CC0/J7K2GYH8R7xCFlm2/L35NFFJv97OZRhwXOK2BTxjm8JK514Kf0xMMC9ac7e/
lkehJENdQnLhpQLHFaq6pO80JV+ncE6y/iQdFHtY1SAKmabZQkyQH7we1hl2oTXgaST9nWRSu6Qc
aJOe8wWVIKidm4V3C8UVr04kTnoewW6nzBQrHBNaR1NDypcEUdY/Tf1oiE1DMSI2j4Lx7IlLb3ZU
AYpYusyzynZNEpi3kowNyr15IYNHOZLK+8h7Votclwsxu+RPfhAtejpqV3TF05Q6mkGBl2kinyGx
J9MdRJmSp6X+XBAY/M6IUbBEgOGgkwQ1WQSeO9OgBNsIlGWxLEs/i2ns1lvbmtDAROsgJR2Z0j4B
2hX6rRgffIw1RmuLjxDjb2FOamJ2PzRRWK8dk+TTozGBfALwenqIEeLmrRkdGcJ1jf0iqp39JGti
lEg26yOjbnbc1enIec+6oMVo0eQPTCf8ilO+qEfMmq9t2ZP9UxtIrdI9phZM/RO8tpRUpYBK9fxr
6WGuYEKr0qqiutosXVMOIP1gSpmJUc+mfmTFwnT3RWCHc31jAx+tOwaEAjB45shSDOTsBGaJky0n
7ZWParyRmZnz5BintR7vfB2sw1kILrc8hYNLTsHBZnnEB0IrcN4Hv8S0hsjVUz17Vd7VJhJ1a5dd
fDv/yhpRzIENcYY8K9pVVwT8ow9VemZ33kfJZLLAX4kFiprmppsVNn+yZZUtdEBUuJLxehNszWVH
kmQz++e0rnmlSImYWx9rzUm41+kYY+WKEapXXAUtxRE+uC7MqMUtzIaleI2IjOhiyDKkki14jmCV
UlEXT6LRJkNHL9vsHHCzTKBbYXTEs7xfW/t/1Iww3YnQeo9cOopvC6xIYyH1FpXzNx0rk2dOqVWm
cmfB3iwRRKMfxSt9/5Jvq2qUqULSUzj3noNw7ts6K3pbdWgrX32TPv6jP8pfU6MMYWX87en+eanA
obMRCQNhAyz3prLqpmhBTVQnvmVebPanxvdo3VxoNmv2rvcf62c18D+NBFN+g3IEFJtGivD/iZMb
bCMJUhbimxbVSCIzppXLTJTKS1mG8O8dzsIVK9jiaaxxlKGIMpVdWG5bhQbUNVUIg7XCPtdUeNCU
NnvtbzQWSt8mRagDifjlZeB3Mz+9f/v/GCqauqbDRkuZdNy1ze//gONo9MsQ1wvkE4BfzX1wQJm0
kMOVFOr9S/1jzgkKw6j7+GDTcO97W+8mjMpclHHapyiF/btQgw7z+dFZA7NEsJqd/zrl3oK60I11
oG25AJipsP9DMqHvBhEm1O+fWi81e5TSLLZbsPrmgHAjc2bFEfE+wcTCzwAEIIfesNtV8i84jrfD
DI4TrhpFWhuhL8d5OyPnWulpjhLxlZoEqeOSgvd5DmmuswP+d6PsAhPhaQHTcDWKY6aq/scLLQgM
Q+HkztexboLiSrWlOaCQyhEc8qlrosb3L/gGZBW4EmAeTXrwPmAOKR+9vqDKw5XNZOm/9jXItXTf
i9hsc2yKC+8VaYBSI9WeIbQXQS+VQKb279/ATwu9P1cgoZZwIzARwCECHt19fQdkiSjmtEH9tUtB
qdR70HVrsafqkUYIyf0MW6Y+NaGx73lm//5dFLekMiUvyAP0Os/+l70zWY4bSbf0q7TdPWSYHTDr
7gUiEMEIkkEyOInawCiRwjw4Bsfw9P2BqqySlLczb+1rUWVWViIZA+Bw/8853xl/fDhlhs2deZWj
zeuNaPsWpwUyLRWPhI7SZQ+qNtUJ3hikRt6zWovRWR+WhPtqVW+TiHAMIG5WJ/YivRgYHhkjTVj4
AXJGdCEgJLx2hxSzK2CdOqfwg8eQ6tZtl9aaglNMl9KvhQrdpOxtRGetj3gS7Q0vS/wY0Hds7Vk1
89xcN03UqH7s+Exj3SxHGd1FTG26eOTz9+KsZTJpqkmtQ5YqZyz71x//77c1655J2yjJTQTwP1/a
AyeLRNOX+aVOpMWeNW769QjkL/26A/jHyPqv/+S6fv/yhbPU+h8aDeW2nvjdZ4ZQNveSGusXP6bl
0QqHFDrnNWZAM9dORDd4BYENKYRD1GRE66aQOOT6av76ZfzZJYGe7SNRIRTRCvinp6hlMnfIpzEH
U8zdGPijn31lpjpzRkdY5h2It6UbogPQ9a+zyqjFml3VlH/3Mv4bWd1bLcgYdKhx4E789fpHl+jK
bhHFOx1BMOo/ZGN3AX94lVKVtdMX5T/Ithp2IE6jsAEa9ZIAGmtQsxfj4W8+k19Vuw+N34Oeo6Nt
miibvzt2FyKhqp7y7D0WunsvXaM7mwWxD8E26hL3znAawJgfG7sqD/SAGNc9TSVsaIt+uk0Fbd9B
Vo3qKtUG6zvOeekEnkzz+795lb9eQeurdFGXHQQ+PNM8/H77yFQZzSAC7OGdPaaMH7ldnW7Dc3sO
hk5XJ9NVOSe4bqHWwGud+nuyEJoJFiLz4570fPfk+EV8pVM98Gi25Jk2A16VHbS5go87zsTGlgxX
fnzR/8msP8zN+//5r9e3Mq3g12Cl/Nb/jINmW7I+Vf7/QYv9e93G6a9Jix8/8wfbSf/kYSRCTP6R
Sl+dq/+IrHvOJwDQTLe5JNigfCTG/4iss9T9AXPSyVbglMGFiZyEP/vfiVaARvxlAcPQLhDh+WW6
C+EQTXZdU396SPtmXXlR7RUX7E9e4KNO5NHzOmQV+cwO6b5V2kWlD/KzVxqfoYwZu0HMu25Sx34W
Xrho0jxYI/jarvApPjRg40FkL/btrEPN02S16ZXffp8j5dLYSfM2Ty39SouL5gsjN/2s4Trb49Mc
thaj0w1pcuAnWjWFQyzOGYTD23FJtyvr/RJn+MhvY9RjcVCGI2uaW47R7VHvqYFU5Q0PefyfvQ0h
qpgObSeWO4d6u20tRrEx5nF4MFP6RFZm04GiQNrUNOMO4olDPip+du0Srht58b0oi+S611PjMrN4
TbpepbeG27Who7nyFjcRZsriCfIFGuREWljiximFeq0H/HdER8YtaZLpawpU9zIfaZGz/IV5cSGR
artRDxksiP1Yzd1mtIspLCzrjWmqRRiRtHSau3YQieHVZJpP65c6Zn5e7soUDiOpRA7LPUIg3yrj
d1GdS9nt+o9lXruJVoDRoNFS1Fj+GEyiNs4U1xWfe+U0z47KdqU/3i1GX55z6JosyV47oNGTwYPY
X1zjbIjH0PSUToWGzD8PS53e5VZiHyx4PcxoOFYGTazae2kRDjQ5hF/a+bwAsyodnrao7lco6+mp
rYvxM56u7s13XP9pKi2mHCRyx61bC+8qoXoy7Egh0+yMGC9G9ghVYcGcLEzlXPSW17yINGMikwlV
PFEG51xCDKESwCyMk12xAAaoATVEbr1pr4Q06XBILYMPzwc8DnGJTV9nNtWx7aIoIxCnV0epLQOZ
UTa60AKoeNJwOZZURfV1jWHZQoAbRfYFZVXDSRmxdXPMNHrKzKKm3SniMF2m9b2R18bJoiji0h4z
/wpAbfal4ShH64RB/niN+xm7MmMO1+tEa2dHpaehp4ON5hx7CsnK8v2BD7qw+hE3FxUs87aVnv0q
of8+zSBwvraDsA6aBdCX5qieT3WV3ttETYy6Gb3A/VsZmygJD6p2quPU8yuFOayFpWx6b82YS9MZ
MNVcOJ3izcs5ns+iWJsxSib/ZwZk9SX5ETffWDPfA7RzfqHRQxWEUZrSjqbKeTv1ZfOScP+BVWPv
EEwgILYRZxY3EAkIn4aWqdMs7e4tlYvaG4PVvKOfTrfRgAHx45VlUdZ4oMkMfn2B9+8OyASJXqd1
GPdFiXdnT1yDttaXBLoSG8hDNTx0mT1uanemdCtd33hvlfN5BoX4KKaSf1isLElH/dj60ougo3Pv
s9HOvnxcaZnT89eWmORjYMy04KRYqlHr/PpmbFYnaxJnw8ZZZPFEfZv5PFZais+6tMVd68T2gU6d
6WxM7BnbluitGQ+o1hQfsupR4XfUCJ4x549GcgJj2b8BeE9PQNbdG89wZxjxhnmO4D2cRxA/YcIV
yYPad6IvvkncfHTKhPIOYHdHIpL8RTFjRy/iRLtHKFV72Mf1vYylD56/92Ff8G2BZqjvObCQ8+6o
akY075W3qTM+uZn41ZUB0SkKXK/ALEg1FR71dVAkyEkFC41tQerBwgSBujFlnW66bDl1VXJScr5l
eP6gJFhX5dRfAPcHMTs2ctnXZj/c6GN8m6yZ+wKRGAHjuzP6lxw/MCBq/qYyxXnqrJ2lkn3vLk9x
28F/1yfvygUqETQRNJNOC8xmxlNoVvW55zlGQ6dVD3scNO7ZbrLHjoPhyVWs4dSAxVtXNNbGENVa
PDqfGFtuxwlVMaqPViWiWwOEyo0xQVbz6njO4NoB83LrPAs8X9lgFPKSyb9sL2B3oct6UOBp7THe
qnjaKGm+UwlUX8okbS4pv2NWa5YYCU3nW2v0IH6cOx6TIMHUYN2YMo5eaMD6jAz6jYNUGdAAVO5w
VfZBOVcqpAAUByaZXIZ6YNQ2jevW9wMFO0yusuWtVDAKFiBYzpJ0hJKn+4r6rKMv8r2FIQaZZeEL
Tl1jN8khCrJxzq9y13h0ZyK/wqeVZ5pLelhN62JkEd7q3tCEU5VzfvGHYxNThQg490WCiw0mUjpX
c66LY8uFv89mVwd0Gr3oRik3+DgR++fv1tycm9QT76kp0gt7lPoX4WrIaXn+0BsdNVbwKkLu9S5I
LelRNEZxeNT5/dH2IzoZ1LKwHliquIihjoML5ty9WTAt+dG9LLu3ZO6pV8Q6dJqSdmxCi5qEnkCD
SeCbmfgQQoOsrmrDhSc/5ndcVgBq3ci4xQdth3ATKuC2RF8u8ipvtkDKKUswzOa9w7UcIpYf5pLM
ptU0r0NRm1vpIYlmhvoMc1HRYMjT3jels4ej8o3w6AvthHt9ltHjaDQUvFm5Aus05hyfHe26tZ3H
aK4wYnAbwvCo4s9ICh0FfBaJcN27Gr0hDtkkeG8MT9QZt53xCAR+3UMwINmg/c1HSnpGJ1AmVP9N
rLLHTAxUzsNjee+Ab7z3bVscwe4K6pLAUtRKUzue6eMu7/jZuLTIwvf6SURZfUfCD5pKItlZWRpN
HE3rnRrVjF8qBM0vJKytk9vTrOewwwpaEM3bgruIlbxPBwHbzgF5k5eev7pp4ys19blx7MzImOBe
Lu7J9IFDerEEWtF78VPvTtqNy5h+k1vmJPkSa/o321gLFWGmK+G0NldMBccTq2lD9nwZeQxOQ32i
XFAcbaeMwkg6ZRh1MnryZdpTLbSkWYjui+2Xbk7qzWi7P7BTyPeGXsswncAeg7ShTS9pp+9VaRKk
JW72OILyvGgSIZ8RUlGaWQu38eInm1FAltRs0rK6WFAj2YWVSmlHnZ4noo6mvKgjDkhN22ebLJqj
XZ0aHi+rkPvZLr6KDoJN10bjTe5q+nUb0XNSWHWL+pSozTDm0YY9w/VUI/Bo2j42Y3cDSPQla1vg
jHQHErwbZbtZDHgzKbmgXWlTnElzur3Hz3I9YYXft5QoU3EC+dMpOnW75OzxcoVfB7nHu5lHWdzT
wjFe4JvSXqzeP5FU6d5HkbIBced+h6Ur3g0F2A0CeGCW2jTdAiPiFme6FBCyOvMErW/QOQZsBjA4
OvjHT1Yz7WHn021tLfeza4kTVD0aAzwv28+VsXdH6hsKA4iDquN3YgNAp3nkKWSQUJFhDieE/+OK
dIA63kWHUUZXaSzPEPgcqha97IC8Pl1GmYfMus3QOQ3E9uXs56yuxqUYCO6qMFuZ0GvdKYrIHfMM
ueUW7kaION0I/ohwlxbzSIilDm7Jx/FZbgR+qImaYEnnHhWZlJFmcZk74dxlNBB48DIDGtinDPCb
Gsg1lS4mLoQshbyT5B5j6MC1otoEGFk+T6V9t9amgIb1h01sD+N9JJYlNOalO8WZU+8y5djXvbN8
louVhkvjnlMfpTFb+v6c+BUkRgjoN4hNztdurfzKzGr5anRGfz2WQoMaot7beDbDEdXw2lMKhd4T
9tEG4MLql3S3/liYVyMz8PNabBUS5aISWhNfGM6sYuiQvY49dRk069rYuyIa4DSgpXGGqJZLmlsA
t0+bqPGwHlJCtZ96m9Y1z39AfprWSu/LxWKjTYXZmzBHFXB+b08u1MOitr8lOH6BKKb+kc48twoz
44NaOrf9V90e+zfGmtnVOFYd+/iOrImbOoc28+91Nfh6INnLaNtc9fmBEixCeMtiz1d2Svs7bVjL
cwG//LpLym8cQBGQqDkEpjn2i3M5V1G9TavkmyxLnvqaLN+Ectc1C4lpRzJH7VrE3he2L25omtZ0
7gHtbNgDnS2i8DdWhu0uMExoHbrty62YF+40vPtP7gA7BAWxuloKRamLnHsQKVTgUhFGZOVrJTva
KaIsJXJlJDwKdL8V+C9Tr2YfUPjemxfrLBwqdowz5A6PWIBoXuBiVF+XpNabQEWWrbHkU0WxGfSx
eqjY9IeOsXiXUd3Xu46FMfSM5ZDOUUW6lkMWnXL5KY2H8cVgMLt1qSYGQFTR7NMCAa8DnKhcQjGb
kqz2Eg6+qd8/IG+0MR2rtawWqwZTnPYLrbAphLV8a3WUlCMDqO9JV5YXwurTi1ZCFZm06j2fFqjH
cyQ4PnZXeQtto4lb74yBSd3GSd+cKXNatvko2d1Sqxc4YDxCvKDpNvO96MgLe+TgBwTJh8elZaV3
KFwt/g/R+3+9/4/oGmty+6+mPpf8muFbPv8yKvrxQ3+MfSj6Yr6HQvEHdfCPoY//Ca8ccX/GfygG
WDb+Cdiw/E94HRkJ6rrlumvw9l9DIHrIQHlbYFjAYuDfc/+dKdBvMQOEUIQ3lBN6nS1CPX/K2FkY
SJjsR/GROmr2qGg54g7Hw7KzkIv2qRT+UelfMxBHh0batFxx1fs8pKhjJc2j9pY05B4mLSvcTx/j
7Y9B+s/QBQKev82nyNsxlGKGS4Ua4YvfWeNT58z0U3juQTDEqG/gyOk33sKigW8pcjA0DhyQKCay
wxRjXx9DQdYaSrrLyR+iN6+qjLuOKZpsQ3zepXiGJEQNdCJHbIxJZ7yUSdLT+lCohppNVjS6jTB4
6zfYprxO29ouAssF24Zli9WZ9qYtNkRsgNvaFnn7mFCIcFFPGjoHyJxCnqkCKlDlkUpKUvaVf2TE
YrCQzjRtt8y+vSFhS+xjr7qlg3Z49OumCACWlWr1FRYg1JkCfy3nUue5TMwxUPTmZhRzQHTFputM
BoVLZlIce05j+Y4BQlEAzrbsO9ZJFoh4hCAUPTHB0PYQ7NqjjDNjPwxW942qjvbGLx0ogFl3acT1
sand7kFUJBwMn+2C6Ib+EmaYguemtG0qFtjhsLjcE+bK+aqKk52WZjkZTNrdzprtv+hW1gXYBup6
u+RF8hkneiOwATvjtYa7524Zch8aIfJbOKZquorFcq8PcXHTzlAPJ/qgBJEGl/YK/Gz217YrKZxs
IJFNjgN6cbD01D3rXt6cFUWatJh55a2j4PnBZmmN/Nqqis56zOIWwLqhpTfLIkN7jqggxlDwMOv6
RA+ZVR0mF3RRUZTVrhGkATZG64JrQ70MIeoZF5MVNaHAWxpYCyC9Sadk3V76cWNgmLrjU5eXHs13
O9Qe/Rgbln9c5UeYm3oRb6NKLz43nKQeaoGNR47gSjf5oDX30E6Wk1WZ05Wl0F/Asrg7m4R+WEre
PWfHflPMFDuZad1TyJEoe7fgsAPwkDfJa85lj3jXTqSicJAviGhnXajx5Ju2unTGbggLO/X3tkyK
sAcNyPAytXhDPaV9VGPuBn2hHxgsFJc0x5FoN6LvkyWVNv5CfslGmyi6izx/CKlkM17NmMxnmc3z
+3oGviZfb2+9aWovbLxZTF5JW7105ry0YB0T42AqN2u39WjNCflUuJ17VdPDHuAQ6LzAlKUwYbJD
T2NX68/bIi5oggYQrD04U8dIycbEe8AzaBC5dGqHM65eHJRYWiLdRpFc0VlY0To98unZQ7RsbJWF
WaeSXcFgh5o/L7K/YREfyQgVY/uw4AW+8mm/4ONbJBIcjQQ7fNQRscF0vbsST9pBXNiRwmBaWAUk
dqahgtIzZy/y2j3kffvoJ+PyVahlCqOxsw8Ip7THu8zJto2h1SdWwvGFbanXBo3HiR3WzlKtjK02
p4JkrMYZDlYrvlSR8IetI2moDmrD8NQJJ6p9mAwMwUFJBDYLyCYl5dVci94M/FmpQx27tbPtWETo
FKLz+capaS9mnxObN+AJxju3ZevONIJZYDBXXXFDk1WzH00AATheVQ1CsDMatW1ajn4uy8FlmfgF
I6GoKJ+ivpLsjqy+DifOkNeRhO0OPgnMu7Agvqcr+10AXSm2xkCjiL6y4V2uUT9sDYjxanHaawCW
yW1qojTRvVU9eA6M+Xgeym3ZjHnI8sziSylK/i2LKb0J0g9IvYap77aDKaJ9Zr4Mxn6SEO3ND7g9
zkLiqHFDXn1nr/x7Ii3yOJfG+BJ7Ca0HKyefkZe8mDidUUOvAWBaefr6B1qf4jj7MvEZbIuRqbRj
QWYNIsNN7gzHNJ9rVaZnMU+lcdG1XXxr23bDbnDuc7yoIum+1LOOT8zmdOYgWDA8j9YegET6dP84
NIld9zQwUEqBqgFtx/JARudzn0AvXVsFHNXx54q4V99Z3/2zryXjTgq3++ISDyw2sa8vV5gmLQzC
VnZoc3MKsc1IRvT0GmRrw4HK6TpQENUQ7dcGhJx5RTDr9Uo3X6el/kdNAkVGYEdjh/IEMZtrkUJn
yKP/Ua+gejlQUO66H1/bheYlcDGBZiBN8CaVIUJKcL5lFljc0aMlMZeT9QQdvzlkjRC3mD7oOqfk
wZRr3YPv5NbNRNtiFrH0L05xFc9eRANEffAFm1LX0Zh5GKW29fSqCbFVZ6eZcNTerkFbrCNH86bi
RoeguRZROMNaI2kO5rZMZmj0Lf+VAsX4gitA3rWcEi7xiNjFpmsSii4cX31Ta/lFjgC2bct62q/7
kq/FWpLBVepAb/zozrDRBbxwXis1qLYio8zjtL20vLWWA48NWQIDEdoOyXPP9pZ5O5ntGWwuHkQg
XU8uNpQqlGvBh/3R9TF/9H7ENjZYJntrHwgB+rXBJxEjQRviEPvmoz1kYHj1kq6VIuh2fF3Jq2Zn
6kbT7fw8ozGD/nX22UcniYXIszBYSqzr7qO1hOS3eUP/JPD9Pqm/zGu9ST9QdFL3Ot8Xc2P6TzTc
v18sR5b8TupRzLUohWEZIQWx1qd4sjOuOpYz7qK1XiX+aFph30XrSkHfEBcIxoNXwxcvnWYwlJ0N
8rFIFc0RCrEmUM48zQ4sFLBkwwCC+Y5Wy/I84gU6UWw039lI+PdToXQL8R4AVNAWprYbuu4c+yMP
a4hf14lT009Vc4tdpSbiNpmADmA7OAIyPU5J1yuloWpLMglUfDbJr57PwTPAa+gfBfzNdYPpmG1I
bx8OQ2Pp7aAd2+XgEeclTVAPoKMpJbcD0BaDCQd7QbMRWaaupEFCnTEZiaZNW9mus2F70j5jGJ+1
O2XZpb0feOjfcddie9a5BiLyDoV7VPjQow1FqpW8yIlKTdtpjJKIR6vN/qsuLO9+mqjtqqXQusBm
knrp0UrGHM23CEDUbpFdt8mcTwSuREkJhjc9tYzXzpR0iC+S4cm+dmnNCMAtat9sI9KOHgVa1V52
7USfVFzqVpAYuH0CKZJhn5aNcUtyJimPXpP6NwgNzXeyHDbVsXqsHyiAKvRNxfAw6KyBse5Eo4jV
X7rejF/7xyb7P2L+34j5DpSVn44jf2qD3rwW6fe6rX6V83/81B/gRMP+ZEAPQz5fvX2coP6p5mMs
/ERLoa5DNAOsyDntnwc72/ykGwLboU7YnwjRilv8Q903Pzl4Z2xwEGS5MDIZ/9bB7lc/jqNjiMN3
CgILu5+FOeo3db9nDtHIYZhO1Uixh+Kab4KaGqJ8k/PIvGOAMx+ziT7nUNfz/oWGBPWY2x170M6v
5PNPn95/c5gzfvXnfbwa6G6ggoStc+Zcu7h/9hrAZSFtmQyYWmRlnOJ8gScyiJoK0kn1NfCR0R5e
hGrQKtvSAzAhsxZVOFo6YW88X1Rvft9TBo2SN2zNojAe8cZ5xh4QXvROGN+Ydn/9ij/II/+yd/14
xbBe8JOBikN0+S3Qbq82INef+5NFBgqVivDTo+JkTgxUzDUqwDwZGSelCGz6aisKUGOsfana2di2
qu7f1p4Rg1Fgw9auT2sV9GUC2Ee0Th6HZFySW8hQx7LzEzZiVHg9UblxmTMxn0JSPO51ivRb7v/6
Xf35axC2pcP4wJAKzOB33AprZTxqTdGdKmZ0TyB/DWb9AHKboKmG6ZYkjH/fREbx+a//7K/uPLAA
hsDTgu8WouD6X+vL+slpgkAY200XV6fKW4yTkSfDqcI8n3pR8vTXf2m1TP38ra1/CUKuDk3D5Vnn
/XadNdQfcnRN6pPX6GjrwL6LfdSzdAYcrEId1wHFQvoM8iQjQ1j+3UXzKypofaNcKNhs8bG6LqvD
b39eCCtN4gpzgZC581oSsX3Ni/U1OEtJSy9Nt+seL0v2YyFHGlHyWrz3hd8dRn+2ryZSMKQvoP0w
JxdV+Wi1jWltE4+DWQOaf6trSyk4WtU2yRULd93fmfj+/EXBKmTZwMZn2tyr60jmpy9KdwencpxI
uzaGqHwlJN3FsNLzvlp3DnMVH0cClV9jz2+upkUmBDpJum9MQ4nvPaP4ejMnMbYzAlzvaWuJNwY3
ifgbqyf8xN+/5BV/uWIpV1TWCnL89VW6rZfqbdJb15ktm8j3tj1FawzTJ8oUcQkNm3aS+h1mBqRn
etjFpjWqPXmNZl/YdDLmnLPOTUEkC8PfGD+PWVkf5q7vCfjL5pFsHoYHgEcklNbCx7S3Mtomsq46
jQ2NkNhJrDCODWoitY/KSFMl5YVDvebZzOLbeF6b5IpByFNP3WT/UTyJ2s0Hmc4ma4M9LGSARy+7
IuzgvVBEah+TtcNyieEFUH2U2OWGaz49aERWy2Bcuy85h2jbJZtojJP9/aBrVGTiQxA7BLnhYEem
+SATYySeKTSKNcnMR1/JXVC3yb5H+zKsHZxN05kH6AbNwWBI8pZCp+K+t+jtTD8qPJWkzbNdez1n
Pof9OqC8kWM5Ecdv5c4wJqpACyaa8UaNsSc3am0LLXEGb4fGv0kijSpR8Of9BY8ac9xUa9eoRyb1
81TqyaVJpIpzWk8nqZ9p5q5zy+XVc+s27PSJzDmdKRSGTJP+SgJ0/N7Fa9HpYvaUnlbxWoBKmXjN
zUEr6vxRkNquXakFNpGLin9KkdtapeqqtVY1+6hYFRHbVhh+GLXstYMVwzR1rC3FrGhHVLSOkMdw
Aq7FrRlXEv0sYPe6/WSJ6crNl6WI7oZREviiVIxYf/vGqcM0l5eOKnBRAuwnMcfxxCQk3gM3Gvph
aPRTn/dlPh193DF75QNCOJSIfE3w4SfSqTk4cCa01u5UHyL5LMGs8nWVnkc6MuJ52ONQkqHLPE/f
EKgyoptEAiWrL/JZjMkWiInfA2XqLa6oMaoNQPUDz8KdqyVZdMNO2HLJC3mNxwVn5fgXqiJtffhM
PLyicFKpu9Ei7KhOMEc6pgvIYmVJvHIYGRMVosCfBXAi3zlVXC4bj5MgZxkzt4dNmZAEDVQ3xx2n
eq1EJYpT77s2KJHqjA1M5sW2N3gn56Nzu7JEvzZwVySIKOTudFa3JGxIkK4yslrkzm+7Kt3NhVvO
F3rX0WTokDZPN2JyZnyEqUw5B7u2+QxVDSkGgixcff6ja5SU6OzWh76qnjNqcsqD1fp9QdlL756X
obc4eROeNi6TMemQjERCbcI+wm5MoUifWscsXsycgAmvIKx75lOoQAwl15hhM16XHidMzkdV024j
g9hfazlOsY0jKx62olJ8nano2J9US2Yt7+RufHfr8QIobZtJtx8MMAwXMVWG7sbMCUzS4ULbwDJE
uQP0tG382ywaM3sDLoFetxIGrXapR4W9M5oopv0k8UWDrpksNXZFMM1h7tsJDjz+XWD49HZx+cTw
6RkEaB+JEo3gw1zPGhV2AItOBnZBdCVP2Zr1MK8VFSe38WcSuL7sr52h4pEUdyLnB/zS4tOKQDJX
L1jrquQo57KYdt3oLOmlAdHkwc5M59WZ1nYFz+DiRfSbhBVCAcZyVWJ9LLcFcURKH8aIIBpwmQLB
lCKxOFP3HUmrr02bWBdKjGhkzFSxuzDD4/c4RU2WvGK6dVqmhkl2B+XsAccP/2J0iUltyKmIKYQZ
laGZTaY5HioRg+RONeE/VTolQpsqy2S3F0WHPjvNdo+PRa4t1slY8cLqjkX3kieY/2R5Olc3EyZa
kjzG3vQTd35k3mbtkOdn06t85nQ2QN7rHjsFm89knm4d0tZTWI8lf7qul0UFk1n2y17Pxfrm15c+
sj7xutZSetupeBektfmoVmwJ2KZcces0Bam/u6oV3PItRYWvMf8faypMxuRGAt1Yg4kNJReHhJjG
cF1q0ImDFPfttKOYUMc5gpdpXTS4mTa8IxaQyTfWfTJUx6fIZDBNOQdeLi9xcq4LoBavI0RBUuxt
Np+tftJpFmWbm13WTZVn9x5Pi31X6cZJ+rF8sRFh6Hqzk9Q81tRMDZdRUsdqO7dCjmxwZ2vfmHys
WDPk/C2nreJ2Gjq9vpD6rPLnkZLv7oL6ivI7jXDrGkJ6JNlyDvCsMAUfix/KLf1nTY8wtI5NzKke
P1I4t2NyZgbeXfplnjlbZgNmzLLn2Oihiek/tZmm4rAwK26ThQSnf7Cr2pDvJQvyfMSbwr0xrit2
mDkan+ikFiodqHOQl0Y7mGRj/aJXPGmZw7P1ltmX1ieIoMGWMY6L32MU6zv8uAyeDaEO6Wjyqxgb
JkydRwr5Dg1fC2bc3HfJUyjVX0+zKO6xTMnAE90F6Ed8q8vo8uXkOrOnfUMGtL6u3Mmm70S36c6U
VakuYxL6cIycrkwe2Il0b1TfsIywdHaKaVJHLYw/Kk/yFJjlfRFLI/1s1IvlKQyvWj4/NrAPfH5Z
R2Q3AZYQH7WoGb/S362pTSE6Nz9AKTTuKBuJln07IEGE6bLWspP0yazbKS8W51S6DaoRMxndJSGf
rB2P7G7QaBJcAOHoVXRutovAD+11HczPyQKNowrTa/cL4Axeqj3R8jpHs95hZOhc+TwyanrImFGR
Em1T/4lrvexuqRAyWGDNxse4VyYupuThJZ4BmlFvURjF2TErfM0jZGj7muYtoHMS6xlx5JgrOsTU
y7fJwYGe9dTq8/pK0Dpl3ZrAtN0DhA+f9zVNWnydt1ozbiEzs2ZQ4D3011hFef0t8eddl3gUNI6T
rh+wrHLfYy8VaWBHifhBuP7PJOVvJimw6ay/FMhvkrT+WRz/xw/8IY7rnxz28Pp6ZAOu76wFEH/I
4/Yn7l/DINPFcYRc07/kcXuV1En2+KjRIPL4sX9NUbxP4BN1YDYWq8tHkuL//u9f6gu63/73zyL0
b8hClhmOGB7jHbK1nIVBNP561IhGDS8SR6KDQhqMIMUt+TkpmugIxh8lcna6Zx+Dy65Bcd0ZFBMf
oVk1Lz572kenws0Oiqt71q2qe44n3Qz/rdPu+upMgPlrrJPkFQe3X18dwEYASCOPrQz0wqvD7Xwr
6ZS5qpyJQYpk17r3G10xZAdi/DdnRU5cvx7D1ooP4IiMWuEue4SX12PaT4dFNsNFQ4WdPNAO+xkK
lYXJbkj969xva3eL7iquYJ5VeL5nV1xOtp8+GlmbfpmWankTQycRrJaZOoEi7kLM6cW+B9WWh62s
3TumLw0OmkE4h4iDzpXBQoxQ1NgBxlLMs1MJHsZWXXmTmARONsKA8aN7Us4BMqzYDsOCcRLNXZOB
hcsnUJlrIi3RnQwaCyJe59WXorMX+C7FcE6gruzq2a5UoJFCIF8gfZxFfgQj10pt/VlrW429i4Db
sbTFxkZoZOTuNtUJjlAcaomGX6sFfXABdSTa5BwSqavqcfAtjNtkEK97e7QOdFZzmj9XmVeyFex8
48oZs2jrtnP/zPZJrE/9YtQD3UhgdfEFuKuXcN6NNMrtJ58CLc02eVgwlZRnoGvZnU6E39hm2O5e
ilonawN2jw1OMvnhOID63Slr8maCosI9T5EXTwGN1lTfLXbSP+ChgKrQ0wR+wHSCpl2ZVX+eUkrB
YEyOHX1aEGyxX+XMuaqoz60mcFwU0dCOF+uymlp9DOIYZZCHGBV4WbvYfK2ZZl84yjS1oLBRMkfH
+Syy2QsTx61u86plexlLkzOTg4PKxtBZ0a4yQS3JsnbX9qNzC4lJ2y+mF79J0Cq7XE93ACzUljvV
P5CDLM+LOSsQYPWQHRf6q7dokuI1EX1zsSAhIEQ0/cVMlGDZ9WaPAC0yc3ZJC9kT1EhZdXuvzwxY
OR6HNch8T1ZmDhfemIwIKsJJ3u1RVzfwsCeHM7Qo34mg5ti/FmkF0qFTheBHLBn7oY9aAbQkAp7c
e/dJrGX/j70zW44c2a7sF6EMjhmvMSKCYyTHzBcYmcnEPDlmfH0vRJe6mcEQaXn1qgdJJqluOQOD
4/g5e6+tX7dJROzAAlap1d8JmUVDSfufrj6INL8CKDX4uSCOsEl+5TFJcQ4ss3irMXv9lSRdJvDp
hhnjrRJulnpVV64kazNK09Jz885gLIzQdT+1k75LUWJ0z9YQBe7lCE7kBaBF01L3tOTy2aRUNz9z
n8jpFQekKlxaNHqjNcydXFkXvjNeMWjNxyVj+Uas206ZojuYBeMIJmkuOBU+qaALcpkFKwlGuPyB
e4Kc3kTBtMH02swhU/WJ6sE+CvkUNPmlBJxZrrC1FC9wfPWdkGPKoz5Q3I5JnXxDJDFvhiG/Hwlx
foMs377W2qJyl4rmshpcDX/PAcy8AwEi+nWFlYuQ0M6on5rIihkZRR1/PXXI5FXFMHlR0ZffsXsV
36HLuhRSZscwPOx5kWkutIC7WnVoX1UKffUqjqSpXrt+Twldgqp6kfjXzBW+Zrh381bOSJ7rxPRW
W2MrZx9NsGLNgtuJpEudUeIy6bF20yjwNT+dVnwJxPhitq0k+pwiXOV/JMBJSSdMR6jfsw5g6rtn
DAkp8ekKwdIv7dhQooxyqi/APaOyOY7vUVUxyu/bJorRSNCuqhwtvRmPY38CPbQaeXw8HNpZF2Ac
JQLRrBaQR+FAfhQROLOeYDhKC9SjzCBTJJKD/ig/0GYlQn4UJRhHgcKkm367ohVr/1C6WcLAxUHO
wHEYaUNxlDlgoEfyEM7qB1IKi+vwKIkAKVmgH1GNXaAN2johluYVGe0D6lVr17lQv7bYwPtDe5Rb
KKROdlvnKMMQR0mGNqszjFmnIUiHvaI69yuuzJhfhrOiQ0vaYbYbteZPs8sJ/ut0EW4KlAYk0CoT
UmdzuDTIGueU0oWX4KiQjjTgLHYwu0oTezvaEv2oMqFhY6NMQHuSHGUo06xIQYaKOEUchSrWUbTS
HgUs41HMwsAEYYs4ilzYx0n6C0xjQ6BusKgzvX46fsP/t3D8onCEpT8DX/57P+3VS5S/va8c//1P
/Fs5WtY/rm6ZBlMMwBpgHyjN/q0ciSdDNUj3GsjFPHegy/2vmdaw/5njeCC/MCRwUOX+/8LR0P9R
YTfQw8eiq9LbtP9m/HbSSDdAy9Be5d/DQIhB3CnYfQT0rTejMmFZWI8uUXpXTnzz7mqcmal9XMIR
METpVMz1LlX0SfnVtylmJXfyEDmzkzoLXh9AX1zS/3fN/4NV5r/iXZFHVsEwmCGrQLaolR/F8NaY
y//ZEtT575ewI+DBRccS7URG4mGMVtX0+vkSAtks/5Z3kyGIP2xszDTmOIEZMnNyuWoSWOKgwydm
Krn8WdiW2q8jtdfWds/Spp+k33Q18/dq2vp7nc/GBqMbIWPxwJQRbso2gpD2qIUYoZbRVMcr2dgH
zcT0Rd7r0F+6mHQ2hS/VFc2WbiM6nxBNVWshpeILuAdWxbghtuOL2urspVOUPzIH24nj1Ou0EJ3X
xnIWzYXqQkFiuEro8F+lJUampGrhWVLIXFiyjXehmtoXKjrY70pm8w0NzTG8UivFukBnh8aPvug6
VMzuogmydlgkQ5PSeEzay9bNpoeo4X8F76UxYKp+Wlpm7/0IY5KjUI1jm87gCtaXjASbhyEfjUNP
XBUJ5Ha6LnQZ74xsdga2wtgwJKGHM5TiylHJRY11Y6AzNnTf6PryL8G2fWlPhAEU5JGODEtrcQUo
lvchdsmFLdrw4Mdd/xOq33joJr2tge8MhIB3aFbJgn7rc8t/DstWxqvMTacHq7dMfQUK9E3KAQaJ
CYDut1IZAxPkmIgTKmMn3AxWYxw6JJdLe77ApiGuCooi/Hu4WpfWSFZKBkf2MrV8HR7N7HTwzdwG
alvjsnCpINHGxMo1ocBvTY1eph+b9lc8DQ/GpL254Ea/D3AXl0arRM8NxpUdhjMuiQwrYjV7421q
CprtIWp9L67QoMZpyU0w/al5ZGhjLLKBvyMe7GSfuWb9CEbSXsKatS8yjipXZUYDVTclsl20MgfM
JvEuyPVu5cpSbtD7qVu+UxN+BOyWHE5G2qkALOMlaJhgb46G5iEtZgFtotKtYsJbMwcqt0kfNimm
9q4pff5hSZDoIoH/fQAdi0iTlLm9gzKBoqNo13y+jRvH5XIuqtlZnTGEXGnsndeMR+J4R4xVtsHS
jqVpqCLBmIxD6DeEmsFhJO7pLs5x9OCliMwbTNvxNoQ5xzBJ+q++bSITHDTFv9Z6t+CUFNp2O6vw
ODj4vnEzhhJjf0CZPkyBsR9LWV1Wii2+iWzqdhbmqVufvI5tPbeCbNxkl71hPvpZNR0w5DIJGcxO
9dqwsrRdJRukdO2QDkuAa/4r8Sy4jMq+aBa60irbYgyd30acMMAIZtyNUvcXksPFK5xwsQ7ayhAL
13HUNZhHl8Ayd74evpogt5uGXyl9OIDl3ZCuKYpVT9Ri9LDjaZdpEBj3KvzkNWgpwRFOMcXWsXO5
NZGsPjua3yESNcODCnSQxFsttVbk+QKKtCPOM5khnJ8iqZs9dqLsGsxA/yJx1V3lbeDeICPV7xkA
jUC6aocauMKI35N/c0ui77RBTuncUsPlL2No9gcJnPp2iMPmmq6xdSkGe5yPEuZFgudmKyoTC+vY
WHclAkcyYkfK6V5xuiUNehaoxLx5gQRtDhLffb6YVD/B2mhZ5ipy9AI1eq8Sv2E12SJMi/Cukl38
y5ys2hMdm1CiZPWWR8NcDbQwNuVY1uA7sUGuCMSsV3xVkOmpRnWR9tZM5C2q8H4i5ChYBDhuM16a
0MLjYiPjtfNpz18b3Gu0RPcjtswLlPrjMjX9qFrGFqNG1Gexu6OTZG6Y2lorXEzuziS9acPhv1iX
6qyKD5OILGSLDL2lM5f6VAnNWh2l3ClMAfkZlTNuEIcpa9ufUz41NXWXnd9wHQZIfKD8nOEWnnz1
ylywYRvrkgPWLGcbxiqwQ3aBH1HkTtjwbNtrEKq+2Wo+bTSckRdazhAaPC0mRUeJS0JbC/FKvUkq
fepG/u/abeEA1EN/gy0k2R//cS23zDvE2HJHDFmmIcu0+5ueMfBNTbzCunMSjPA8w/SfRsiBhggy
uTguGU0lHR+rpknVjvOZSE8b9TVJmvrJBhyw6qDTSk7eurKOUDlf5SW6Oq0OtG9GPvjfYyMsHrso
y7aNS3YbzmUGO5NQcV6o2bJnaLnkRJXsraJ9cVy92TkoaRIEuvTwHZ/jIDLPhM1TdtcuE1yiykJT
QU7sRldWMnRXQmkCMp9FMXgFjFWNk7DQd8hCsRGqTpft41oMCcNbCzwIAcuT1zBfkQt1sCbPBZRx
J1CSPzeMEQ+RUXPrStLrlyZI+a3N5IgJeNmybJT0/n6YsLsxDeiW6PKU+zKyeuL4Bm69o0/ikjOq
3LWpHv5yBf90ksbWXSYt88IXsLgDq65XqOI5i1f0CrZUo3IHsjJ5JLHN3eZ5Zd251ZyWDDN06SAv
3QaJi1ls/tjR3uHAF9soayxbWZNK4S4Lt0YP6FvDrS5H4wW/drrOSx5wtJ4kpfJEL23VaNaYT/M3
3JLtTqvV+h5gMKzcwAlurVAJbpq4dbGXZ93SMmp3G8ky3zpSt54bClJIcpHmX6YMpjjZ45bcagBi
b5smmQ6TonZvXe4rDxm8XOT7NEFWjmL9e5+SZvB/j4yp14Oh9xvVKMW1GaXKfeAnbDJ0ovZxqrVr
xRyi7+QkOAcX2PNGwfjxBE7PeOqkYjzFZjle86WyNmEVKqsxipSVAv7Os32/uJoCRX4rwixfk6aQ
rZWEiKLjVW/AJDCwc5wbLVE3KnHnfPjq+MKUhVhURVgs8xYVecGDuBnMQr2wqzBf59Cad9nYEJda
ZWJJR8rgJQaTum+ZJt/4jgh2AhVysjw+yxN2v4OrGKDoOaFcTE40XBMBjpKBnK6lMJCcL0wzT27U
Ks521jhYz67P8bXxVQMMVMTHEIEqt3+qpqukxhgsEFDTBHH1bKmOScgWKMS3UIleZTIO12wK404r
/fwGSvbEINhsg8VYl+OjipDWZITcY6NuRyLLReJepi6Mgzax4xs9CZHf6lqyN9oMtnM/Ydaxe2Xt
y3LAxFrz6bZDTFpkWCg6lhqSUFaakD6zG8Iu1nybuh1R7chhfaMmT6lJc7HMaULdt8WQb1o2HGog
wFcXSD0aPI246iVUwiUku+lq7EW5Jwd8Dg0TyohWKVfuAb8VkrSojorZ0AkyIBJ+SeYur2ZjlpAn
6sikE9fNPbKyy7eNyNNHteVxysqJstqNxCvpouOVkeFZMvpefR3Jk2kJTS4gtJLrvg9rXswIFf8e
9Ol0kIlt763eGNdOM8odSq6OGL6xKwlNcS1kuk0397ZznNEH1Rp45xUd1vDS53+5N5QqABJAk+Cy
bZR46fOP3sY60mrAqpXv0U4xtpGqTzs00ta2r6Lt/Itu7HAAje+aIYN02i7LNsrutCHBXw1yHl/x
MYe+aCT92VH7wSTSifk2VHd6p4ORTyLlIvC72xbb2YIQDpztsfLmVKh1hJE/620qSIAY/Ut+RrJK
VSDnuDpruXEc2a+LNNC2vh8Rm0ldcoFFW7ZLEiTsNRViuC8nM1s2RHJp5dyJQkUDAVf5WU/mzaDV
+kYb+myu26odEnawElN03xdMM6WjBB671ZYL0S2FSpxX4GMVAnjwrOS6xOSjo06L8PevQCMHWAOA
l6tOo+xyszTWqV3ye7FLQIpnrmqwY+dXsEyvyjwM4GeAzbGiFEABLfB2O01x+CNoGY0mwHIBJbVD
twbOXdyVhqVBhQnUipmrFl6EsVXe5vAfnpUAVBBf9QwBe9n+LDvburMF3fVV6pTJru3Gaa8BaNga
JNt5eNSxsxVBZdwajpxu48CSd2UA7r/LWpvJwSDRikyWtR5s6cM6CMMtnKp4Qw4sR3KiNvbY40Zg
MU316sopuxCuont42UxXEsQQ6KBeQP0myUWdv1Lei++DlTtXAkkPwhzNLA4dGlVYJ8CNbv0JfnoD
XHKLeR4sk0Nap5ZlOJATvCGzz5+7CFzIfDVCo+rhhUzjjSGa+JCb2JDbaJTfLUl9hZkt1K5HtCTf
cdXZ+wQjzZM/2rO9PG/1R3X+QlqCIEc1dEJvgP17EUaOcRWCFnzCAGZ6Q1P1+9QMugvSqpOfjRGT
eB4Kbm6BGukWlH/2K6ttddlZwnip67jA/YF5by8SzbiUTWjCA+aATWc7Nzjr1kYLI7oxHnS64OvE
N0WCyqQLrwtlfEs623nWCjtfq+7kLEkQnDZmnQJoQH6Hly8kkECGWdiCQx+AQDEAvojjNPbisksX
pWWr3F6+tvuRUwWYMH2iVwkDuS4n0hWzeyWNnoecLNeAXR7pCwHKuTtyKBblk9RjnZiBFKqlatgV
risq423hWtl9kWTFZTOl2k5Kn1JqHWSENWAiSUqnVTwdCVfmcVyylDc85y3GAmnuRGs5j/jbSc0q
W2fLKYb0CyXyH1JdaS75KKa3lIrxyyD04iGukuq5bMvB3pZIqSFG+BACMcKZvrlIEkoa+Eb5wdBF
ny8B5w4/EmlpHU6YPt53WvsW9E7P/APd3+A6OVDCYvqZl6pFOI9drywluUZvQJeSljODMeJWlz23
iqyzskd6VpXNtcF05DqmGCJ+J42JJnHM6koGlr+sZax94/3/NYePLFq+aS5qaw2Wit9Me7eo21vE
Cpw7gjR8HGSt8+GyxVrQ6z/UJchiXaHRD9bhhzEOd1Or1cbGtjB2EO8htnE1sbOTVLXkVUvvUGfj
qA3DSn4z1bTOlr5Vb6ywVTdTB4zJ5InHnFQY2zC0mAgm1sjmIlubTECXs2msBa8YfWs4YGqBh0fB
ERoM9j1HHb4ngZv98MmKWpWB+2QMRn+hQgLZ8m+BBzMghTQi4xeRdfIGyfX4Gkw+2cpJ7+Cp18f4
ynWnfttJxJJu4ThbHLGDpL/CRdF9+8nuQuM+6grsnW3ECytdRJWINVCxWu7GVMxto4fog1z7kQ05
uRnKydozO6PX3DcW6ey5/1K4iHxS2TveHF55bQ0+dsxZAAciiOoWEzP5O12ff8uxcVLhKocsy5od
kuTs4EeKdWtXKupyhpPXIuz034I0SChP0HQkff69n4ftDePc8DI1E/MOfJKbB8tx8pX2e0x0Itn0
9TZju113DEhXEzqfg++3lpf2ZbssEE5smZKld0jc1EU74Nxy3U7dyrS9J80UdRB8zL0Og3jb9PIH
jAzbi4OQLxaF4J6NVPEy3e0uKeXsfW9kwTVzu4T6t8h/tw2YAwSY5atexcxfnKatOAJUYfJaMMdT
L0TZ+hfMNOMV3ZKeh63W7ltNIdRUcXHLX0epDEgOy6uKZC8YLOamyoeJo1ko3et8lOl9Ds19kZmj
uw2jOiAGw83uLa1+GwaICupEqSIrHQrg1P+E2ZPtzVRDOmuaHJKqjsmrSOJdFrkC96jwgAbGe95/
RpGZ9ZgF1MYGOeQeVWG6ot3xs9aidoXZGk5MzPcV5KHHGOLF5giCQPXSlEhGm3RG09EmUlpH/DTc
tL8wClNfWxXYB1zi8ibwhde5iv87tHTz1lQV7VAP7u9qMJTHgFfvASCaDFfAtBkeunLwVzUyiAXz
NHJa3KHFE1zlK6sJuoWT0wH4vBH6sQsKoxhWLbjYWdhgn/RaCaXT8g5dsdcb9O86hWZcVBY8k9WW
8/hXdoMPLWpnXs0V+pz5SGDYSc8VHecwB6gRIVGgagQGzCg1Q2CVBmW6+vyHnVuKQFcbtDdqCLa+
P5vIam2VtB8FPyx0gvsBPS/YlU5cqc2XYPcTEwWdZMgMGlE7oBugrrsn11AgYBxTnaVycLaXSdok
noXIbunz8C6qYMi2BeGnf9skZ1FkfUKfLUeae7qoGUGYUwoSXceEq6gZ/DdL0rLjTPqVsuMDd2Fe
SrMYYdiIboxTRHrC5j+VpSK9bAx1f5H6ELoUsnB2iUZHM6X9cVuOgKYQlIVXbTp8lQk8PxV/dupZ
XycQ1YXVz4zm5KkhYw0lZIKe0CEpaU3RRSOj6h8+f15OPATHm4ikRXVMdZ4VnQYBDOjUx8bVpNc0
tG5RVlNFBLbuX6eaOnnTqKEYaV2Un5Ii+fOlzz0/iJNMTUVXMAub/nxUSScYRKDpJB2SA7aGcd+A
UJobwbaipqhVAiqwMQSt9vmy5159fdZxzsMptFGznOfdJEevXRCcEcvaVZzuRdY9YG+avMDiqXVR
Z/wHD6zOHqMaqKYcccpDD2SlCsUZWQ5R732lVVsO/9igyZTZfv7DTgjYc5gDKQuooAxO4Gw06ukF
naZ/7yWOmP5nfXw2Sd76hSNkQGOTiitayurWcib1JfTnZlJPK/7zP+LcQ0uuAI4xhGeYj072n8TW
mwnJPnxPYpYPJrKaqxKTxBernNvluIXz+Aq5PJqvP++hMfhGa2RsPcddgMxjRhHuOCyEEZdf3L9z
Pwj7Ij0Qna48crs/l0ogNEEY6dlQgZqttL74YTnFj7+/aO/XOPk5kdmgOu54RhBCX02W3BpOdvh8
ibMPB88faA4eRZx8pw+HGzu91MCpkjDDg9Cq2h7wMYOyro+eQ6Jv1hAi1ZsAQP0Kd7G6Q5n+1Y72
8dXTVdVkhML759K6ONnRDJIDdaVwKy8QaGcamB/LXiTVZarEUB9LN199/qM/3jvWw0GKPNDUhH36
7lUcq5yx1Csvg9t7YVgjcjoCHD9f5OOzqDNDB1tEa5ck9Q/iwwA+lsRL5UVNAFKlBNJXlN2lHTPL
+OuV+BEO5LGZl27YJ4+Ji8BtGvHseWxt4L+U+oLU0ftSxo+fr3PmNgnb0FTBvWLnMuaN+90OaZUZ
Rg6J1WaKQDWnL6QhLuMkX0aV/4WH7SPbyEG6+m6pk+2CHpWFNIyl2g7/mpEbwSLrbSxoAyC8ddXl
08NoUo8BlfLlqsLVsFJl5X9HDausG2xR65jp71araaNlUqcBnhkT0WJOXO4bfVB2xLRPVwRp0dCv
clI0A6ZFnKsatPRN3OyhKw/XfdHSwSaBKF3SZkMlBGbyix86W51PPuZ8wZnrqbwAQjdPP3ZpihyN
bGSuaR02T26Wq9eic76hw45eMpRf+zYFpypT/7skGmmDJYWeyWDtLItYYJPJrKjKZKm1D5nPwahB
RJkXuPd65wogLwaMIoEHjiALtatuL3wZg1EMety2stPsvRIrGCWMwvCYbferpnE0zIFJvKKFZ18m
BlqGOEGKBOkyXLlBv5zsYFgZ/EKXq6UBZ3CnWn3FSZZ/8dE686xpxCSg4OCbRcl/8qyRGV5RfYxc
l1ipLzvifXbc9QHSKoGNi8HXe+/zh/tjwQNB0jYME94YJtzTgqfC3931ZVZ4rtPgc4kK0pfBFlxa
eokzygmay5DW6z1coeDi85XPbBRUc+rMMSMZ5cOZA6Jip4StlXu0ucbnzurFD1Ra4t4UVvz2+VJn
fiQCD3Yjeh3812npyFyU8+bY5h4+bKYiMM0k7doWrGicyx3OzgiaMgN2RMIaTfvPFz/zO+fAPYtZ
OCeDDyg1Owla2k557sEujrYVtMEAjeJsKfuXxveHTP29LP3jSuQI8D7ZKIzI/pjBce83KnpAdVCI
OPU0x3nCl9uvNAdgqEx1/a8fU8oNBFMIozh9qNbJ17OE79XitkzRFcBwB77mwSm56XvTgnhu/frb
C2ioBDXO6QiCKfLpZwt+Of7ttOJnmZnuKeVIEGkPEmhZg4ivvyilPr6ALEZpQ2lgMtA+/XxVaENC
q834ZYpxH+rKUzU5v+JBvw9664saZH6X/zzQsBTHUoufxp5van/eroxw9zFXEGLoZbrW6ZW6hZni
Pe7wNOXdnjblV9Xo+RVdSlF3FsDNlIn3DwgQXdsp5hUr0e0Tt3wp8OjoMoELHSL9Dlvt8u9vHYU3
bAGqDlY8eSLNmnNH49uJp7Ttfkw7zzCSm8hSv1jmY2EzczU4GurQBLiY8///3RcaPu4QRfyrvU7R
lHsFaPiuHPgifv5jPu4irCJUig3c/MS7nDz0g6INmApF4klcjQs6PUsCu3/buXWIq4aBugNDYCy+
2CW1j19KVmXjsE04I+yWJ6v62dS4HPsSzzVHuuApqItlXiaAh12m9BPp2XBCIQUulMJIyNyd3JKx
l2pvm6EKdilz5E1PWTRh3sYYkCQrHNQUB3NZUBUA8ZHFWQ+u1lse2cLmF3/92RvjYMZlGEj8z+mN
QZJAdJzBq0t3GjTt6MZ7ZaDP+fmNObfvQaqcW0ogLD6UnJlR8RkJitTDsQC7p+g8NRH3jt18VbWc
eWHhp1Dbsg/hUTy5Faad6nlZ5WxEuFIRsvghHEH1K8TIuR3IogRwtDkcnmv358M8xao2BK2SIB6q
kTjjiEEU0zZrjHevXQwP6O8vHj8JsxVwDNg0J3uCg3YeUwGv6Jj4v+ZrJyPrkEn/6fNlzr08M7LT
RpLLweD0MR7qJBdTwcuTRqZzm4yCEZtv/mLYUmxkYDo/+7SMd3QL6y8+Vef2PBSxBnU1nbIPhx5a
p2qoG13iBcjjCbd+meJgU8aPmKbv2K6/WO3cA8+xR+Nh52T5oUmW8httq6wTrwzKZJuRTHbotVhZ
fX4xT3IdjzmVKheRfDsDKAfypT+fEbfVhtak5e45ba8+RjiENwqKY3AUYPmZzdn9QyygmbRF091U
pEpcm6mtb0MHTec0lhaD5bhcicoHGdk76DHaNv7qdHsK96H/wiEeh9z8Zuom9c+ff6T0axWWSsbX
ZjAYEzTVi2hcWCC6U+8i23lqB7oTdhkyxMj16DHpu3rnu8WPEEXHZJXkcPWZsaOLBM1+VEqAjfyO
zy/kmXeNmTYlKAgWmounH8TU5m+IBsrtHu9ZOQkCyUrElH6KfmV8+XytMw8iIYu82LjyaBCfljGa
gD5qOA2lvS9+qTQcVpmpvtRjmntwqOM1rfLmiwrjzEsnBBM7Khq+WB9K7E6CWZdBwc+LzWdiDpWl
hmqHOYYkgkgbq4dK9uThirzz/v63CkEXk44UBeLpTmkoLnJDpy48zmrXldVLutIpljQL/30SPI6O
Gfx93caCcxsAPLDLVvbnw8a70je1URWeogZY4UWHKoGw+ENfuZmXWRykP/+FZ745rEcNpfNho1g8
eQMzX2KKL7i0QxcwuTBkv1KrolrpKGL/k6Vc1dVxU6r0+U8+CKVtRE2Wc0QTbpHf4uqZFtJurIuo
FeKL7evcM6rzQs0+hLnTf1KSdkji8onOgFdn7X0bFm+mWRHqzf0jF+DgtOTN/P1l1DFdaCaQaSrE
k9smBmZtWj3l3qRNaPzs/pts5aqc434+X+jMxkxLXQWlRucZG8d8P9+ViOUExEr1OQKmgYnNbNg6
U3X/+RKzvfi0oP9jjZNnwlXiJDYM1kDQLxawBct9bdbmN621/IWfYs+MAnyRZi/LVW3FwUPRSwiM
JrNaLLsJzb8WNWQeMek1BhRwJFrivR9TL9IbuZ8MIzwQDAtxcCTSxS/VfEu0ImPpxBmXyGDJMDMd
hhSEOtya2OuSBbxF8W1yM8RWuaiTTZHVcqt2lU9WGNLRG5CCVIdFRAgRxNqbcLDDrZD1uEtNJJqd
HmZXnSI7z0nc+6iA5MEVTjYZvSK8XwgFPcSJ2aLop3Ltt0Q0N1PSXxaGHi174iU2n1/ec88mX3Fb
8JzozClOnk2rAnE0WjybyIRfqqF5ccLyxtCVjZ4Va1+Bo/v5eufecGpuij3a9wyETtYzwzGvdLBN
Hv7Iued03WvJrm/yL4rXj2M1UtGYGtL4o0cAYOvPB9MYklCXg5t7iMgPZRnNxknnZ5U8MIS+QpCy
bE3tRyDzL45M+vl16dJyRTlcnxZkbplVQHpNeiLFOD2Hg4pLSBrKAaOLmq7RzHDGmYEl6ybpqlUK
Np3hds5GXmndzkTlb8a9stPVVtmIxsiXPsJQHrhyy7yTCTZpo6YAldsPSAETewpWbiMsei/2tAoE
WXGJARhmMqtF0sRGsmimMljH/D2rJi3f8HyI2/iIWR16iECm4P+eTeYyrJt4bSu29ljp5le34twd
t4iaBoRHm0EX8yV7t0dEam1medLlntq8jEyXFmOvbhPRdF88Wef2onfrnBZGuFCztHD73HPMmelJ
vwGIUrj+/PE9V9pY0NCYKzBvs04RBWqFibUyZO4xdHKWOHIXHMafigQ2dFiPX5jOzi5Gv5IzC8mx
H8peS7IZ5bBX0N9ZYO4LGFdGuUEBipa6ib64fOc2Aou2P18LLHsfit90HEmZQUXlEWl60GrbWgp/
fCpS+QZP8QBU5Isr+YH2QCHL6YEj/9wmZcJ/8gGe6jLl+lKnxUMa4vLSxN6ZZL/T6MWvCl0JAaJX
zXIoXf1bpPqhNwaYGoIiyq+cAGgAYL7xwcYShD3DD4gG+vxOn3tsuc86bST6t+7pxghdolZw2Wde
X5Vvuhs84oy/g7z01XU/u47tcFLk+Dtb5v58PepOGSG4WZnHSbSkm9O85KPSr4pWfvEhPVe20pxC
tMH5Afb5yXuo9y4ODrSXXoNnBFDX2unzgyxMkMXiJi2q+yx1v2hUnHuA3y15WrDGk5Gi0VMzj0SL
LUDxN9dIEbdbe1l0X5w5jljLk76f4ETKkIzykbPwybmombHb02BnbDPa+KMJy989GdHLLhUE+Yk4
WCrwTomrUPN1VM1eA0XMykyJ6M/t6ieDpsqTT+qZ12o4FnC14TMKG3lHWlaxcvI0JRahdjaD3TuP
jsmuubDAWCwypR4IZZhbm4X2W+017CyFsxpK9UdctNdIcco1HOq3yOl6gu1ISmqzUbsrEV3zsSdI
9fOn9txb7M5OXVocPLenA1iYBXWd40/wpnLaTWTqLBrVeDJL84KeKY7+sf9iwXO3eHZmIZSxabae
XvYyFsFYUQx5UeUScFa2stxMnH5XeuDD36pnTfrnP/GonTi50yhmSFM/UjM/9O4CZUyZkqaZB9TQ
XYZ9a90ZoeiWOYSYi7BIic3UMmcVGygnj3YBZ47SzNqpWTdI+rZK36Nc//yPOnPdKTZmC7SLMfDD
kde1RidrND31EjeYM9hG6yoPKRvHuKifYikmAlzC18/XFGeamKgS6PrMu7b94ewbDOZU+h1vdD35
SFn1wNggSNU3UKvqLQE5+oInBeWkma7dQIbLkZkMzgtDrD7/Q/Qze9jsC0eOITjmGKftfRVphEVW
HnFLeawzGpl9DZGeTge01YTKcmXsXROjRsZiVRMOQRNZKBlz1Bm7e9vrvboZASQ+hwaFt9ZM6jNl
cb4Nex4pHFMJQciuuUWS/zYixmbL7tagfsI1WmFjJZW88UKrstdD2NorJ7jQikS/S4jRveG1xYRG
EOD0FDoAgFPV/q6SjPbFwfzc72cChgfdnif0p40j2m1xCiSS358mw12ILM0bgIQ8RUIJN59f63NL
IbxGa4Abnc/GyVeToVNVkTeReW6hh6uycmY331AmezdMg6fP1zret9M3be7+6pxe+QyeHv8Jpk7b
nghvsllNkDQEpIBeJstMbP2y6Fa5nYoLUaj+bTNo/TUEmuCgzcmlhp6W2zJX5e74B/0vvuELfIPO
zEx7d+8+INQf34hpyJv3AId//zP/AhygNBjsEK7FyO/I8GIv+S+Ag/4PBGVbnd/eY8QVK/0XwcH8
B9jBXIDavNiGPuuS/gWow1anKpopETMVgVnKXxEc5qf23YNG4wAemUu7kA4JY/PTUbIjunaKCsf0
cOjjHw9DB54lvqZ31+T2//773k9yP1RAlHP8xiMmAkWXetIW8duu0vQi8LH/c/DiG+9iDx18cnkb
cp9RiAD4ATVF2s4EVuzztef79f4nolJDkWEhf4Rxznn7dADBJDAd9MRxvYCY5GRjy7pfdYNgXVNN
vsUCmBD6+9JdgGnVV/U0Rm8D5ThOH2npJAuJ2dgTR1uCidOlXinVvk2KEG8qyvRlnPrmEstWua6D
YLpqa9v/lmHW+GKjP/sjUNIgq3IZ2iFb/bNYVaUBwriZXK+aINGg9Zg2mUI7ObL78aHSoZ/5AnXe
WsnG2fc0lN97uGkrkzBh/r7IHW4tcppuZ9vhQu2maAv3CxoxiS87tDjJhiJJ3GdR22zGfGpgPmeE
BH5+Iz5soNwHvlRzVwzR0Yf+eW3obTuCoaD9A8pQqlO6GDo5budQqc9X+lAazStRDDBYmBMLTrtw
JjFCxE+wUofSzRsbDG+N5VR72ejVQTWD7G+bcazHvMnBScNQ5sOJRRN1nmdKynpBJA/sKKQY4WP/
osXxf9g7r+W6kWzbfhEq4M3j3d7RiqTMC4Jy8EAiASQS+PozQHX3lchq6dZ9PlERHapWkdgbLlfO
Ndccf3P+8EPgU0SkpSfz2mMUSV4XJZPrBwkHC2RH/l0waXgouvDh96fvxUX+00theWLwQeCt48HD
/v36pZAnaFYj9+DBJir3OAedvSUbJdtPExduqhzcfbgKOlqTPVgY5YUXdpQFE8xWfJ8O9Xyu0FmZ
y18mlH1F4SGsDCaAshgWTpZYwaaEppVxbz6qBLDW2plNmI8Jw59MayccRAvX3tJSzA6d7XfvGZ3P
/lA5/BDtf/mWtAcxTCJWsW2JIm+pLH+SR5ZYqyGdpaab4FirKmnGY5DE3dFoJdJi0ZHg6TTfdSmN
jVeUpLhNQX4oSbvfKUv0u4KglGuoOTiq+9rZtIznv7fsIrv2CLn/FNApeu+1/lZao/3Oiuhbr+RY
Wmvpx+WDbRbRjqExVCCV6kfC9O1NnWTTHm+YlavkE68z7Pa95wFOsT3yE5rmzOoCq1zENgRqPzsY
TIgxBZLBYbepCzqnCR9k7JFcAR5zU1tt2mPTj7+k4AfXFTHOR7Zp6kaU1rgwrwP3UoVtuVfxUqkq
aGm+yyyNP/hNue6B5x0K2RRPxMYylgmuqa4m48aLxPR1mgiSBcjeb5Oid/ZezAjVKvcJW5kL4W+M
YMYZnDrmA46k6n2QpMV3AdcUJ73JTNs6kilUjLExHQLXUv0hIKxwE1R41KGZlMSG5/oyA1m98UsS
6vswq6OVU2XjDTHY7ec6L71ns+22ho7ydRoX34zCCK+MugRlmGREFAbyVFU+n9q32m1hR0etjPq6
iUW8wvAw9hDjmGfEVLE3RX5ZzuemKenc0f+ERdOgaluV89FL/XFF7Ip5TIqqurixmB6Nsuht/tac
r1G245LRwdSGXsQONa9GZ0/cV3gcZtd5lgyH3QKa6+ojuQDRmjFm56Fwd3UquCMUVsChdZznppXN
rkhtY+MIHaI827V8JKaXkSam8rg0Ol9B8E0O4zTs0tS5s+Nq2PJuU8ee6d/VBKcrJJXF/kpqTbWR
viXuGCi6ygjeWJPUWGxUUg4b8rgXfZu4PGmaJ2jEdCYS113lkU6Yrk+u2ER8SklYOaTQR+5jKD7b
XPrv4Yg921Vdb0bG09dG7kdPPdXozpHSuoBuHk+1V0SrRjHNBP4HtGPeGkwqM8UZMA/KK2qAMFjV
OTFzjT4bBC7vi07X68kIQdCLdOLD6HiXIp6u02IZzJVmq7i51BhsWIbAPyahX2/yceFHJ769l11n
nD243pfegO0ttTc9E+xrkhbXBUQ3TnhdVrDTxM1MdcxrqrPa8zRZ7jGtdXmwnMw8BA2Pi29MDYk2
UUvODMNIgN9WaZC2q7kHmqTNvP4ilZt8yGNr+OozhP7BUXI8kV+vjoWK+pVKBFOkpkF6XQ9y24tN
dRwsni+GUcVqQNRLnJWZB511BJ0bzC3dabyelZlUC++JpB1l1jvMP+mRIRCxdQnYWOcTmZ+RM2R7
i8bAJdMN84Jm1a88iLuXJXFGbDJftyfiTosNqRQTVHgMM21HG4Ogoem76uXYXJtTUm5oqCjs3wCZ
ZGMXm5edeZawcliAkVe2OYitqQiG4hvLU+D38KDpsWzs1JzO8Nu793M0ujc44s3rKTOZOy1ifKkr
k/3HNwJOx01UMkIyEWX5JQ10AiQjC55eohFrds0Phkl9UTYivSnohK9jDMCsF0R++sy48umIA8Km
hQa41aZf3INUaz/kuVNsCubcNplBXWh4YtqXBZEZo9sWO2YjhydCtMtjm3nd19lIzUOZu7x75EKd
EpRfftmQFxm5fK7JEddOyjR+0ElWrtEJrDWjasUmJ+9+G+Gb3c4k5txAoBs33uDY2xbD8RbFNLmZ
yYzoyICe+Rk7KslxxMdHAJDDJ4FmY+6VwiAVG3A9V71DM2DdE+u9daLUu7F4Maznusv2orfnA3SI
cg1aLj5Rq3hrEftQgMJSnpTP/Wo56fSdGlg9ZUryXodHfcrxlZV00VwbwjwDa3FteOceIvv9xAHS
jVGy8s4xgeXQz1Lv08joPCnuftrfm4HgTxg076VptxuED+sDnaBzVxBQFMBJ33dkJo0MzpvO2dPm
vm95KZAZ4tAca92dSFt9rAryxFWZk0ToxOm2qYcHaF/2euxRvr1i9LZwEG7hzkdLonei9lKoKd1z
+oPii2TeLr3IrmoVd7PXr3pdEw7bVwSGSceW8SWKKxJDXT3BXKlD202v9Wjrav7fDeu3/xeSM1bP
ZYPzn+y7txvWTCbZK+LXv37o3ztW7y/bpWHk48ahK/TiP/t3WLXzF/01F+sR9j0q6yUM+V87VljO
bEgBGGOPXDzQv7Kc+W0UYNSTNFVs/x+xnHHcvN7QcXiHLSvtIDytCKC/Fm6h8jEqTInFnnWqSyRj
GkLSjOCo1FN7yUZnq+uYvAraUashTNJH3nVMEBHVeoZbNFw7jb/MpCrIDEFsxVsZYOFKaXKcpV+X
D4zNUKCwLT+2cf8QswrTbxraZ9MRhcw2khP82KF9PdlkLt0uYWbgQmxDfvXiujk3KYU/8+Te8w9u
A3EV3rMjqPpWy+7hqfcb41uhA/3Iglfpb0C1GUs7kT8wXqdNsJUVfcRE52cTEHG491VcP4yOm7An
S4zBvR565qZ4SzcYQ5m46aGq1GoLTo+cZgpXsjuz1t3QoNXXltTlZmwH47NP0pQ6d+xgOS0k1hws
PSaXXFiwFgq/5a3O9nwbhzied1ZrMm/ZgY6s5vrMgkEUcji7G0+6xQcJH2jrWbFLmccrscTA/8TA
8XRfNR4BNG7H2tWIStzGEWFaZMem7tGkAPvIa5slvNMUu2aXApTNS3dF0n4bPIkuAxQc+Jrg/1nO
ULp0HpvtLo6ShZIyu719w9gDQfkG3uMH2Ybu80DMDrBdxr8/uokbXth1Wg96dJazzMsOW04TWQ/R
C4RjstnaJhkk2FUpPH5975TsRmTTW9cd2u6wDvpOkB0lauAAIbtHgprSqIZqKFsQMSNzHWAWgMqu
X/5I2hs8jlggD6zagZ0fg/QVP+M5UxFcRM3em7xKaDNeX8VPORBbIpsIXbj0cEqyVZkmUF6QkKOn
ELl0WL9AyigomY+UIeG43Jqu9YAtiK9RDSrbj0EzLOAnhiectPeehSaXbe/2oST/X3fzOaonjo+F
nE1CYjGpjwLPF8Jfyu9ppZufyUQq0xODinyA0WqJ8g6SnLNbqVh8LNmrxER3K7gz3kTeBFTkoISN
TDCVfR2rEmZORzBQcuyFgrQA1a3/mueNsc6INibZWi+/lmQzcCtlnoPraIxaAXzwDZO/YJqJX6/9
5cuHaAvYwW2GatdyXOLb5xbxx/WRMjTVNhiIDgXIxzC6dg2cvat4sM3bMFP+5eWIfkBgxU4ZPktx
aXFvtoo91zqHufI0ygIsiuN6oBvc0VbwISTZHyZ1eLh2E020pCnFx9amTsMLAPg5yXLPvUvyIdoW
Tps2x8zJZLdQch1n3doL0ChxSr7WROV3SePSf+/2+WQ8vXxK+vlDcignwkvWjuXxYT3hc5cZtmNd
R7Ikf6csOpChnT9ynQuGYeZ3/QgwZdeUyyW1zeX8MDlhdtf9FDXnyO+a8yQb/j2asiRfhVHS+UsD
OtsXjcENwUYyY46XTAZiNon5JKrSmnZZK8rvMwRjQjJ8Y7mnLJtQjQR4IGPagxoJgbcqPaxTAeGT
XMaeKaGI8qSb/fHeHEN9q/A6fHS400jJaAYr5D6tCeiOXCBoBL0w9OYRr+7ZJGiuOruL6KbVRI1M
sguufTOIz3k0RU9cTD8FYYRPJ0+nnggc2YmPvTt08Y5kcv1OcRfv8zGsdrNj2WtTJR61e999ybEH
OTBeeSzKqNTvQt+o1oEtubFtOdIsTDgBFx+dgG9XFeQozY1Xd+uenG5n40X1QozJEiKb6FgEhxFs
3pdW5EhiVt2AZ3GBHPBy6ArCnJPcPTowQPLVpNP4SQYBb5ChJbY8sCtSFSzP3boqsdlN9rhA7Da2
olWFBHd0dObsmzLEtA4tNbmrLVHf02r1Gdgj3IuoKrZzj1EzBzsASNM3N6icUyz77JCr0PoKV2x+
CpNBBzuTV+ClJU31m9Pq8WHwvOkosMVtwTTH6yYzHmVuyCf29t2mbou+IT8vpJC1DEKYiAYl57Ae
+f+IuDLDatrWiTl/y6ak4AkYQQyH3sism8qDiTjOOXY+TkXenXuy99s1rnOLjaosrirmOTbeOC4V
pO4p/LJ4Di5Yca+lL6tvWPiJL5xDtqwrPbXTqe51eI0IdQ8iGdozUiWZSkWooPaWBW/zO3a/6RF9
F7XU10SjMG7atQWxXANTLoUxxLe1krxNyIyqgUYO91ZNVlQyglvro25O9mrInIsoatN+jMloeYII
IN+Vo3ubeqq9n2ziqceks9ilWsG7Gtg9Qa3sgm9aGimHLCjZ1SSp+SGxR9jLcfgwJ7b/fugme98Q
prbEU9ZNxPMhCJlXGJV48McDVodqPQj7tmPiaOVXIvW2pZmal7GZS6Jq2t6869IGtLgdmNuStuKq
y7E5EddOvxvPsVmbG7hp46dY6KokX23w8p1ZDQP5O21ZkjBvueWWIrtZh9rsH+y6CD9mxEp0LIWO
eTPk7rCC+CWOyoeisR6d/JNmeT+P5TBc97b5aZRheyVQp8kHGrXw1wGcggtwqnyjECXfTYS9nSed
W3eF5fffyf+Xn6Yoadpn3Zulust8GSfsI+bimJRMe4pWfoB1H9+lKemnhV8gj4SWvqjectZlR0kT
+PI0kMtzIyUxMJ2NeWw1QQgo+1Ff2jnLCZWd7Ls869XHMPPjTYJX5TYSERldw5gEq6JOq3ZFD1Vc
B0ZcXJlxa9cbInOMOxgDHuGVwwiFqASC5Pr6JMjw+4QC7a69RjzGgzBPhSmfSD5T2xQ216bLzY+W
nRzzMe8uBmaVD+OYOBXP3CTxzHQWtrk0PXdwrm8cxIergUwOHOVAiwPCcVMT3CNhiwJm0Zj2Lt8w
ZH+X0jNjiMQeehY/49p3uVXMLL1UI6O4RLu+j3M3WFqn1UrabNKRkNh76xKOvFDcBzaxYSnZn6wU
UYwZzG39Ve2zhO/w1JMkYdvCuQsT178NI9m/a6RLMp6sVcP3Sft1MZMrGPTqqpFQ08SQPPpma51r
aN4by9FinSBqAIWoqndZ3iiywyg/doQ9ZRttL3lIwlyS/3sf69nUga+vtHR2hWNOD6aU6jx1zoL1
4AeVnzRXvIHUIdMd0aR9Fd05vanoFw7AWXvbFWenmtv71KtKbJh1N26Hps5QRsbGOg2wAu7oCbOR
i/0jVInw0hQouGZXxhjwq+EpHVIEE7Ag9JxCCgqsxI9KRAQodxrTWds5J4aP6dCaCblRURruUBu5
DjAhRn9FjlgEiS8YfLkjXxAWDZ3tYi201+7cbGB1LFMA8W1QlXsxuuGTiPjiSmj5Ls6bgE51G+cI
LNZ4CPOOdO0ywjGKR1x3dXVPFGXdrWSeupsZst8ZC5OLQJNOw1lLt9mNtq2dHT+jr4JKpyE4ck99
zZnE+Y7USYZ24XvzIQV+90UEQXuIwG1vy6W0EphQSQic0I5cq2rWKMT+NjNasc1B6K0hBQ5XI2lO
mxiL0RrqgtoQ9mefC2Itr+cuFM4j61tx1deEc6p1FenqNgfet+4Kr7kfKp349yWhbfPaMyK5Un1O
WUAI8+fCss1kF/l1zQNkUgsWvlXcJCyyJMvqS1103XYaikiv8y4k8Yoy4AqWjeDNi2OBeCBF8uTs
IN7GbvQxGazmfgbXJ5DC011bDNMFs6933dZkXiGUtcZmINXx5DRlf9ZWO+3BaJHV6PXdQzpWpxYY
mQhnvWHit72puqb7goUfraRv5cmijb2XSfhEoTbukGQ2KpDuHZIVnC5PFUWxg3WTlKcunUdrR7rs
zPCqK0UOI7RuckL0/Pl+cEzxWWP5Sbh97FKtRF0hlZCrHNZOPF+KQRrVl0np7pa41fnGQN7PtonI
vOFz2AsEaUZHAsAaAyjRPQYixwCy5e8hjwf3jVW+F2Tmpue6bANiC2vzmShocaWJyVxlIffCsRjJ
P1sR+F0AycnT4D6CSG2+J+3nPpLjShZ1fNuIDqRXhty/5HeL8f2cug2NeRkmwW1ii/aW1e/YV6yg
fxp+Xja+P3c06EF5xA/RX2MCnX36qyZhQbGE8AyuzkMAZNOR5Qt/2gK4/kNd+a+TucsvenMgRrlY
EeAj2a+7kaGkmG8JMjuUKXI8+1Qomajz1GpcBtL2SNWmcm409ejMC/cPHd23R1+MPoQDMZCzJKIs
7b+fGjfCmBgZnnSDYVLYD8TchhsgmhOlRCkPjTY4qt8H1IMGFgrxh1a29dr7gwcEbsJiBMHhjLP2
1Ulm9MSICcBviNUU/HYgsYN7FRSt/VDnHTso+uB8eeVODdn0gnLFJD+JPUCdBCUtaG39oVv3utkZ
meCRsMQ6y1CY+8armkTjMNkJm5lASvc4OsgPXpbaTEgG3ddIWn9s477uQ2KIZUiEeA+m3Qlpem0k
L1MFjtxkGKauZHTpU/ZrHavxMwAZgm3tZviSlgwtXCcqHEg7pokek8+LIae6IqId5qbB23yLwO3K
m0pClqwMfxYnaVvRk0p7Il3JjGaBAJ5OrV75QAQT04lQcdx+fmf7BtPuLTGlh2wY2FuI3HtuPDX2
7zor8rrd3FvW2K0J8HbcTzObyGIdh5pdehJ7Dhu8hA0ocFW63YFDl7ycuq+8J+rv4azqd9hN2cb1
LUvGmg62+GhWrtaXhA2xsSyYJrtqFF7yhbuh2y1TQd0+TBqSavgPJbgagSlcphYwzY6BtY8vAkjl
t9YP0+X/+nH+4MdB21oywf67vHmVfWHw67n+2ZDzrx/6N4vP/sulf434QfoeIpWPX+Rf8mZk/sWI
H3cJTBW8fa4f/UfedMO/rJDBnggaH/NnTMz+X0OO9RfJ7qZD/x8TImY8758gVV6PGcJrIf2MZ8tn
w0Lv/bWlrdU09dqyowQULmvnWiVgtQ7SQwiKU7OmDG3SidzPvLCM8THTDIdrgZNZrrpIeM/E69fw
t8ElOMQGe7k/k8tA3gCVSmK3bIGjuOalBBmMW/enM/03Lp9XbyKb1zGLz2J+DTHJYZD89b0cdsNY
4nOWZ1wX+t5KscdAfYPXpQLzmpRWxLnfHxDbw68LEYfEEoGZHeWZHv4bb4+RlYSUD01y9v3o0vQB
6celYrptn7tu0ppQRYz2YEke5IjJuVavB1cF7iHyBxXvvIS82GMcZIsMpQi2oG6PF1mmR9eluEE7
oPuhb5m3tR5KmyCgvbtIvHm3BG6gsiMjQYxjuWllC0XaI0wKpN5Yc64NX+l7PE3hBrXJeybXHWEo
bxfQVpTGwF5lENOyHT0C71ZEuaNQ+VyRdl313TDAOzemq8nP7AdpOdwEo8M6K2mD7yeGEUn76IV1
LdEPEUjxDUCHzSIYsdbyySGrl4TppIn9YFlARv4FcSYttf1oLLDfxB/5GBqUiAbDYSNXqhHR0Kf7
lN7oFy0T5JlznGbofI+yXeJtV61hIybmqdXh8nQD+5rZqAAedzD54oPtDBCVe4nUDbcYbc+wSaq8
n2VtPxACZOv3gr2l8cmxe85c1pGBs5r6RjdHudQOa0XCEpIqgbw2Gq3ib8UASWYLW4AXsZ5bE2Ah
aZvpbYy3x181JKqnaHzOIv0VtUcPGP1vmOhQq0Hy49EIjW7TMvrNNAq/2uxaTlI2uVwF3+377gPc
ZCUO7mxSuvzQYb0M7NkqM0o6a9rr0eqmueGyqiV96owbHQV1Xi5JsJyciBxcrh8SxTlqqUg2Wdkb
AQ1Xquw0IdLbCM0UMorm4cUfTNpvC0aEsXc58RCWkcWnlEx5BptG2SXyVJBsSq+1UHdGPT3Qj+2v
DS8CFlPlBJsDRRjwqeW9d0Vr2X8yVACSWYnylrT65Nke3ezQGKUbrjO7Dp7rpFBUsybcaSDZDYBw
E4lvVOijaY7cu66goUwnW/ue3pJdGT0ZDKT1d3Y2G/7Gg9c7rwiU5fSOWeXLG7PXHvZmL8Fosa4w
LyymODcEE7TJuSPtL2OluXY4u9zx+0QfGy1RuBUWJT3q+2xZbmmEUpM2CfdIZ9eo7i8SPYIOl6cs
DHbNRjxybYtxRoZ/KRs5MzxcAY3veV+IZpGhkUi6D0Dw9D2BvDwIxhxwgjNb2P6+oCI9e/bSQYh1
h7qrcqTWPMb3hquqPeD2gbPLdoFTj9DJUXxCkmYG9ztaD1rnnBd4V4jVA1n85zotbPlQzLNhPBnA
19pLb0tD3k464pOUk8Prd67GKXrMXLMq7mOVy4OGRNfS7aZVPCtM1at5qjiXEipBhq9g6aZEL30N
YVbyABCYesjlrULkeUvT5oeQXWiDCwcygufYV8tD0UuX3/KjwVG7jf2QDQY6TWiFqf9Bl+Fg3+Qx
5ENaR1bRfAmc0YJhtzSFsOtzTEDKuYZLkEjQ0JYcE5o6Q9J/deKwL97LDJ8ChKEYBfmmwfHhhyud
GHG0DUooBtsfLRViUfJT1wZccwim1nXez45+Hw5xW3zzgtq225U74ThiD65s+6Zi/ZnblT2QWX6M
azuE7AHND0Zxajv4vMj9AfFjMEL6KdMzs6R4Pa5rnN4fPDWggM7Wu4BZ5MVB0gyPC/V9C9cj3bCf
6NbOkKRHp4zijbNkFq+qjCEPSuQJTFVQeQcwN/4yuokhJXufpOjPO1d4fg2lUExxzUumOQoRmk+d
J+y1U5mf6FgsRi6sOcVUAwxIRx0eyApPPpddHHzTCRmhtSXrG7JxL8Mo22mLKUzfkTaZfPIcVW8x
vTE+VXfOfdjG9SfLTSt0GjOJ6WFBQTX7QN5GCYCGQBQ4bDGe4NQRSflo512worTsd7PRE+WoNDOx
EA3IeB/FjSrn6uK55KUNY1De8VoXn/JoSN8pt7wdA1Pne9mSXN1OBAybuBv2uMWyd/QNykcCB7pk
JzGzXohUsTZl0c6n0ojwezputlKkN9EUCwJee8ppHlh0xIfaQ/7c5DOk2DAzm/epjxPKYumJwK55
Q72mBaOvha+dVZKpinz9oPueyUBuysF1sQySRwHSyb4m7D9wN6np1USkT5QDm07a6tx2VbMPy3bC
NVU6zXGhEOwSz7rL40bsTUYJNgQmiw95IQU4bVv5x3qKLbWdqmC4bns3fheJ1N8b3VyQXs2kEfFn
c8gcg+9fG2nfnnlhTwcG+KbjaIBRxUc0bqdOEv5vu8O6Hab8AAjXf1CZmr+aZpmfgcLOZ1nL6E95
va+2qtQnzCYsY1/4Ne23SZZTlbg9qp97orPMGha8NMS4bXnP1RoK0GoB/zlro1L82TRyHtLfl0iL
ifGnnTofgEY5/9DuYAr+jRW2bSonhM4FHqYX8oA+QVzC6LAKQt5kUsdUwCV5zfzhqK+EiJejLmMS
dLSJEEaL+bUSdOMZM9XoRScAlOJjxsB/uxa9TZHz+2/3aiv6chxSQ+ibU27SLXvlBFBp4w9dlGCu
AbnKS31p7zVLA9bTMe++f36wAMsopxN78ZuZDDT9zsCOFsG+HqNt09Da7jCXr1+2s78/1NtKGrc6
k4lsBmB8I+r8ev7aJAoE6B4yy/3Juq6XJrDHFOGa9PHm3C1jbv/4eLhAETRAC/gk9b0a4WOnynuj
rLzTvPTDfqyBNenEaEj01UYYBSSx/uF0vr1HQg+dgKFI1E4bH8ev37Gp3dbUZeGfhiFb4lcN56gt
GpW//2Z/exRmgyICjjzkxldqTRnbYx1nnX9KsLkBSsbVHoR/nMX7u6OwocTBtRiJyeT79bv4vWO3
nsF3idou3Pi0odZkKv1/XCX4n3izkPdCtpuvzljR0vsFh+Kd7BhLGxNcXBM1jSSNTzFehl5oWt6/
P31vXx+803mF8LVI0OCwv36xOlPxNJa+ezKa2P9g4aY5zebiARiY+N7W4WTiku5mXl6/P+7bBxt9
De49YXxobG9uyAiHuzkL6DjFgFYUQww+974KN3OOj+L3h/qbr8jNwewYNTjZYK/fVQHhvxyqsk9a
plg5FhPFS3e/dLlhimUHp5e75vcH/bvvh3yJfGp6f5MBqMysdlKIqqfSp4lfV+5CuA7TPRudPz5o
L9ktv64BaISB57puEAVLEvivF7FJQxmaPM6nWXa4MHOr8kjtCMzyXqhZXjc5rf5VPFEm65G6bqTW
6q7pU2DNdY3OZXPReM/werqvTC9jjAjnukxvw8IXf4qbevveW8RFxpt4m2PZeT2ZXmfemE1GzB1e
ORwoizPxMdcGyxVJYdxqeURZ//srYb19dpHNeapYHYGGha8z/ZISvSRmicEdY1Dr6tBZLEKwF76G
0mLFSkW83O95Zl23Q9l+VAry1cZhpOa+7Wwc9C2IiXZHlcSUyWSV6eb3H/DvzglvypdwZ66d/erq
4XVPZxXy1FdzSNFtevknKzGcE2mRNWae1vyTjPPm3vSXabVloBRxm2yZVwdss24p+sEQKTdGyzfz
xSfR1tymmn7LP13BORi6EZmbJBC+DTUPZ3rgSQvFTBNic5vXsMFMulU0hUzBdvH3p/LNpV4OtqQf
mNi6eJ29KkuqwrBEF5sTELrFKvPDE8aDyC7x9wd6nXJoE22EPZG12+PLEXO0fJKfWhR08jLti2Bk
AZdpd2uyh8MDwIgdOSi4ebqzyBVKyIt3LR3TCuCACBy5astlGWxafZ9mBTqBMbJZQjyfxccZff9g
Gj5SFqqXszNJC2V7TqNu3o8LG7PH2NBU//RF/JKlx8QZ6xq5Z68rkQzolwiqrjvZ8xRuXvxv1Zhm
+8SE9/z7k/bmRudQ3AO4SxFsCcJ+dd/1iWn3SmNGl4wQHkM75/sTQRVtcZo05wXY+Cf9cFm9fnox
MoTG+xA6Av9reeabq1TPlWO10nNPPpFu33C1qpN04+jpRRBZXP8WjObSe2y0tv+wANivbxGXIzOv
7GMMw1xJJbS4XH+6Rdwy7jOXXKGTZaEkzRszD32SkybS/R3c1joOP9PPLdyNajoLP9jSZYBglmQH
u18Mqi+2S3OoUBHnYtFrWjK9qesHyZ/ngPtI0jvJ96RqZbcBlO6a3wSu9hCBIMsRLoGb3nl5Nz/J
5fYCHE31MPUSHh5TeXRBGLwieGnU2Mm6uED3K158glnLzBbD3sQHXcF9YWjTtIrqbkRtwDTUG3sN
LPWWJFZj3kPMKlao2PW8MoPWNsFL5SagqMAbwAfT3r30hYvJHtsOpv+GPAM20HN2gmxkrV1VesBs
Bytt4eMMmP7BpTbMLDTPzpzXDBT9cGIOwiqtr/hjCkRxI+d5ibRYxFDMUOmtmrC6ErHTzs3Rb5Ao
90vrPj2QEsmmpG5n/vbFg/hSfKoiRnmJyqWuaQXPWlqX3vQdtTwb14UF7gFgmNQRJprQ0PcCHGF6
S2BTCbIqaVV/1zkdF8QW5JlvG6sSxX0zm6wXcuitdkdukb4vTDu8MFHQFPeBsLqvID6RwHD8ePM3
x6/pJsrWWqSoF5efNjN+kK/uPWNdQpQUFp48Bpty96I4mwpFY0CbywpAzTtfTBweHQTlqp/pQ+3x
hvkOzqOY3zj4aWx9nkenPrY6H4x3GlDrvG4Xc+gmMmsXCSctnc6+qUfl9fdWBuZtU3C7pLdsF2Ei
WgxwirVhZO5RKax/xWbolbGeRc3Qnm8vSV1zwh1U4//0V3YwZsHFVbE1HlM8azHrqqWy60aWaFoh
82HYWklFwOJHYghQocHU8sGqPRyXcJu5wYhywIJqZJK14aUOQLPn7psT2uBEDzBAdrL8wJnO8DY0
HAoAdfp71M/xLe08fftDgvPKgQ/jpLReXXxEz1mcpvGWBt4oDj8eK59ZQO5QnpkxcPLwuaZ/Dx7P
I07Y0laaHVB70ebt3uU1Ln2Pu6gNfTZGtL85r3ZX8R1wUgyfp6wZ1U4zpXP7ozVDAP8zjcelkEhc
aruwCdznysoXJVYiz68ETcSDBoaLbXdZ/gJ/QGRM0a4w4gHopVtpZjrfwU80u3MVYXHcV8Kg04Dz
lBPrxsp1dnlkJ9ld99KDt7COS9jVdgeOC7PvJ/yGjqEQeryiuA8bMkSvPF1aD36e1+4Cts6mb6FB
J2Obh63t3k2WQAVOJ2pjMvWtEcvNyqMNkDYgXZHBN5FLN6fgCe6d4D2FeYF32ZN9I3BwZkpgUYzj
uUKbN0ovP+EBRa2fSkTJHQrajPPNzd34VJkm0DugmPj3EMjmQeXjjxX/f/ukf+iTMobBevLf26T/
p3z+/Fw9/9wl/fEj/26Sun8tTBQLFMWS7UMN858maRgSaGDBoGL81kcxWDa7/54BIbWAGmEJOnJI
IWW38Z8mqWP+ZeMYoIogaphmaWT9kybpq0Juac8iUPIpWDqJ+X+9384tgS3WcQ3WMsPNV1kO4WeI
3O7hp3PyNw3NV5Xwy2EQO5amLioe49W/LtGzRbNGzcrAJk0HsGiqaeMMZnhTjcr4U6H1qvpZjoUd
n84v8Wb0MV+XA1yLnDgkJz6Ai45uTF+qK+ol50SHiiETv8KG9/svR6HxqvzBB02lT/1BqY+qZS5O
l58qEF109JvAhh7gckLyi9umvzRywAHbGMxzrMNojJ5gnjn2ziQeH5d1CdB17zejXe9bDxyKp5QL
3lGzP355jUW4b7LVFEnzc60zeWmjLtq3MXOfTHZn5AdP9rqOdX2apFXdlUUZ7UtD9o/0LetTpEgw
MuIqu46nPrt2k5z0PCep0/3UmtUxS7qJGb2uurMNd/6G92J+SgtXPjH0dmUOU7ZFHq9x8ZYm6ZtO
ccXWxl/aXc5wZ3dD9X125uZmdsb80TazfFUzH7rzQCuvrQwYIk7H8WA2cUPJ19r7UIFplO00bumB
ilXZOx0W+r65pmE5rvryf7i71uZElS36V1LznSoEQag6M1VHjRPznCTzODlfKKIMtAgoDQL++rsa
JFfQtOeM3Knq+zEJ2fTqbvqx19p7+6ot45p0tdSRcXYbQ8oFh/YAurTcREYgQ1KiGQWzeatvgxzJ
d7coDSqvMwOcn9GfyFSJX3C+NzN/jAMvpErDQQFhHH2Bn1Mr6K0XrhaTQYg8uqPMwjwfyV6EKquy
GoSvaTzApRiVTn4sTF95Ml3ZRCFDmZrzhUFRnLiH2i7IjqUUEdgVZAOexMgnz+qNq96r70FgPyKQ
AzxAE2ysEPPtRreDNEtvUE4i+24UkDv7FonHirLE3FtsXZwoESTxQFQUe86JjPJviPbBiQyK4J4c
vwSDaDOJIGlGBgld0lBAXg/mcRB4n73QmxVQaI1d+LNuXNNA/VFQ4V4AKXE0Qwz48m69DLY/kGtd
esRVdnsrIzAV2d/znj/VUaxIYlFClozoB+m5rxNtauEEf4Uik/RSLYh/i4tpOgfNkUAJCdH85dbd
6iEU+8S8RhdQ6LH12TpZjrJeFt+j7OZmiKiWuayi3qnu928sxrX4vvvNpBLqWFhwZkgrwxtupSAf
oUA9spaiPNXItAgoyFVyAzU+FKN5gpp3umwsbDitLDw8+Fu1UnUMT3SBGrz6+skC+XGr49Kn5VnW
GyIvXB9TG19PrimbO9VHYoNFb+PkAdhzLZaSO18Jt69JjmrOGFntdYVivA/EREYAf5skT2stkRAi
ZDyt1yZSmGnbv6Q0Vu/BciqX0G/Te8Tbby8zU8+ew9BMR27P3EyKoP8YZgi+V5GO9oqgXMgGMlt3
4xWzUCe+MrQ2aRqNdcTSLBDGbiAmHIE3CyhT3cDXLnUFmZpGxXKtb28NKKTy6RK39CLAEWYtyyjG
J7nb7z7NECMBggbnKBcdgWTBabGhi6/9eGG4CWKvFzkCucGWJ94lKsSD30a8KtLCQgpONJwnZH1o
JkYYfs42W33wVy71XWMyKHxFmwYGYrrBqEuFMaEQ8677QzdI9IkLcth92vganlRXZOPew32GlGJR
EIcZdA3wz6vDFZhs78a0pA3qNFMr016UlZfGi6GMevAeopxzU/m+SDMJlThZrMh8kHsYKA9KNuka
hXncNH72UYcHsbc9k/ovCEP2n80NtBexzNTQUTBARgYZmc0GViHFI0tVLIhVU1291vJNJA+z7SZD
RVgJdZK1RFWvM8VaI1wj166UQJIHwxzJnIoxUqhBUOFF8K7QNfv1wNKt56JAbTddCRGiHfbC1aTv
g0mOljnem/bDYuynSxSDoHJ4TXKwEAmSq4WjYG3hNCYZ8J6v+30cVAdQB0x6CCZC+hqCgL2VmYxQ
RMEAuYhYNYyAZf5dujvXiRQ+b6lsLYZaKKWrMeQLwWOu9ldOHy6pWzSEuBNUTI5uVoWJW2qqo5ju
ZVxk0dSQl+bDUiO6jaoMaJ8K5Q2EK4PgUcr8gY+wEAQQjuCwwN80aAN/Kka8/K5CSvBl6UOXNDa2
QfSMoAHw0xTJj3pYPHw9xXe7Y+H+b06BOyAsVveyDPJ9TJ24eHIoStPTT39UstyRR5bz8s/Eof/m
gfcNXFQhxdP5xw+syEjjQXbArN5dPcR+/mTPkXNsTGgSk1nyB2v23h/Ln10nKhu6+/cdssO2N95V
o6p/eUWc2EbaAEQtJSQpds28twPn44f3T67vh0e/nYNPGKZ+60Tchw/qvwg/fmjg3ztuce3C3xKF
TcNmH2ex8w37dkhtWltiwwjtIk5x51oe2UvyExoq0mg1gr2ghzzbNnwhsT2Pakus1SBfcBw+33IY
OrOEzNKkNlYax3Wk/pnNyl8bxbGztDM7dmpLzDLyDnbQ2fXndBH9vEAwQxq8Nrsdyu4OZiFSbcRk
3hhPlFJguXXP7fbPTgSnY9NyRcWfa/kKPU5I3cJyesNp38FMmc5trzEBe7hL4r58boOnULCFqE5c
WyqbDBlvB/NvGs6J3VpFWHaG+lW/PrOnUdYcPGTpw7393L64OVyb9B5zgp9tGAbSmV/UlspOxlmk
g4/kNkoJPehmpsKoX/br3Xxnk7CxerAMjh20+c6Oi6UdzusWsu5AMekuhvDOptSeeSl1IIht2tf6
XXQJmb2r1T9zM78j2AtolDRmttKDK7nGccZIEorwSEpQvKA2VnY6I3LqX5xnHSnG26Y7aTgSlbbW
EEh+DPP8Rt87r7HdOj3BXcbiJ8793O+djd3ct0DYqR0cn+6d7OLKDlbUI81tvSQEu2h4dnHtxNQp
alvlLIGmpYPVlTX+zsnJrLGNIa9EFzs6M/6CcONWu/UOFm9QO4l3MbLjCDtl8+NEDZTOXjC2/fa3
r+pMTXLubHxAEaTaSjmccNd2sIg/+EucSJr+eAXZXjtYZB9ix42a4VB9pMmpQfz6QvXFCUNU89rY
rWsC8pErHbT7yYvmzsWUHuxtA50luDp3IJ+j9J2JqGKX6GBIqxccTkRmvoPz4Ff0vkOp0zhSqKqs
dLAyfnXy5q1SRaM7sPstsb165NjHA45I6eA0z0nBfeYp4jsnV9qZpn/Y2HdCN2l+mojkZaXFz53c
PxyaXBxtPGJWO5h8PwidIZCBNJYVaFlYJraz215E8DG5taFynkCUeXLPPOZp+tRwSV2yIWv6zk4+
8OZ9+4K7f5gcMXH6idqrdcTErrcYyBZjW76J6/nir9x7L6utVPsVhgjusF1v7T3V7phdLoD3YP9T
UOyK8+Z+Ow5q79woBKbKbcID1XK2CIGqctnwULUcPUKgqvxFPFRNJ5MQoCpnFQ9Uw8ElBqbSS8bF
1HKuCQKLuei4sJqOPTFQlR5CLqo9p6IQkCrfJA9S06EpBqjSK8oFhUPNvjNVCFiVQ5YH68CRKwYu
dsniwfqzSSWKAYoRknxQTRpTDFSl754Hq+HvFwHTjjTgY2pyDWLAKrkKPqwjPIcQ2FrZkI7cr9r5
kMSAVfI03CFr8zti4CoZIj6uA25JEGSMoDqFbJ/XEgNWyY5xYTU5NSFQVcQcD1WbzxMCVkUL8mHt
c4mCgGJBFHxQR3hMMbCVVOgpbE0OVRBgjIY9BazJ3woCjDGHp4Dtc8diwEIh1ROwSt76z8CB8NWu
uYkKG5iQBNIeVgP2rWP2/Or73ndWJLLyh/8m/zuC3Bmp/tauIwfE44y8GMNWUvqnwTVJWCGgVbIC
HrR9JYIgkJicgQuppYIQA1ZFqFV02ZHv61tIEmd+8ZzYiUPbK0caJkzn7xJGA791zTurB7IE7Jap
37V6VEKRt3YdQddUlwgxYJU8hQfqyxFlixDQKmkMD9oxVY0I0HaiHB6044oeUcBBlXEanHgb2U6R
xIN2oGQSYsgqRRQf156KSghMlRyLh2lfwSUEJDjcTtzEWuoxMVA1a3we2Zfb4i8xYJXiN978O1TN
CQGsUt1xgR1T7ImBrVT9cbG11YJi4Co1h1xcTaWiEKjeHBDv3leaV5QV5NdO5dn4TZeOKsqU1++H
0akidH0V48rF1YqMFQJVGVzLR3UQlSsCsCq2lwesHRH8P0Z16vODDpk9Mls6dvzpPwAAAP//</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chartData>
  <cx:chart>
    <cx:title pos="t" align="ctr" overlay="0">
      <cx:tx>
        <cx:txData>
          <cx:v>Estimated Energy Consumption per KG ceria processed</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Estimated Energy Consumption per KG ceria processed</a:t>
          </a:r>
        </a:p>
      </cx:txPr>
    </cx:title>
    <cx:plotArea>
      <cx:plotAreaRegion>
        <cx:series layoutId="boxWhisker" uniqueId="{58269058-C73A-534E-A4BF-0C496C8E9107}" formatIdx="2">
          <cx:tx>
            <cx:txData>
              <cx:f>_xlchart.v1.4</cx:f>
              <cx:v>Power/Kg (based on 40% Useful Volume)</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 id="17">
  <a:schemeClr val="accent4"/>
</cs:colorStyle>
</file>

<file path=xl/charts/colors15.xml><?xml version="1.0" encoding="utf-8"?>
<cs:colorStyle xmlns:cs="http://schemas.microsoft.com/office/drawing/2012/chartStyle" xmlns:a="http://schemas.openxmlformats.org/drawingml/2006/main" meth="withinLinear" id="15">
  <a:schemeClr val="accent2"/>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hyperlink" Target="#'State Output emission'!A1"/><Relationship Id="rId2" Type="http://schemas.openxmlformats.org/officeDocument/2006/relationships/image" Target="../media/image4.png"/><Relationship Id="rId1" Type="http://schemas.openxmlformats.org/officeDocument/2006/relationships/image" Target="../media/image3.emf"/><Relationship Id="rId6" Type="http://schemas.openxmlformats.org/officeDocument/2006/relationships/hyperlink" Target="#'Precursors Chemicals'!A1"/><Relationship Id="rId5" Type="http://schemas.openxmlformats.org/officeDocument/2006/relationships/hyperlink" Target="#'Process Overview'!A1"/><Relationship Id="rId4" Type="http://schemas.openxmlformats.org/officeDocument/2006/relationships/hyperlink" Target="#'Process Steps 1'!A1"/></Relationships>
</file>

<file path=xl/drawings/_rels/drawing4.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8" Type="http://schemas.openxmlformats.org/officeDocument/2006/relationships/chart" Target="../charts/chart2.xml"/><Relationship Id="rId3" Type="http://schemas.openxmlformats.org/officeDocument/2006/relationships/hyperlink" Target="#'Input(Please create a copy)'!Z20"/><Relationship Id="rId7" Type="http://schemas.openxmlformats.org/officeDocument/2006/relationships/hyperlink" Target="#'Input(Please create a copy)'!A1"/><Relationship Id="rId2" Type="http://schemas.openxmlformats.org/officeDocument/2006/relationships/hyperlink" Target="#Start!A1"/><Relationship Id="rId1" Type="http://schemas.openxmlformats.org/officeDocument/2006/relationships/image" Target="../media/image4.png"/><Relationship Id="rId6" Type="http://schemas.openxmlformats.org/officeDocument/2006/relationships/hyperlink" Target="#'State Output emission'!B93"/><Relationship Id="rId5" Type="http://schemas.openxmlformats.org/officeDocument/2006/relationships/hyperlink" Target="#'Input Sheet'!A21:G50"/><Relationship Id="rId10" Type="http://schemas.openxmlformats.org/officeDocument/2006/relationships/image" Target="../media/image5.png"/><Relationship Id="rId4" Type="http://schemas.openxmlformats.org/officeDocument/2006/relationships/hyperlink" Target="#'Precursors Chemicals'!A1"/><Relationship Id="rId9" Type="http://schemas.openxmlformats.org/officeDocument/2006/relationships/chart" Target="../charts/chart3.xml"/></Relationships>
</file>

<file path=xl/drawings/_rels/drawing6.xml.rels><?xml version="1.0" encoding="UTF-8" standalone="yes"?>
<Relationships xmlns="http://schemas.openxmlformats.org/package/2006/relationships"><Relationship Id="rId8" Type="http://schemas.openxmlformats.org/officeDocument/2006/relationships/chart" Target="../charts/chart4.xml"/><Relationship Id="rId3" Type="http://schemas.openxmlformats.org/officeDocument/2006/relationships/hyperlink" Target="#'Input(Please create a copy)'!Z20"/><Relationship Id="rId7" Type="http://schemas.openxmlformats.org/officeDocument/2006/relationships/hyperlink" Target="#'Input(Please create a copy)'!A1"/><Relationship Id="rId2" Type="http://schemas.openxmlformats.org/officeDocument/2006/relationships/hyperlink" Target="#Start!A1"/><Relationship Id="rId1" Type="http://schemas.openxmlformats.org/officeDocument/2006/relationships/image" Target="../media/image4.png"/><Relationship Id="rId6" Type="http://schemas.openxmlformats.org/officeDocument/2006/relationships/hyperlink" Target="#'State Output emission'!B93"/><Relationship Id="rId5" Type="http://schemas.openxmlformats.org/officeDocument/2006/relationships/hyperlink" Target="#'Input Sheet'!A21:G50"/><Relationship Id="rId10" Type="http://schemas.openxmlformats.org/officeDocument/2006/relationships/image" Target="../media/image5.png"/><Relationship Id="rId4" Type="http://schemas.openxmlformats.org/officeDocument/2006/relationships/hyperlink" Target="#'Precursors Chemicals'!A1"/><Relationship Id="rId9" Type="http://schemas.openxmlformats.org/officeDocument/2006/relationships/chart" Target="../charts/chart5.xml"/></Relationships>
</file>

<file path=xl/drawings/_rels/drawing7.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hyperlink" Target="#'Input(Please create a copy)'!Z20"/><Relationship Id="rId7" Type="http://schemas.openxmlformats.org/officeDocument/2006/relationships/hyperlink" Target="#'Input(Please create a copy)'!A1"/><Relationship Id="rId2" Type="http://schemas.openxmlformats.org/officeDocument/2006/relationships/hyperlink" Target="#Start!A1"/><Relationship Id="rId1" Type="http://schemas.openxmlformats.org/officeDocument/2006/relationships/image" Target="../media/image4.png"/><Relationship Id="rId6" Type="http://schemas.openxmlformats.org/officeDocument/2006/relationships/hyperlink" Target="#'State Output emission'!B93"/><Relationship Id="rId5" Type="http://schemas.openxmlformats.org/officeDocument/2006/relationships/hyperlink" Target="#'Input Sheet'!A21:G50"/><Relationship Id="rId10" Type="http://schemas.openxmlformats.org/officeDocument/2006/relationships/image" Target="../media/image5.png"/><Relationship Id="rId4" Type="http://schemas.openxmlformats.org/officeDocument/2006/relationships/hyperlink" Target="#'Precursors Chemicals'!A1"/><Relationship Id="rId9"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hyperlink" Target="#'Input(Please create a copy)'!Z20"/><Relationship Id="rId7" Type="http://schemas.openxmlformats.org/officeDocument/2006/relationships/hyperlink" Target="#'Input(Please create a copy)'!A1"/><Relationship Id="rId2" Type="http://schemas.openxmlformats.org/officeDocument/2006/relationships/hyperlink" Target="#Start!A1"/><Relationship Id="rId1" Type="http://schemas.openxmlformats.org/officeDocument/2006/relationships/image" Target="../media/image4.png"/><Relationship Id="rId6" Type="http://schemas.openxmlformats.org/officeDocument/2006/relationships/hyperlink" Target="#'State Output emission'!B93"/><Relationship Id="rId5" Type="http://schemas.openxmlformats.org/officeDocument/2006/relationships/hyperlink" Target="#'Input Sheet'!A21:G50"/><Relationship Id="rId10" Type="http://schemas.openxmlformats.org/officeDocument/2006/relationships/image" Target="../media/image5.png"/><Relationship Id="rId4" Type="http://schemas.openxmlformats.org/officeDocument/2006/relationships/hyperlink" Target="#'Precursors Chemicals'!A1"/><Relationship Id="rId9" Type="http://schemas.openxmlformats.org/officeDocument/2006/relationships/chart" Target="../charts/chart9.xml"/></Relationships>
</file>

<file path=xl/drawings/_rels/drawing9.xml.rels><?xml version="1.0" encoding="UTF-8" standalone="yes"?>
<Relationships xmlns="http://schemas.openxmlformats.org/package/2006/relationships"><Relationship Id="rId8" Type="http://schemas.openxmlformats.org/officeDocument/2006/relationships/chart" Target="../charts/chart10.xml"/><Relationship Id="rId3" Type="http://schemas.openxmlformats.org/officeDocument/2006/relationships/hyperlink" Target="#'Input(Please create a copy)'!Z20"/><Relationship Id="rId7" Type="http://schemas.openxmlformats.org/officeDocument/2006/relationships/hyperlink" Target="#'Input(Please create a copy)'!A1"/><Relationship Id="rId2" Type="http://schemas.openxmlformats.org/officeDocument/2006/relationships/hyperlink" Target="#Start!A1"/><Relationship Id="rId1" Type="http://schemas.openxmlformats.org/officeDocument/2006/relationships/image" Target="../media/image4.png"/><Relationship Id="rId6" Type="http://schemas.openxmlformats.org/officeDocument/2006/relationships/hyperlink" Target="#'State Output emission'!B93"/><Relationship Id="rId5" Type="http://schemas.openxmlformats.org/officeDocument/2006/relationships/hyperlink" Target="#'Input Sheet'!A21:G50"/><Relationship Id="rId10" Type="http://schemas.openxmlformats.org/officeDocument/2006/relationships/image" Target="../media/image5.png"/><Relationship Id="rId4" Type="http://schemas.openxmlformats.org/officeDocument/2006/relationships/hyperlink" Target="#'Precursors Chemicals'!A1"/><Relationship Id="rId9" Type="http://schemas.openxmlformats.org/officeDocument/2006/relationships/chart" Target="../charts/chart11.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12.xml"/><Relationship Id="rId3" Type="http://schemas.openxmlformats.org/officeDocument/2006/relationships/hyperlink" Target="#'Input(Please create a copy)'!Z20"/><Relationship Id="rId7" Type="http://schemas.openxmlformats.org/officeDocument/2006/relationships/hyperlink" Target="#'Input(Please create a copy)'!A1"/><Relationship Id="rId2" Type="http://schemas.openxmlformats.org/officeDocument/2006/relationships/hyperlink" Target="#Start!A1"/><Relationship Id="rId1" Type="http://schemas.openxmlformats.org/officeDocument/2006/relationships/image" Target="../media/image4.png"/><Relationship Id="rId6" Type="http://schemas.openxmlformats.org/officeDocument/2006/relationships/hyperlink" Target="#'State Output emission'!B93"/><Relationship Id="rId5" Type="http://schemas.openxmlformats.org/officeDocument/2006/relationships/hyperlink" Target="#'Input Sheet'!A21:G50"/><Relationship Id="rId10" Type="http://schemas.openxmlformats.org/officeDocument/2006/relationships/image" Target="../media/image5.png"/><Relationship Id="rId4" Type="http://schemas.openxmlformats.org/officeDocument/2006/relationships/hyperlink" Target="#'Precursors Chemicals'!A1"/><Relationship Id="rId9" Type="http://schemas.openxmlformats.org/officeDocument/2006/relationships/chart" Target="../charts/chart13.xml"/></Relationships>
</file>

<file path=xl/drawings/_rels/drawing12.xml.rels><?xml version="1.0" encoding="UTF-8" standalone="yes"?>
<Relationships xmlns="http://schemas.openxmlformats.org/package/2006/relationships"><Relationship Id="rId8" Type="http://schemas.openxmlformats.org/officeDocument/2006/relationships/image" Target="../media/image7.svg"/><Relationship Id="rId3" Type="http://schemas.openxmlformats.org/officeDocument/2006/relationships/hyperlink" Target="#GHGs!A1"/><Relationship Id="rId7" Type="http://schemas.openxmlformats.org/officeDocument/2006/relationships/image" Target="../media/image6.png"/><Relationship Id="rId2" Type="http://schemas.openxmlformats.org/officeDocument/2006/relationships/hyperlink" Target="#Solvents!A1"/><Relationship Id="rId1" Type="http://schemas.openxmlformats.org/officeDocument/2006/relationships/hyperlink" Target="#'State Output emission'!A1"/><Relationship Id="rId6" Type="http://schemas.openxmlformats.org/officeDocument/2006/relationships/hyperlink" Target="#All_Process_time!A1"/><Relationship Id="rId5" Type="http://schemas.openxmlformats.org/officeDocument/2006/relationships/hyperlink" Target="#'Precursors Chemicals'!A1"/><Relationship Id="rId4" Type="http://schemas.openxmlformats.org/officeDocument/2006/relationships/hyperlink" Target="#All_Equipment!A1"/></Relationships>
</file>

<file path=xl/drawings/_rels/drawing1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hyperlink" Target="https://www.epa.gov/egrid" TargetMode="External"/><Relationship Id="rId1" Type="http://schemas.microsoft.com/office/2014/relationships/chartEx" Target="../charts/chartEx1.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5.xml.rels><?xml version="1.0" encoding="UTF-8" standalone="yes"?>
<Relationships xmlns="http://schemas.openxmlformats.org/package/2006/relationships"><Relationship Id="rId1" Type="http://schemas.openxmlformats.org/officeDocument/2006/relationships/image" Target="../media/image4.png"/></Relationships>
</file>

<file path=xl/drawings/_rels/drawing16.xml.rels><?xml version="1.0" encoding="UTF-8" standalone="yes"?>
<Relationships xmlns="http://schemas.openxmlformats.org/package/2006/relationships"><Relationship Id="rId1" Type="http://schemas.openxmlformats.org/officeDocument/2006/relationships/image" Target="../media/image4.png"/></Relationships>
</file>

<file path=xl/drawings/_rels/drawing17.xml.rels><?xml version="1.0" encoding="UTF-8" standalone="yes"?>
<Relationships xmlns="http://schemas.openxmlformats.org/package/2006/relationships"><Relationship Id="rId2" Type="http://schemas.microsoft.com/office/2014/relationships/chartEx" Target="../charts/chartEx2.xml"/><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xdr:col>
      <xdr:colOff>198419</xdr:colOff>
      <xdr:row>1</xdr:row>
      <xdr:rowOff>2878034</xdr:rowOff>
    </xdr:from>
    <xdr:to>
      <xdr:col>1</xdr:col>
      <xdr:colOff>2483463</xdr:colOff>
      <xdr:row>1</xdr:row>
      <xdr:rowOff>4990689</xdr:rowOff>
    </xdr:to>
    <xdr:pic>
      <xdr:nvPicPr>
        <xdr:cNvPr id="4" name="!!golden-white-logo" descr="A logo of a university&#10;&#10;Description automatically generated">
          <a:extLst>
            <a:ext uri="{FF2B5EF4-FFF2-40B4-BE49-F238E27FC236}">
              <a16:creationId xmlns:a16="http://schemas.microsoft.com/office/drawing/2014/main" id="{BFD26C72-BC6C-C56F-BD8D-226A33C216F6}"/>
            </a:ext>
          </a:extLst>
        </xdr:cNvPr>
        <xdr:cNvPicPr>
          <a:picLocks noChangeAspect="1"/>
        </xdr:cNvPicPr>
      </xdr:nvPicPr>
      <xdr:blipFill>
        <a:blip xmlns:r="http://schemas.openxmlformats.org/officeDocument/2006/relationships" r:embed="rId1"/>
        <a:stretch>
          <a:fillRect/>
        </a:stretch>
      </xdr:blipFill>
      <xdr:spPr>
        <a:xfrm>
          <a:off x="579419" y="6992834"/>
          <a:ext cx="2285044" cy="2112655"/>
        </a:xfrm>
        <a:prstGeom prst="rect">
          <a:avLst/>
        </a:prstGeom>
      </xdr:spPr>
    </xdr:pic>
    <xdr:clientData/>
  </xdr:twoCellAnchor>
  <xdr:twoCellAnchor editAs="oneCell">
    <xdr:from>
      <xdr:col>1</xdr:col>
      <xdr:colOff>11612091</xdr:colOff>
      <xdr:row>1</xdr:row>
      <xdr:rowOff>3530600</xdr:rowOff>
    </xdr:from>
    <xdr:to>
      <xdr:col>1</xdr:col>
      <xdr:colOff>17794727</xdr:colOff>
      <xdr:row>1</xdr:row>
      <xdr:rowOff>4989395</xdr:rowOff>
    </xdr:to>
    <xdr:pic>
      <xdr:nvPicPr>
        <xdr:cNvPr id="2" name="Picture 1">
          <a:extLst>
            <a:ext uri="{FF2B5EF4-FFF2-40B4-BE49-F238E27FC236}">
              <a16:creationId xmlns:a16="http://schemas.microsoft.com/office/drawing/2014/main" id="{48E24534-852F-691A-C033-D35F0163CA4E}"/>
            </a:ext>
          </a:extLst>
        </xdr:cNvPr>
        <xdr:cNvPicPr>
          <a:picLocks noChangeAspect="1"/>
        </xdr:cNvPicPr>
      </xdr:nvPicPr>
      <xdr:blipFill rotWithShape="1">
        <a:blip xmlns:r="http://schemas.openxmlformats.org/officeDocument/2006/relationships" r:embed="rId2"/>
        <a:srcRect t="33038" r="1689" b="28326"/>
        <a:stretch/>
      </xdr:blipFill>
      <xdr:spPr>
        <a:xfrm>
          <a:off x="11993091" y="7645400"/>
          <a:ext cx="6182636" cy="145879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455971</xdr:colOff>
      <xdr:row>7</xdr:row>
      <xdr:rowOff>35088</xdr:rowOff>
    </xdr:from>
    <xdr:to>
      <xdr:col>15</xdr:col>
      <xdr:colOff>520701</xdr:colOff>
      <xdr:row>32</xdr:row>
      <xdr:rowOff>141756</xdr:rowOff>
    </xdr:to>
    <xdr:pic>
      <xdr:nvPicPr>
        <xdr:cNvPr id="6" name="Overall framework">
          <a:extLst>
            <a:ext uri="{FF2B5EF4-FFF2-40B4-BE49-F238E27FC236}">
              <a16:creationId xmlns:a16="http://schemas.microsoft.com/office/drawing/2014/main" id="{FED780C3-5B6C-EB81-4997-48FF9C1C6C17}"/>
            </a:ext>
          </a:extLst>
        </xdr:cNvPr>
        <xdr:cNvPicPr>
          <a:picLocks noChangeAspect="1"/>
        </xdr:cNvPicPr>
      </xdr:nvPicPr>
      <xdr:blipFill>
        <a:blip xmlns:r="http://schemas.openxmlformats.org/officeDocument/2006/relationships" r:embed="rId1"/>
        <a:stretch>
          <a:fillRect/>
        </a:stretch>
      </xdr:blipFill>
      <xdr:spPr>
        <a:xfrm>
          <a:off x="3757971" y="1457488"/>
          <a:ext cx="9145230" cy="5186668"/>
        </a:xfrm>
        <a:prstGeom prst="rect">
          <a:avLst/>
        </a:prstGeom>
        <a:ln>
          <a:noFill/>
        </a:ln>
        <a:effectLst>
          <a:outerShdw blurRad="292100" dist="139700" dir="2700000" algn="tl" rotWithShape="0">
            <a:srgbClr val="333333">
              <a:alpha val="65000"/>
            </a:srgbClr>
          </a:outerShdw>
        </a:effectLst>
      </xdr:spPr>
    </xdr:pic>
    <xdr:clientData/>
  </xdr:twoCellAnchor>
  <xdr:twoCellAnchor>
    <xdr:from>
      <xdr:col>0</xdr:col>
      <xdr:colOff>272198</xdr:colOff>
      <xdr:row>0</xdr:row>
      <xdr:rowOff>78056</xdr:rowOff>
    </xdr:from>
    <xdr:to>
      <xdr:col>22</xdr:col>
      <xdr:colOff>25400</xdr:colOff>
      <xdr:row>6</xdr:row>
      <xdr:rowOff>101599</xdr:rowOff>
    </xdr:to>
    <xdr:sp macro="" textlink="">
      <xdr:nvSpPr>
        <xdr:cNvPr id="2" name="Title">
          <a:extLst>
            <a:ext uri="{FF2B5EF4-FFF2-40B4-BE49-F238E27FC236}">
              <a16:creationId xmlns:a16="http://schemas.microsoft.com/office/drawing/2014/main" id="{A14EE54D-5900-B6CD-8536-8C0968953D2E}"/>
            </a:ext>
          </a:extLst>
        </xdr:cNvPr>
        <xdr:cNvSpPr/>
      </xdr:nvSpPr>
      <xdr:spPr>
        <a:xfrm>
          <a:off x="272198" y="78056"/>
          <a:ext cx="17914202" cy="1242743"/>
        </a:xfrm>
        <a:prstGeom prst="rect">
          <a:avLst/>
        </a:prstGeom>
        <a:solidFill>
          <a:srgbClr val="004F4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4000"/>
        </a:p>
      </xdr:txBody>
    </xdr:sp>
    <xdr:clientData/>
  </xdr:twoCellAnchor>
  <xdr:twoCellAnchor>
    <xdr:from>
      <xdr:col>0</xdr:col>
      <xdr:colOff>0</xdr:colOff>
      <xdr:row>0</xdr:row>
      <xdr:rowOff>78054</xdr:rowOff>
    </xdr:from>
    <xdr:to>
      <xdr:col>0</xdr:col>
      <xdr:colOff>304800</xdr:colOff>
      <xdr:row>6</xdr:row>
      <xdr:rowOff>88899</xdr:rowOff>
    </xdr:to>
    <xdr:sp macro="" textlink="">
      <xdr:nvSpPr>
        <xdr:cNvPr id="3" name="_Yellow">
          <a:extLst>
            <a:ext uri="{FF2B5EF4-FFF2-40B4-BE49-F238E27FC236}">
              <a16:creationId xmlns:a16="http://schemas.microsoft.com/office/drawing/2014/main" id="{5E3B340F-AAA5-0733-014B-018E2B63E5F6}"/>
            </a:ext>
          </a:extLst>
        </xdr:cNvPr>
        <xdr:cNvSpPr/>
      </xdr:nvSpPr>
      <xdr:spPr>
        <a:xfrm>
          <a:off x="0" y="78054"/>
          <a:ext cx="304800" cy="1230045"/>
        </a:xfrm>
        <a:prstGeom prst="rect">
          <a:avLst/>
        </a:prstGeom>
        <a:solidFill>
          <a:srgbClr val="FFCD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editAs="oneCell">
    <xdr:from>
      <xdr:col>20</xdr:col>
      <xdr:colOff>173651</xdr:colOff>
      <xdr:row>0</xdr:row>
      <xdr:rowOff>127000</xdr:rowOff>
    </xdr:from>
    <xdr:to>
      <xdr:col>21</xdr:col>
      <xdr:colOff>605225</xdr:colOff>
      <xdr:row>6</xdr:row>
      <xdr:rowOff>76200</xdr:rowOff>
    </xdr:to>
    <xdr:pic>
      <xdr:nvPicPr>
        <xdr:cNvPr id="4" name="Clarkson Logo" descr="A logo with white text and black background&#10;&#10;Description automatically generated">
          <a:extLst>
            <a:ext uri="{FF2B5EF4-FFF2-40B4-BE49-F238E27FC236}">
              <a16:creationId xmlns:a16="http://schemas.microsoft.com/office/drawing/2014/main" id="{7FD3B609-39BD-F6F2-C45F-907B60624594}"/>
            </a:ext>
          </a:extLst>
        </xdr:cNvPr>
        <xdr:cNvPicPr>
          <a:picLocks noChangeAspect="1"/>
        </xdr:cNvPicPr>
      </xdr:nvPicPr>
      <xdr:blipFill>
        <a:blip xmlns:r="http://schemas.openxmlformats.org/officeDocument/2006/relationships" r:embed="rId2">
          <a:alphaModFix amt="50000"/>
        </a:blip>
        <a:stretch>
          <a:fillRect/>
        </a:stretch>
      </xdr:blipFill>
      <xdr:spPr>
        <a:xfrm>
          <a:off x="16683651" y="127000"/>
          <a:ext cx="1257074" cy="1168400"/>
        </a:xfrm>
        <a:prstGeom prst="rect">
          <a:avLst/>
        </a:prstGeom>
      </xdr:spPr>
    </xdr:pic>
    <xdr:clientData/>
  </xdr:twoCellAnchor>
  <xdr:twoCellAnchor>
    <xdr:from>
      <xdr:col>0</xdr:col>
      <xdr:colOff>490909</xdr:colOff>
      <xdr:row>1</xdr:row>
      <xdr:rowOff>64576</xdr:rowOff>
    </xdr:from>
    <xdr:to>
      <xdr:col>13</xdr:col>
      <xdr:colOff>46061</xdr:colOff>
      <xdr:row>4</xdr:row>
      <xdr:rowOff>196141</xdr:rowOff>
    </xdr:to>
    <xdr:sp macro="" textlink="">
      <xdr:nvSpPr>
        <xdr:cNvPr id="5" name="CO2 eq Framework">
          <a:extLst>
            <a:ext uri="{FF2B5EF4-FFF2-40B4-BE49-F238E27FC236}">
              <a16:creationId xmlns:a16="http://schemas.microsoft.com/office/drawing/2014/main" id="{BD57FF6E-FF84-E714-6B9B-8A4C8AD70C35}"/>
            </a:ext>
          </a:extLst>
        </xdr:cNvPr>
        <xdr:cNvSpPr txBox="1"/>
      </xdr:nvSpPr>
      <xdr:spPr>
        <a:xfrm>
          <a:off x="490909" y="267776"/>
          <a:ext cx="10286652" cy="74116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4400">
              <a:solidFill>
                <a:schemeClr val="bg1"/>
              </a:solidFill>
              <a:latin typeface="Arial" panose="020B0604020202020204" pitchFamily="34" charset="0"/>
              <a:cs typeface="Arial" panose="020B0604020202020204" pitchFamily="34" charset="0"/>
            </a:rPr>
            <a:t>Carbon Dioxide</a:t>
          </a:r>
          <a:r>
            <a:rPr lang="en-US" sz="4400" baseline="0">
              <a:solidFill>
                <a:schemeClr val="bg1"/>
              </a:solidFill>
              <a:latin typeface="Arial" panose="020B0604020202020204" pitchFamily="34" charset="0"/>
              <a:cs typeface="Arial" panose="020B0604020202020204" pitchFamily="34" charset="0"/>
            </a:rPr>
            <a:t> </a:t>
          </a:r>
          <a:r>
            <a:rPr lang="en-US" sz="4400">
              <a:solidFill>
                <a:schemeClr val="bg1"/>
              </a:solidFill>
              <a:latin typeface="Arial" panose="020B0604020202020204" pitchFamily="34" charset="0"/>
              <a:cs typeface="Arial" panose="020B0604020202020204" pitchFamily="34" charset="0"/>
            </a:rPr>
            <a:t>(CO</a:t>
          </a:r>
          <a:r>
            <a:rPr lang="en-US" sz="4400" baseline="-25000">
              <a:solidFill>
                <a:schemeClr val="bg1"/>
              </a:solidFill>
              <a:latin typeface="Arial" panose="020B0604020202020204" pitchFamily="34" charset="0"/>
              <a:cs typeface="Arial" panose="020B0604020202020204" pitchFamily="34" charset="0"/>
            </a:rPr>
            <a:t>2</a:t>
          </a:r>
          <a:r>
            <a:rPr lang="en-US" sz="4400">
              <a:solidFill>
                <a:schemeClr val="bg1"/>
              </a:solidFill>
              <a:latin typeface="Arial" panose="020B0604020202020204" pitchFamily="34" charset="0"/>
              <a:cs typeface="Arial" panose="020B0604020202020204" pitchFamily="34" charset="0"/>
            </a:rPr>
            <a:t>e) Framework</a:t>
          </a:r>
        </a:p>
      </xdr:txBody>
    </xdr:sp>
    <xdr:clientData/>
  </xdr:twoCellAnchor>
  <xdr:twoCellAnchor editAs="oneCell">
    <xdr:from>
      <xdr:col>4</xdr:col>
      <xdr:colOff>644620</xdr:colOff>
      <xdr:row>17</xdr:row>
      <xdr:rowOff>125075</xdr:rowOff>
    </xdr:from>
    <xdr:to>
      <xdr:col>5</xdr:col>
      <xdr:colOff>634999</xdr:colOff>
      <xdr:row>23</xdr:row>
      <xdr:rowOff>127000</xdr:rowOff>
    </xdr:to>
    <xdr:pic>
      <xdr:nvPicPr>
        <xdr:cNvPr id="7" name="Grid and Electricity">
          <a:hlinkClick xmlns:r="http://schemas.openxmlformats.org/officeDocument/2006/relationships" r:id="rId3"/>
          <a:extLst>
            <a:ext uri="{FF2B5EF4-FFF2-40B4-BE49-F238E27FC236}">
              <a16:creationId xmlns:a16="http://schemas.microsoft.com/office/drawing/2014/main" id="{88FAE24A-D461-91AD-52CC-E0DA3370C8D7}"/>
            </a:ext>
          </a:extLst>
        </xdr:cNvPr>
        <xdr:cNvPicPr>
          <a:picLocks noChangeAspect="1"/>
        </xdr:cNvPicPr>
      </xdr:nvPicPr>
      <xdr:blipFill rotWithShape="1">
        <a:blip xmlns:r="http://schemas.openxmlformats.org/officeDocument/2006/relationships" r:embed="rId1"/>
        <a:srcRect l="2187" t="40605" r="88890" b="35848"/>
        <a:stretch/>
      </xdr:blipFill>
      <xdr:spPr>
        <a:xfrm>
          <a:off x="3954317" y="3559848"/>
          <a:ext cx="817803" cy="1214197"/>
        </a:xfrm>
        <a:prstGeom prst="rect">
          <a:avLst/>
        </a:prstGeom>
        <a:ln w="19050">
          <a:solidFill>
            <a:schemeClr val="accent3">
              <a:lumMod val="60000"/>
              <a:lumOff val="40000"/>
            </a:schemeClr>
          </a:solidFill>
        </a:ln>
      </xdr:spPr>
    </xdr:pic>
    <xdr:clientData/>
  </xdr:twoCellAnchor>
  <xdr:twoCellAnchor editAs="oneCell">
    <xdr:from>
      <xdr:col>6</xdr:col>
      <xdr:colOff>145089</xdr:colOff>
      <xdr:row>7</xdr:row>
      <xdr:rowOff>76971</xdr:rowOff>
    </xdr:from>
    <xdr:to>
      <xdr:col>7</xdr:col>
      <xdr:colOff>567652</xdr:colOff>
      <xdr:row>13</xdr:row>
      <xdr:rowOff>144319</xdr:rowOff>
    </xdr:to>
    <xdr:pic>
      <xdr:nvPicPr>
        <xdr:cNvPr id="8" name="Process Steps">
          <a:hlinkClick xmlns:r="http://schemas.openxmlformats.org/officeDocument/2006/relationships" r:id="rId4" tooltip="Chick here view Process Steps extracted from Literature"/>
          <a:extLst>
            <a:ext uri="{FF2B5EF4-FFF2-40B4-BE49-F238E27FC236}">
              <a16:creationId xmlns:a16="http://schemas.microsoft.com/office/drawing/2014/main" id="{DADB86D7-9AB9-9AA6-DC4E-D8199F622468}"/>
            </a:ext>
          </a:extLst>
        </xdr:cNvPr>
        <xdr:cNvPicPr>
          <a:picLocks noChangeAspect="1"/>
        </xdr:cNvPicPr>
      </xdr:nvPicPr>
      <xdr:blipFill rotWithShape="1">
        <a:blip xmlns:r="http://schemas.openxmlformats.org/officeDocument/2006/relationships" r:embed="rId1"/>
        <a:srcRect l="14163" t="-404" r="72198" b="75589"/>
        <a:stretch/>
      </xdr:blipFill>
      <xdr:spPr>
        <a:xfrm>
          <a:off x="5109634" y="1491289"/>
          <a:ext cx="1249988" cy="1279621"/>
        </a:xfrm>
        <a:prstGeom prst="rect">
          <a:avLst/>
        </a:prstGeom>
        <a:ln w="57150">
          <a:solidFill>
            <a:schemeClr val="accent3">
              <a:lumMod val="60000"/>
              <a:lumOff val="40000"/>
            </a:schemeClr>
          </a:solidFill>
        </a:ln>
      </xdr:spPr>
    </xdr:pic>
    <xdr:clientData/>
  </xdr:twoCellAnchor>
  <xdr:twoCellAnchor editAs="oneCell">
    <xdr:from>
      <xdr:col>8</xdr:col>
      <xdr:colOff>607391</xdr:colOff>
      <xdr:row>7</xdr:row>
      <xdr:rowOff>76218</xdr:rowOff>
    </xdr:from>
    <xdr:to>
      <xdr:col>10</xdr:col>
      <xdr:colOff>201693</xdr:colOff>
      <xdr:row>13</xdr:row>
      <xdr:rowOff>143566</xdr:rowOff>
    </xdr:to>
    <xdr:pic>
      <xdr:nvPicPr>
        <xdr:cNvPr id="9" name="Tool Use">
          <a:hlinkClick xmlns:r="http://schemas.openxmlformats.org/officeDocument/2006/relationships" r:id="rId5"/>
          <a:extLst>
            <a:ext uri="{FF2B5EF4-FFF2-40B4-BE49-F238E27FC236}">
              <a16:creationId xmlns:a16="http://schemas.microsoft.com/office/drawing/2014/main" id="{0C45D25F-3D27-BB32-7A3C-265176F83DB4}"/>
            </a:ext>
          </a:extLst>
        </xdr:cNvPr>
        <xdr:cNvPicPr>
          <a:picLocks noChangeAspect="1"/>
        </xdr:cNvPicPr>
      </xdr:nvPicPr>
      <xdr:blipFill rotWithShape="1">
        <a:blip xmlns:r="http://schemas.openxmlformats.org/officeDocument/2006/relationships" r:embed="rId1"/>
        <a:srcRect l="36561" t="-187" r="49800" b="75372"/>
        <a:stretch/>
      </xdr:blipFill>
      <xdr:spPr>
        <a:xfrm>
          <a:off x="7233478" y="1467696"/>
          <a:ext cx="1250824" cy="1260044"/>
        </a:xfrm>
        <a:prstGeom prst="rect">
          <a:avLst/>
        </a:prstGeom>
        <a:ln w="19050">
          <a:solidFill>
            <a:schemeClr val="accent3">
              <a:lumMod val="60000"/>
              <a:lumOff val="40000"/>
            </a:schemeClr>
          </a:solidFill>
        </a:ln>
      </xdr:spPr>
    </xdr:pic>
    <xdr:clientData/>
  </xdr:twoCellAnchor>
  <xdr:twoCellAnchor editAs="oneCell">
    <xdr:from>
      <xdr:col>4</xdr:col>
      <xdr:colOff>541131</xdr:colOff>
      <xdr:row>25</xdr:row>
      <xdr:rowOff>42249</xdr:rowOff>
    </xdr:from>
    <xdr:to>
      <xdr:col>5</xdr:col>
      <xdr:colOff>585304</xdr:colOff>
      <xdr:row>31</xdr:row>
      <xdr:rowOff>44174</xdr:rowOff>
    </xdr:to>
    <xdr:pic>
      <xdr:nvPicPr>
        <xdr:cNvPr id="10" name="all Raw Materials">
          <a:hlinkClick xmlns:r="http://schemas.openxmlformats.org/officeDocument/2006/relationships" r:id="rId6"/>
          <a:extLst>
            <a:ext uri="{FF2B5EF4-FFF2-40B4-BE49-F238E27FC236}">
              <a16:creationId xmlns:a16="http://schemas.microsoft.com/office/drawing/2014/main" id="{E04CB488-1DEF-B3F4-02FC-BC623B67E7D0}"/>
            </a:ext>
          </a:extLst>
        </xdr:cNvPr>
        <xdr:cNvPicPr>
          <a:picLocks noChangeAspect="1"/>
        </xdr:cNvPicPr>
      </xdr:nvPicPr>
      <xdr:blipFill rotWithShape="1">
        <a:blip xmlns:r="http://schemas.openxmlformats.org/officeDocument/2006/relationships" r:embed="rId1"/>
        <a:srcRect l="1360" t="71950" r="89131" b="4503"/>
        <a:stretch/>
      </xdr:blipFill>
      <xdr:spPr>
        <a:xfrm>
          <a:off x="3854174" y="5011814"/>
          <a:ext cx="872434" cy="1194621"/>
        </a:xfrm>
        <a:prstGeom prst="rect">
          <a:avLst/>
        </a:prstGeom>
        <a:ln w="19050">
          <a:solidFill>
            <a:schemeClr val="accent3">
              <a:lumMod val="60000"/>
              <a:lumOff val="40000"/>
            </a:schemeClr>
          </a:solidFill>
        </a:ln>
      </xdr:spPr>
    </xdr:pic>
    <xdr:clientData/>
  </xdr:twoCellAnchor>
  <xdr:twoCellAnchor editAs="oneCell">
    <xdr:from>
      <xdr:col>6</xdr:col>
      <xdr:colOff>257570</xdr:colOff>
      <xdr:row>26</xdr:row>
      <xdr:rowOff>68742</xdr:rowOff>
    </xdr:from>
    <xdr:to>
      <xdr:col>7</xdr:col>
      <xdr:colOff>456352</xdr:colOff>
      <xdr:row>31</xdr:row>
      <xdr:rowOff>45999</xdr:rowOff>
    </xdr:to>
    <xdr:pic>
      <xdr:nvPicPr>
        <xdr:cNvPr id="11" name="C N Based Precursor">
          <a:hlinkClick xmlns:r="http://schemas.openxmlformats.org/officeDocument/2006/relationships" r:id="rId6"/>
          <a:extLst>
            <a:ext uri="{FF2B5EF4-FFF2-40B4-BE49-F238E27FC236}">
              <a16:creationId xmlns:a16="http://schemas.microsoft.com/office/drawing/2014/main" id="{E217B1F6-6286-0627-57EC-2FADEBBEDE77}"/>
            </a:ext>
          </a:extLst>
        </xdr:cNvPr>
        <xdr:cNvPicPr>
          <a:picLocks noChangeAspect="1"/>
        </xdr:cNvPicPr>
      </xdr:nvPicPr>
      <xdr:blipFill rotWithShape="1">
        <a:blip xmlns:r="http://schemas.openxmlformats.org/officeDocument/2006/relationships" r:embed="rId1"/>
        <a:srcRect l="16001" t="75282" r="72800" b="5558"/>
        <a:stretch/>
      </xdr:blipFill>
      <xdr:spPr>
        <a:xfrm>
          <a:off x="5207314" y="5430964"/>
          <a:ext cx="1023739" cy="1008454"/>
        </a:xfrm>
        <a:prstGeom prst="rect">
          <a:avLst/>
        </a:prstGeom>
        <a:ln w="19050">
          <a:solidFill>
            <a:schemeClr val="accent3">
              <a:lumMod val="60000"/>
              <a:lumOff val="40000"/>
            </a:schemeClr>
          </a:solidFill>
        </a:ln>
      </xdr:spPr>
    </xdr:pic>
    <xdr:clientData/>
  </xdr:twoCellAnchor>
  <xdr:twoCellAnchor editAs="oneCell">
    <xdr:from>
      <xdr:col>6</xdr:col>
      <xdr:colOff>152400</xdr:colOff>
      <xdr:row>7</xdr:row>
      <xdr:rowOff>63500</xdr:rowOff>
    </xdr:from>
    <xdr:to>
      <xdr:col>7</xdr:col>
      <xdr:colOff>584200</xdr:colOff>
      <xdr:row>13</xdr:row>
      <xdr:rowOff>127000</xdr:rowOff>
    </xdr:to>
    <xdr:sp macro="" textlink="">
      <xdr:nvSpPr>
        <xdr:cNvPr id="2049" name="AutoShape 1">
          <a:extLst>
            <a:ext uri="{FF2B5EF4-FFF2-40B4-BE49-F238E27FC236}">
              <a16:creationId xmlns:a16="http://schemas.microsoft.com/office/drawing/2014/main" id="{B8B931B4-2393-7EA7-9B53-E7841573F4AD}"/>
            </a:ext>
          </a:extLst>
        </xdr:cNvPr>
        <xdr:cNvSpPr>
          <a:spLocks noChangeAspect="1" noChangeArrowheads="1"/>
        </xdr:cNvSpPr>
      </xdr:nvSpPr>
      <xdr:spPr bwMode="auto">
        <a:xfrm>
          <a:off x="5105400" y="1485900"/>
          <a:ext cx="1257300" cy="12827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0</xdr:colOff>
      <xdr:row>4</xdr:row>
      <xdr:rowOff>25400</xdr:rowOff>
    </xdr:from>
    <xdr:to>
      <xdr:col>9</xdr:col>
      <xdr:colOff>343235</xdr:colOff>
      <xdr:row>5</xdr:row>
      <xdr:rowOff>280580</xdr:rowOff>
    </xdr:to>
    <xdr:sp macro="" textlink="">
      <xdr:nvSpPr>
        <xdr:cNvPr id="2" name="Rounded Rectangle 1">
          <a:extLst>
            <a:ext uri="{FF2B5EF4-FFF2-40B4-BE49-F238E27FC236}">
              <a16:creationId xmlns:a16="http://schemas.microsoft.com/office/drawing/2014/main" id="{D461E54A-3EEB-3448-8919-5D96FEDB2619}"/>
            </a:ext>
          </a:extLst>
        </xdr:cNvPr>
        <xdr:cNvSpPr/>
      </xdr:nvSpPr>
      <xdr:spPr>
        <a:xfrm>
          <a:off x="16700500" y="863600"/>
          <a:ext cx="2819735" cy="559980"/>
        </a:xfrm>
        <a:prstGeom prst="roundRect">
          <a:avLst>
            <a:gd name="adj" fmla="val 43110"/>
          </a:avLst>
        </a:prstGeom>
        <a:solidFill>
          <a:srgbClr val="FFC000">
            <a:lumMod val="60000"/>
            <a:lumOff val="40000"/>
          </a:srgbClr>
        </a:solidFill>
        <a:ln w="44450">
          <a:solidFill>
            <a:sysClr val="windowText" lastClr="000000"/>
          </a:solidFill>
        </a:ln>
      </xdr:spPr>
      <xdr:txBody>
        <a:bodyPr vert="horz" wrap="square" lIns="0" tIns="0" rIns="0" bIns="0" rtlCol="0" anchor="ctr">
          <a:noAutofit/>
        </a:bodyPr>
        <a:lstStyle/>
        <a:p>
          <a:pPr marL="0" marR="0" lvl="0" indent="0" algn="ctr" defTabSz="914400" rtl="0" eaLnBrk="1" fontAlgn="auto" latinLnBrk="0" hangingPunct="1">
            <a:lnSpc>
              <a:spcPct val="100000"/>
            </a:lnSpc>
            <a:spcBef>
              <a:spcPts val="0"/>
            </a:spcBef>
            <a:spcAft>
              <a:spcPts val="0"/>
            </a:spcAft>
            <a:buClrTx/>
            <a:buSzTx/>
            <a:buFont typeface="Arial" panose="020B0604020202020204" pitchFamily="34" charset="0"/>
            <a:buNone/>
            <a:tabLst/>
            <a:defRPr/>
          </a:pPr>
          <a:r>
            <a:rPr lang="en-US" sz="2800" b="1" kern="1200">
              <a:ln w="0">
                <a:noFill/>
              </a:ln>
              <a:solidFill>
                <a:sysClr val="windowText" lastClr="000000"/>
              </a:solidFill>
              <a:latin typeface="Tw Cen MT"/>
              <a:ea typeface="+mn-ea"/>
              <a:cs typeface="+mn-cs"/>
            </a:rPr>
            <a:t>Required</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272198</xdr:colOff>
      <xdr:row>0</xdr:row>
      <xdr:rowOff>78056</xdr:rowOff>
    </xdr:from>
    <xdr:to>
      <xdr:col>22</xdr:col>
      <xdr:colOff>25400</xdr:colOff>
      <xdr:row>6</xdr:row>
      <xdr:rowOff>101599</xdr:rowOff>
    </xdr:to>
    <xdr:sp macro="" textlink="">
      <xdr:nvSpPr>
        <xdr:cNvPr id="3" name="Title">
          <a:extLst>
            <a:ext uri="{FF2B5EF4-FFF2-40B4-BE49-F238E27FC236}">
              <a16:creationId xmlns:a16="http://schemas.microsoft.com/office/drawing/2014/main" id="{BCDC762B-E47C-1D40-8C15-6B5412FE1F21}"/>
            </a:ext>
          </a:extLst>
        </xdr:cNvPr>
        <xdr:cNvSpPr/>
      </xdr:nvSpPr>
      <xdr:spPr>
        <a:xfrm>
          <a:off x="272198" y="78056"/>
          <a:ext cx="31744502" cy="1242743"/>
        </a:xfrm>
        <a:prstGeom prst="rect">
          <a:avLst/>
        </a:prstGeom>
        <a:solidFill>
          <a:srgbClr val="004F4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4000"/>
        </a:p>
      </xdr:txBody>
    </xdr:sp>
    <xdr:clientData/>
  </xdr:twoCellAnchor>
  <xdr:twoCellAnchor>
    <xdr:from>
      <xdr:col>0</xdr:col>
      <xdr:colOff>0</xdr:colOff>
      <xdr:row>0</xdr:row>
      <xdr:rowOff>78054</xdr:rowOff>
    </xdr:from>
    <xdr:to>
      <xdr:col>0</xdr:col>
      <xdr:colOff>304800</xdr:colOff>
      <xdr:row>6</xdr:row>
      <xdr:rowOff>88899</xdr:rowOff>
    </xdr:to>
    <xdr:sp macro="" textlink="">
      <xdr:nvSpPr>
        <xdr:cNvPr id="4" name="_Yellow">
          <a:extLst>
            <a:ext uri="{FF2B5EF4-FFF2-40B4-BE49-F238E27FC236}">
              <a16:creationId xmlns:a16="http://schemas.microsoft.com/office/drawing/2014/main" id="{DBDBB050-433D-4E4C-98AA-6BD08A8141AD}"/>
            </a:ext>
          </a:extLst>
        </xdr:cNvPr>
        <xdr:cNvSpPr/>
      </xdr:nvSpPr>
      <xdr:spPr>
        <a:xfrm>
          <a:off x="0" y="78054"/>
          <a:ext cx="304800" cy="1230045"/>
        </a:xfrm>
        <a:prstGeom prst="rect">
          <a:avLst/>
        </a:prstGeom>
        <a:solidFill>
          <a:srgbClr val="FFCD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editAs="oneCell">
    <xdr:from>
      <xdr:col>20</xdr:col>
      <xdr:colOff>173651</xdr:colOff>
      <xdr:row>0</xdr:row>
      <xdr:rowOff>127000</xdr:rowOff>
    </xdr:from>
    <xdr:to>
      <xdr:col>21</xdr:col>
      <xdr:colOff>605225</xdr:colOff>
      <xdr:row>5</xdr:row>
      <xdr:rowOff>25400</xdr:rowOff>
    </xdr:to>
    <xdr:pic>
      <xdr:nvPicPr>
        <xdr:cNvPr id="5" name="Clarkson Logo" descr="A logo with white text and black background&#10;&#10;Description automatically generated">
          <a:extLst>
            <a:ext uri="{FF2B5EF4-FFF2-40B4-BE49-F238E27FC236}">
              <a16:creationId xmlns:a16="http://schemas.microsoft.com/office/drawing/2014/main" id="{CB7E1395-4A0C-574B-AF57-0F2087E56EA1}"/>
            </a:ext>
          </a:extLst>
        </xdr:cNvPr>
        <xdr:cNvPicPr>
          <a:picLocks noChangeAspect="1"/>
        </xdr:cNvPicPr>
      </xdr:nvPicPr>
      <xdr:blipFill>
        <a:blip xmlns:r="http://schemas.openxmlformats.org/officeDocument/2006/relationships" r:embed="rId1">
          <a:alphaModFix amt="50000"/>
        </a:blip>
        <a:stretch>
          <a:fillRect/>
        </a:stretch>
      </xdr:blipFill>
      <xdr:spPr>
        <a:xfrm>
          <a:off x="16683651" y="127000"/>
          <a:ext cx="1257074" cy="1168400"/>
        </a:xfrm>
        <a:prstGeom prst="rect">
          <a:avLst/>
        </a:prstGeom>
      </xdr:spPr>
    </xdr:pic>
    <xdr:clientData/>
  </xdr:twoCellAnchor>
  <xdr:twoCellAnchor>
    <xdr:from>
      <xdr:col>0</xdr:col>
      <xdr:colOff>490909</xdr:colOff>
      <xdr:row>1</xdr:row>
      <xdr:rowOff>64576</xdr:rowOff>
    </xdr:from>
    <xdr:to>
      <xdr:col>13</xdr:col>
      <xdr:colOff>46061</xdr:colOff>
      <xdr:row>4</xdr:row>
      <xdr:rowOff>196141</xdr:rowOff>
    </xdr:to>
    <xdr:sp macro="" textlink="">
      <xdr:nvSpPr>
        <xdr:cNvPr id="6" name="sheet title">
          <a:extLst>
            <a:ext uri="{FF2B5EF4-FFF2-40B4-BE49-F238E27FC236}">
              <a16:creationId xmlns:a16="http://schemas.microsoft.com/office/drawing/2014/main" id="{3A3845EA-F409-6448-9A33-BB90DDC31B57}"/>
            </a:ext>
          </a:extLst>
        </xdr:cNvPr>
        <xdr:cNvSpPr txBox="1"/>
      </xdr:nvSpPr>
      <xdr:spPr>
        <a:xfrm>
          <a:off x="490909" y="267776"/>
          <a:ext cx="10286652" cy="74116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4400">
              <a:solidFill>
                <a:schemeClr val="bg1"/>
              </a:solidFill>
              <a:latin typeface="Arial" panose="020B0604020202020204" pitchFamily="34" charset="0"/>
              <a:cs typeface="Arial" panose="020B0604020202020204" pitchFamily="34" charset="0"/>
            </a:rPr>
            <a:t>Major</a:t>
          </a:r>
          <a:r>
            <a:rPr lang="en-US" sz="4400" baseline="0">
              <a:solidFill>
                <a:schemeClr val="bg1"/>
              </a:solidFill>
              <a:latin typeface="Arial" panose="020B0604020202020204" pitchFamily="34" charset="0"/>
              <a:cs typeface="Arial" panose="020B0604020202020204" pitchFamily="34" charset="0"/>
            </a:rPr>
            <a:t> s</a:t>
          </a:r>
          <a:r>
            <a:rPr lang="en-US" sz="4400">
              <a:solidFill>
                <a:schemeClr val="bg1"/>
              </a:solidFill>
              <a:latin typeface="Arial" panose="020B0604020202020204" pitchFamily="34" charset="0"/>
              <a:cs typeface="Arial" panose="020B0604020202020204" pitchFamily="34" charset="0"/>
            </a:rPr>
            <a:t>lurry</a:t>
          </a:r>
          <a:r>
            <a:rPr lang="en-US" sz="4400" baseline="0">
              <a:solidFill>
                <a:schemeClr val="bg1"/>
              </a:solidFill>
              <a:latin typeface="Arial" panose="020B0604020202020204" pitchFamily="34" charset="0"/>
              <a:cs typeface="Arial" panose="020B0604020202020204" pitchFamily="34" charset="0"/>
            </a:rPr>
            <a:t> manufacturing processes</a:t>
          </a:r>
          <a:endParaRPr lang="en-US" sz="4400">
            <a:solidFill>
              <a:schemeClr val="bg1"/>
            </a:solidFill>
            <a:latin typeface="Arial" panose="020B0604020202020204" pitchFamily="34" charset="0"/>
            <a:cs typeface="Arial" panose="020B0604020202020204" pitchFamily="34" charset="0"/>
          </a:endParaRPr>
        </a:p>
      </xdr:txBody>
    </xdr:sp>
    <xdr:clientData/>
  </xdr:twoCellAnchor>
  <xdr:twoCellAnchor>
    <xdr:from>
      <xdr:col>3</xdr:col>
      <xdr:colOff>3447198</xdr:colOff>
      <xdr:row>13</xdr:row>
      <xdr:rowOff>226337</xdr:rowOff>
    </xdr:from>
    <xdr:to>
      <xdr:col>5</xdr:col>
      <xdr:colOff>391835</xdr:colOff>
      <xdr:row>17</xdr:row>
      <xdr:rowOff>113088</xdr:rowOff>
    </xdr:to>
    <xdr:sp macro="" textlink="">
      <xdr:nvSpPr>
        <xdr:cNvPr id="2" name="Rounded Rectangle 1">
          <a:extLst>
            <a:ext uri="{FF2B5EF4-FFF2-40B4-BE49-F238E27FC236}">
              <a16:creationId xmlns:a16="http://schemas.microsoft.com/office/drawing/2014/main" id="{F51D31E2-BE9F-4D96-2DCD-E31059525668}"/>
            </a:ext>
          </a:extLst>
        </xdr:cNvPr>
        <xdr:cNvSpPr/>
      </xdr:nvSpPr>
      <xdr:spPr>
        <a:xfrm>
          <a:off x="7973931" y="3495644"/>
          <a:ext cx="2502458" cy="892692"/>
        </a:xfrm>
        <a:prstGeom prst="roundRect">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Select you process (alt+down)</a:t>
          </a:r>
        </a:p>
      </xdr:txBody>
    </xdr:sp>
    <xdr:clientData/>
  </xdr:twoCellAnchor>
  <xdr:twoCellAnchor>
    <xdr:from>
      <xdr:col>7</xdr:col>
      <xdr:colOff>1823267</xdr:colOff>
      <xdr:row>21</xdr:row>
      <xdr:rowOff>230132</xdr:rowOff>
    </xdr:from>
    <xdr:to>
      <xdr:col>13</xdr:col>
      <xdr:colOff>716733</xdr:colOff>
      <xdr:row>36</xdr:row>
      <xdr:rowOff>83689</xdr:rowOff>
    </xdr:to>
    <xdr:graphicFrame macro="">
      <xdr:nvGraphicFramePr>
        <xdr:cNvPr id="11" name="Chart 10">
          <a:extLst>
            <a:ext uri="{FF2B5EF4-FFF2-40B4-BE49-F238E27FC236}">
              <a16:creationId xmlns:a16="http://schemas.microsoft.com/office/drawing/2014/main" id="{B094F1B0-4433-A1F1-77F2-F33D9CFAAD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637283</xdr:colOff>
      <xdr:row>27</xdr:row>
      <xdr:rowOff>144382</xdr:rowOff>
    </xdr:from>
    <xdr:to>
      <xdr:col>10</xdr:col>
      <xdr:colOff>621942</xdr:colOff>
      <xdr:row>28</xdr:row>
      <xdr:rowOff>144381</xdr:rowOff>
    </xdr:to>
    <xdr:sp macro="" textlink="">
      <xdr:nvSpPr>
        <xdr:cNvPr id="13" name="TextBox 12">
          <a:extLst>
            <a:ext uri="{FF2B5EF4-FFF2-40B4-BE49-F238E27FC236}">
              <a16:creationId xmlns:a16="http://schemas.microsoft.com/office/drawing/2014/main" id="{77F7D348-A20A-8C91-A3D8-E66806CEDEB6}"/>
            </a:ext>
          </a:extLst>
        </xdr:cNvPr>
        <xdr:cNvSpPr txBox="1"/>
      </xdr:nvSpPr>
      <xdr:spPr>
        <a:xfrm>
          <a:off x="15361738" y="7009927"/>
          <a:ext cx="1644461" cy="2514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600" b="0" i="0" u="none" strike="noStrike" kern="1200">
              <a:solidFill>
                <a:schemeClr val="tx1"/>
              </a:solidFill>
              <a:latin typeface="Arial"/>
              <a:ea typeface="+mn-ea"/>
              <a:cs typeface="Arial"/>
            </a:rPr>
            <a:t>LOW</a:t>
          </a:r>
        </a:p>
      </xdr:txBody>
    </xdr:sp>
    <xdr:clientData/>
  </xdr:twoCellAnchor>
  <xdr:twoCellAnchor>
    <xdr:from>
      <xdr:col>11</xdr:col>
      <xdr:colOff>501804</xdr:colOff>
      <xdr:row>27</xdr:row>
      <xdr:rowOff>167619</xdr:rowOff>
    </xdr:from>
    <xdr:to>
      <xdr:col>13</xdr:col>
      <xdr:colOff>495522</xdr:colOff>
      <xdr:row>28</xdr:row>
      <xdr:rowOff>167618</xdr:rowOff>
    </xdr:to>
    <xdr:sp macro="" textlink="">
      <xdr:nvSpPr>
        <xdr:cNvPr id="14" name="TextBox 13">
          <a:extLst>
            <a:ext uri="{FF2B5EF4-FFF2-40B4-BE49-F238E27FC236}">
              <a16:creationId xmlns:a16="http://schemas.microsoft.com/office/drawing/2014/main" id="{C3F68B09-EFBC-1A72-296A-76B63D654607}"/>
            </a:ext>
          </a:extLst>
        </xdr:cNvPr>
        <xdr:cNvSpPr txBox="1"/>
      </xdr:nvSpPr>
      <xdr:spPr>
        <a:xfrm>
          <a:off x="17715962" y="7033164"/>
          <a:ext cx="1653520" cy="2514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600" b="0" i="0" u="none" strike="noStrike" kern="1200">
              <a:solidFill>
                <a:schemeClr val="tx1"/>
              </a:solidFill>
              <a:latin typeface="Arial"/>
              <a:ea typeface="+mn-ea"/>
              <a:cs typeface="Arial"/>
            </a:rPr>
            <a:t>HIGH</a:t>
          </a:r>
        </a:p>
      </xdr:txBody>
    </xdr:sp>
    <xdr:clientData/>
  </xdr:twoCellAnchor>
  <xdr:twoCellAnchor>
    <xdr:from>
      <xdr:col>0</xdr:col>
      <xdr:colOff>176039</xdr:colOff>
      <xdr:row>6</xdr:row>
      <xdr:rowOff>213682</xdr:rowOff>
    </xdr:from>
    <xdr:to>
      <xdr:col>3</xdr:col>
      <xdr:colOff>2324100</xdr:colOff>
      <xdr:row>12</xdr:row>
      <xdr:rowOff>213682</xdr:rowOff>
    </xdr:to>
    <xdr:sp macro="" textlink="">
      <xdr:nvSpPr>
        <xdr:cNvPr id="10" name="Rounded Rectangle 9">
          <a:extLst>
            <a:ext uri="{FF2B5EF4-FFF2-40B4-BE49-F238E27FC236}">
              <a16:creationId xmlns:a16="http://schemas.microsoft.com/office/drawing/2014/main" id="{3DA971E1-73B6-E9DE-1599-A5A646AC8BDC}"/>
            </a:ext>
          </a:extLst>
        </xdr:cNvPr>
        <xdr:cNvSpPr/>
      </xdr:nvSpPr>
      <xdr:spPr>
        <a:xfrm>
          <a:off x="176039" y="1737682"/>
          <a:ext cx="6669261" cy="1524000"/>
        </a:xfrm>
        <a:prstGeom prst="roundRect">
          <a:avLst>
            <a:gd name="adj" fmla="val 24167"/>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We gather default equipment values from websites and literature to compile a comprehensive database of tool specifications</a:t>
          </a:r>
        </a:p>
      </xdr:txBody>
    </xdr:sp>
    <xdr:clientData/>
  </xdr:twoCellAnchor>
  <xdr:twoCellAnchor>
    <xdr:from>
      <xdr:col>5</xdr:col>
      <xdr:colOff>64724</xdr:colOff>
      <xdr:row>26</xdr:row>
      <xdr:rowOff>1</xdr:rowOff>
    </xdr:from>
    <xdr:to>
      <xdr:col>7</xdr:col>
      <xdr:colOff>729307</xdr:colOff>
      <xdr:row>29</xdr:row>
      <xdr:rowOff>138237</xdr:rowOff>
    </xdr:to>
    <xdr:sp macro="" textlink="">
      <xdr:nvSpPr>
        <xdr:cNvPr id="15" name="Rounded Rectangle 14">
          <a:extLst>
            <a:ext uri="{FF2B5EF4-FFF2-40B4-BE49-F238E27FC236}">
              <a16:creationId xmlns:a16="http://schemas.microsoft.com/office/drawing/2014/main" id="{C762D8D3-43C8-40AB-6E95-53FCBC44E26C}"/>
            </a:ext>
          </a:extLst>
        </xdr:cNvPr>
        <xdr:cNvSpPr/>
      </xdr:nvSpPr>
      <xdr:spPr>
        <a:xfrm>
          <a:off x="10149278" y="6614060"/>
          <a:ext cx="2940524" cy="892692"/>
        </a:xfrm>
        <a:prstGeom prst="roundRect">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Enter your tool power rating to check range</a:t>
          </a:r>
        </a:p>
      </xdr:txBody>
    </xdr:sp>
    <xdr:clientData/>
  </xdr:twoCellAnchor>
  <xdr:twoCellAnchor>
    <xdr:from>
      <xdr:col>4</xdr:col>
      <xdr:colOff>1695187</xdr:colOff>
      <xdr:row>30</xdr:row>
      <xdr:rowOff>192471</xdr:rowOff>
    </xdr:from>
    <xdr:to>
      <xdr:col>7</xdr:col>
      <xdr:colOff>160637</xdr:colOff>
      <xdr:row>34</xdr:row>
      <xdr:rowOff>79222</xdr:rowOff>
    </xdr:to>
    <xdr:sp macro="" textlink="">
      <xdr:nvSpPr>
        <xdr:cNvPr id="16" name="Rounded Rectangle 15">
          <a:extLst>
            <a:ext uri="{FF2B5EF4-FFF2-40B4-BE49-F238E27FC236}">
              <a16:creationId xmlns:a16="http://schemas.microsoft.com/office/drawing/2014/main" id="{3119E4EB-7F44-69B4-F87A-ED1F1E816667}"/>
            </a:ext>
          </a:extLst>
        </xdr:cNvPr>
        <xdr:cNvSpPr/>
      </xdr:nvSpPr>
      <xdr:spPr>
        <a:xfrm>
          <a:off x="10026387" y="7897138"/>
          <a:ext cx="2512517" cy="902751"/>
        </a:xfrm>
        <a:prstGeom prst="roundRect">
          <a:avLst/>
        </a:prstGeom>
        <a:solidFill>
          <a:schemeClr val="accent5">
            <a:lumMod val="40000"/>
            <a:lumOff val="60000"/>
          </a:scheme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Calcualted based on process time and tool power rating(kW)</a:t>
          </a:r>
        </a:p>
      </xdr:txBody>
    </xdr:sp>
    <xdr:clientData/>
  </xdr:twoCellAnchor>
  <xdr:twoCellAnchor>
    <xdr:from>
      <xdr:col>3</xdr:col>
      <xdr:colOff>3055544</xdr:colOff>
      <xdr:row>14</xdr:row>
      <xdr:rowOff>150891</xdr:rowOff>
    </xdr:from>
    <xdr:to>
      <xdr:col>3</xdr:col>
      <xdr:colOff>3644760</xdr:colOff>
      <xdr:row>16</xdr:row>
      <xdr:rowOff>228057</xdr:rowOff>
    </xdr:to>
    <xdr:sp macro="" textlink="">
      <xdr:nvSpPr>
        <xdr:cNvPr id="17" name="Text Placeholder 1248">
          <a:extLst>
            <a:ext uri="{FF2B5EF4-FFF2-40B4-BE49-F238E27FC236}">
              <a16:creationId xmlns:a16="http://schemas.microsoft.com/office/drawing/2014/main" id="{E91CA9BC-B8A6-B141-B4ED-BDC94C7D2F24}"/>
            </a:ext>
          </a:extLst>
        </xdr:cNvPr>
        <xdr:cNvSpPr>
          <a:spLocks noGrp="1"/>
        </xdr:cNvSpPr>
      </xdr:nvSpPr>
      <xdr:spPr>
        <a:xfrm>
          <a:off x="7582277" y="3671683"/>
          <a:ext cx="589216" cy="580136"/>
        </a:xfrm>
        <a:prstGeom prst="ellipse">
          <a:avLst/>
        </a:prstGeom>
        <a:solidFill>
          <a:srgbClr val="FFC000">
            <a:lumMod val="60000"/>
            <a:lumOff val="40000"/>
          </a:srgbClr>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r>
            <a:rPr lang="en-US">
              <a:latin typeface="Arial" panose="020B0604020202020204" pitchFamily="34" charset="0"/>
              <a:cs typeface="Arial" panose="020B0604020202020204" pitchFamily="34" charset="0"/>
            </a:rPr>
            <a:t>1</a:t>
          </a:r>
        </a:p>
      </xdr:txBody>
    </xdr:sp>
    <xdr:clientData/>
  </xdr:twoCellAnchor>
  <xdr:twoCellAnchor>
    <xdr:from>
      <xdr:col>4</xdr:col>
      <xdr:colOff>1358019</xdr:colOff>
      <xdr:row>24</xdr:row>
      <xdr:rowOff>100594</xdr:rowOff>
    </xdr:from>
    <xdr:to>
      <xdr:col>5</xdr:col>
      <xdr:colOff>199414</xdr:colOff>
      <xdr:row>26</xdr:row>
      <xdr:rowOff>177760</xdr:rowOff>
    </xdr:to>
    <xdr:sp macro="" textlink="">
      <xdr:nvSpPr>
        <xdr:cNvPr id="18" name="Text Placeholder 1248">
          <a:extLst>
            <a:ext uri="{FF2B5EF4-FFF2-40B4-BE49-F238E27FC236}">
              <a16:creationId xmlns:a16="http://schemas.microsoft.com/office/drawing/2014/main" id="{0B8D92FF-C5FE-A0B1-28C9-F9EB5C6313C6}"/>
            </a:ext>
          </a:extLst>
        </xdr:cNvPr>
        <xdr:cNvSpPr>
          <a:spLocks noGrp="1"/>
        </xdr:cNvSpPr>
      </xdr:nvSpPr>
      <xdr:spPr>
        <a:xfrm>
          <a:off x="9694752" y="6211683"/>
          <a:ext cx="589216" cy="580136"/>
        </a:xfrm>
        <a:prstGeom prst="ellipse">
          <a:avLst/>
        </a:prstGeom>
        <a:solidFill>
          <a:srgbClr val="FFC000">
            <a:lumMod val="60000"/>
            <a:lumOff val="40000"/>
          </a:srgbClr>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r>
            <a:rPr lang="en-US">
              <a:latin typeface="Arial" panose="020B0604020202020204" pitchFamily="34" charset="0"/>
              <a:cs typeface="Arial" panose="020B0604020202020204" pitchFamily="34" charset="0"/>
            </a:rPr>
            <a:t>2</a:t>
          </a:r>
        </a:p>
      </xdr:txBody>
    </xdr:sp>
    <xdr:clientData/>
  </xdr:twoCellAnchor>
  <xdr:twoCellAnchor>
    <xdr:from>
      <xdr:col>4</xdr:col>
      <xdr:colOff>1358019</xdr:colOff>
      <xdr:row>28</xdr:row>
      <xdr:rowOff>100594</xdr:rowOff>
    </xdr:from>
    <xdr:to>
      <xdr:col>5</xdr:col>
      <xdr:colOff>199414</xdr:colOff>
      <xdr:row>30</xdr:row>
      <xdr:rowOff>177760</xdr:rowOff>
    </xdr:to>
    <xdr:sp macro="" textlink="">
      <xdr:nvSpPr>
        <xdr:cNvPr id="19" name="Text Placeholder 1248">
          <a:extLst>
            <a:ext uri="{FF2B5EF4-FFF2-40B4-BE49-F238E27FC236}">
              <a16:creationId xmlns:a16="http://schemas.microsoft.com/office/drawing/2014/main" id="{8B15E857-DF63-DB4D-BD2D-F9B802F7F47E}"/>
            </a:ext>
          </a:extLst>
        </xdr:cNvPr>
        <xdr:cNvSpPr>
          <a:spLocks noGrp="1"/>
        </xdr:cNvSpPr>
      </xdr:nvSpPr>
      <xdr:spPr>
        <a:xfrm>
          <a:off x="9694752" y="6211683"/>
          <a:ext cx="589216" cy="580136"/>
        </a:xfrm>
        <a:prstGeom prst="ellipse">
          <a:avLst/>
        </a:prstGeom>
        <a:solidFill>
          <a:srgbClr val="FFC000">
            <a:lumMod val="60000"/>
            <a:lumOff val="40000"/>
          </a:srgbClr>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r>
            <a:rPr lang="en-US">
              <a:latin typeface="Arial" panose="020B0604020202020204" pitchFamily="34" charset="0"/>
              <a:cs typeface="Arial" panose="020B0604020202020204" pitchFamily="34" charset="0"/>
            </a:rPr>
            <a:t>3</a:t>
          </a:r>
        </a:p>
      </xdr:txBody>
    </xdr:sp>
    <xdr:clientData/>
  </xdr:twoCellAnchor>
  <xdr:twoCellAnchor>
    <xdr:from>
      <xdr:col>1</xdr:col>
      <xdr:colOff>166324</xdr:colOff>
      <xdr:row>41</xdr:row>
      <xdr:rowOff>84668</xdr:rowOff>
    </xdr:from>
    <xdr:to>
      <xdr:col>6</xdr:col>
      <xdr:colOff>254000</xdr:colOff>
      <xdr:row>44</xdr:row>
      <xdr:rowOff>222904</xdr:rowOff>
    </xdr:to>
    <xdr:sp macro="" textlink="">
      <xdr:nvSpPr>
        <xdr:cNvPr id="20" name="Rounded Rectangle 19">
          <a:extLst>
            <a:ext uri="{FF2B5EF4-FFF2-40B4-BE49-F238E27FC236}">
              <a16:creationId xmlns:a16="http://schemas.microsoft.com/office/drawing/2014/main" id="{1F82B516-B74E-5623-591B-BFFEF3EFE344}"/>
            </a:ext>
          </a:extLst>
        </xdr:cNvPr>
        <xdr:cNvSpPr/>
      </xdr:nvSpPr>
      <xdr:spPr>
        <a:xfrm>
          <a:off x="458424" y="10828868"/>
          <a:ext cx="11212876" cy="900236"/>
        </a:xfrm>
        <a:prstGeom prst="roundRect">
          <a:avLst>
            <a:gd name="adj" fmla="val 5000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Tools related to this precific process and their power and volume specifications</a:t>
          </a:r>
        </a:p>
      </xdr:txBody>
    </xdr:sp>
    <xdr:clientData/>
  </xdr:twoCellAnchor>
  <xdr:twoCellAnchor>
    <xdr:from>
      <xdr:col>17</xdr:col>
      <xdr:colOff>0</xdr:colOff>
      <xdr:row>41</xdr:row>
      <xdr:rowOff>0</xdr:rowOff>
    </xdr:from>
    <xdr:to>
      <xdr:col>30</xdr:col>
      <xdr:colOff>481376</xdr:colOff>
      <xdr:row>44</xdr:row>
      <xdr:rowOff>138236</xdr:rowOff>
    </xdr:to>
    <xdr:sp macro="" textlink="">
      <xdr:nvSpPr>
        <xdr:cNvPr id="21" name="Rounded Rectangle 20">
          <a:extLst>
            <a:ext uri="{FF2B5EF4-FFF2-40B4-BE49-F238E27FC236}">
              <a16:creationId xmlns:a16="http://schemas.microsoft.com/office/drawing/2014/main" id="{C33C0B49-6D31-5840-86A2-2859967375D5}"/>
            </a:ext>
          </a:extLst>
        </xdr:cNvPr>
        <xdr:cNvSpPr/>
      </xdr:nvSpPr>
      <xdr:spPr>
        <a:xfrm>
          <a:off x="22148800" y="10744200"/>
          <a:ext cx="11212876" cy="900236"/>
        </a:xfrm>
        <a:prstGeom prst="roundRect">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a:ln>
                <a:noFill/>
              </a:ln>
              <a:solidFill>
                <a:schemeClr val="bg1">
                  <a:lumMod val="75000"/>
                </a:schemeClr>
              </a:solidFill>
              <a:effectLst/>
              <a:uLnTx/>
              <a:uFillTx/>
              <a:latin typeface="Arial" panose="020B0604020202020204" pitchFamily="34" charset="0"/>
              <a:ea typeface="+mn-ea"/>
              <a:cs typeface="Arial" panose="020B0604020202020204" pitchFamily="34" charset="0"/>
            </a:rPr>
            <a:t>Process time information found in the literature</a:t>
          </a:r>
        </a:p>
      </xdr:txBody>
    </xdr:sp>
    <xdr:clientData/>
  </xdr:twoCellAnchor>
  <xdr:twoCellAnchor>
    <xdr:from>
      <xdr:col>7</xdr:col>
      <xdr:colOff>2144889</xdr:colOff>
      <xdr:row>18</xdr:row>
      <xdr:rowOff>84667</xdr:rowOff>
    </xdr:from>
    <xdr:to>
      <xdr:col>14</xdr:col>
      <xdr:colOff>782860</xdr:colOff>
      <xdr:row>20</xdr:row>
      <xdr:rowOff>18507</xdr:rowOff>
    </xdr:to>
    <xdr:grpSp>
      <xdr:nvGrpSpPr>
        <xdr:cNvPr id="24" name="Group 23">
          <a:extLst>
            <a:ext uri="{FF2B5EF4-FFF2-40B4-BE49-F238E27FC236}">
              <a16:creationId xmlns:a16="http://schemas.microsoft.com/office/drawing/2014/main" id="{14533CDD-BCF6-7244-986C-1C4010DA9CDC}"/>
            </a:ext>
          </a:extLst>
        </xdr:cNvPr>
        <xdr:cNvGrpSpPr/>
      </xdr:nvGrpSpPr>
      <xdr:grpSpPr>
        <a:xfrm>
          <a:off x="14474472" y="4847167"/>
          <a:ext cx="5914013" cy="515923"/>
          <a:chOff x="20803705" y="3035855"/>
          <a:chExt cx="6029371" cy="995751"/>
        </a:xfrm>
      </xdr:grpSpPr>
      <xdr:sp macro="" textlink="">
        <xdr:nvSpPr>
          <xdr:cNvPr id="25" name="Rounded Rectangle 24">
            <a:extLst>
              <a:ext uri="{FF2B5EF4-FFF2-40B4-BE49-F238E27FC236}">
                <a16:creationId xmlns:a16="http://schemas.microsoft.com/office/drawing/2014/main" id="{81B55F56-8DD8-B983-29C0-0BDE332D6F89}"/>
              </a:ext>
            </a:extLst>
          </xdr:cNvPr>
          <xdr:cNvSpPr/>
        </xdr:nvSpPr>
        <xdr:spPr>
          <a:xfrm>
            <a:off x="20803705" y="3035855"/>
            <a:ext cx="6029371" cy="995751"/>
          </a:xfrm>
          <a:prstGeom prst="roundRect">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b"/>
          <a:lstStyle/>
          <a:p>
            <a:pPr algn="r"/>
            <a:r>
              <a:rPr lang="en-US" sz="2000" kern="1200">
                <a:latin typeface="Arial" panose="020B0604020202020204" pitchFamily="34" charset="0"/>
                <a:cs typeface="Arial" panose="020B0604020202020204" pitchFamily="34" charset="0"/>
              </a:rPr>
              <a:t>tool power rating overview</a:t>
            </a:r>
          </a:p>
        </xdr:txBody>
      </xdr:sp>
      <xdr:sp macro="" textlink="$E$19">
        <xdr:nvSpPr>
          <xdr:cNvPr id="26" name="TextBox 25">
            <a:extLst>
              <a:ext uri="{FF2B5EF4-FFF2-40B4-BE49-F238E27FC236}">
                <a16:creationId xmlns:a16="http://schemas.microsoft.com/office/drawing/2014/main" id="{C5DDAAEE-46B0-E915-F910-6E9E32DFF066}"/>
              </a:ext>
            </a:extLst>
          </xdr:cNvPr>
          <xdr:cNvSpPr txBox="1"/>
        </xdr:nvSpPr>
        <xdr:spPr>
          <a:xfrm>
            <a:off x="20917443" y="3144274"/>
            <a:ext cx="2290048" cy="553647"/>
          </a:xfrm>
          <a:prstGeom prst="rect">
            <a:avLst/>
          </a:prstGeom>
          <a:solidFill>
            <a:srgbClr val="4DA72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A722FA6-ADBD-BF4A-B652-57345CB45E96}" type="TxLink">
              <a:rPr lang="en-US" sz="2000" b="0" i="0" u="none" strike="noStrike" kern="1200">
                <a:solidFill>
                  <a:schemeClr val="bg1"/>
                </a:solidFill>
                <a:latin typeface="Arial"/>
                <a:cs typeface="Arial"/>
              </a:rPr>
              <a:pPr/>
              <a:t>Calcination</a:t>
            </a:fld>
            <a:endParaRPr lang="en-US" sz="900" kern="1200">
              <a:solidFill>
                <a:schemeClr val="bg1"/>
              </a:solidFill>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888320</xdr:colOff>
      <xdr:row>12</xdr:row>
      <xdr:rowOff>96539</xdr:rowOff>
    </xdr:from>
    <xdr:to>
      <xdr:col>3</xdr:col>
      <xdr:colOff>1731513</xdr:colOff>
      <xdr:row>14</xdr:row>
      <xdr:rowOff>126369</xdr:rowOff>
    </xdr:to>
    <xdr:sp macro="" textlink="">
      <xdr:nvSpPr>
        <xdr:cNvPr id="2" name="Rounded Rectangle 1">
          <a:extLst>
            <a:ext uri="{FF2B5EF4-FFF2-40B4-BE49-F238E27FC236}">
              <a16:creationId xmlns:a16="http://schemas.microsoft.com/office/drawing/2014/main" id="{5421755C-E2F5-4248-B26C-D3CCFC9D9887}"/>
            </a:ext>
          </a:extLst>
        </xdr:cNvPr>
        <xdr:cNvSpPr/>
      </xdr:nvSpPr>
      <xdr:spPr>
        <a:xfrm>
          <a:off x="6654120" y="3220739"/>
          <a:ext cx="2913293" cy="664830"/>
        </a:xfrm>
        <a:prstGeom prst="roundRect">
          <a:avLst>
            <a:gd name="adj" fmla="val 46754"/>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&lt; Enter Process Name</a:t>
          </a:r>
        </a:p>
      </xdr:txBody>
    </xdr:sp>
    <xdr:clientData/>
  </xdr:twoCellAnchor>
  <xdr:twoCellAnchor>
    <xdr:from>
      <xdr:col>0</xdr:col>
      <xdr:colOff>272199</xdr:colOff>
      <xdr:row>0</xdr:row>
      <xdr:rowOff>2</xdr:rowOff>
    </xdr:from>
    <xdr:to>
      <xdr:col>14</xdr:col>
      <xdr:colOff>12701</xdr:colOff>
      <xdr:row>4</xdr:row>
      <xdr:rowOff>0</xdr:rowOff>
    </xdr:to>
    <xdr:sp macro="" textlink="">
      <xdr:nvSpPr>
        <xdr:cNvPr id="3" name="Title">
          <a:extLst>
            <a:ext uri="{FF2B5EF4-FFF2-40B4-BE49-F238E27FC236}">
              <a16:creationId xmlns:a16="http://schemas.microsoft.com/office/drawing/2014/main" id="{713FEFA3-3E28-9E48-B64B-40A9097B1EC3}"/>
            </a:ext>
          </a:extLst>
        </xdr:cNvPr>
        <xdr:cNvSpPr/>
      </xdr:nvSpPr>
      <xdr:spPr>
        <a:xfrm>
          <a:off x="272199" y="2"/>
          <a:ext cx="22765602" cy="1092198"/>
        </a:xfrm>
        <a:prstGeom prst="rect">
          <a:avLst/>
        </a:prstGeom>
        <a:solidFill>
          <a:srgbClr val="004F4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4000"/>
        </a:p>
      </xdr:txBody>
    </xdr:sp>
    <xdr:clientData/>
  </xdr:twoCellAnchor>
  <xdr:twoCellAnchor>
    <xdr:from>
      <xdr:col>0</xdr:col>
      <xdr:colOff>0</xdr:colOff>
      <xdr:row>0</xdr:row>
      <xdr:rowOff>0</xdr:rowOff>
    </xdr:from>
    <xdr:to>
      <xdr:col>0</xdr:col>
      <xdr:colOff>304800</xdr:colOff>
      <xdr:row>4</xdr:row>
      <xdr:rowOff>0</xdr:rowOff>
    </xdr:to>
    <xdr:sp macro="" textlink="">
      <xdr:nvSpPr>
        <xdr:cNvPr id="4" name="_Yellow">
          <a:extLst>
            <a:ext uri="{FF2B5EF4-FFF2-40B4-BE49-F238E27FC236}">
              <a16:creationId xmlns:a16="http://schemas.microsoft.com/office/drawing/2014/main" id="{ED0FCC02-B40A-9F46-B5C0-E901E063B0AD}"/>
            </a:ext>
          </a:extLst>
        </xdr:cNvPr>
        <xdr:cNvSpPr/>
      </xdr:nvSpPr>
      <xdr:spPr>
        <a:xfrm>
          <a:off x="0" y="0"/>
          <a:ext cx="304800" cy="1092200"/>
        </a:xfrm>
        <a:prstGeom prst="rect">
          <a:avLst/>
        </a:prstGeom>
        <a:solidFill>
          <a:srgbClr val="FFCD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editAs="oneCell">
    <xdr:from>
      <xdr:col>12</xdr:col>
      <xdr:colOff>429694</xdr:colOff>
      <xdr:row>0</xdr:row>
      <xdr:rowOff>0</xdr:rowOff>
    </xdr:from>
    <xdr:to>
      <xdr:col>14</xdr:col>
      <xdr:colOff>32784</xdr:colOff>
      <xdr:row>4</xdr:row>
      <xdr:rowOff>54738</xdr:rowOff>
    </xdr:to>
    <xdr:pic>
      <xdr:nvPicPr>
        <xdr:cNvPr id="5" name="Clarkson Logo" descr="A logo with white text and black background&#10;&#10;Description automatically generated">
          <a:extLst>
            <a:ext uri="{FF2B5EF4-FFF2-40B4-BE49-F238E27FC236}">
              <a16:creationId xmlns:a16="http://schemas.microsoft.com/office/drawing/2014/main" id="{B64633DC-8EFE-5B44-A07A-E326F66E5E31}"/>
            </a:ext>
          </a:extLst>
        </xdr:cNvPr>
        <xdr:cNvPicPr>
          <a:picLocks noChangeAspect="1"/>
        </xdr:cNvPicPr>
      </xdr:nvPicPr>
      <xdr:blipFill>
        <a:blip xmlns:r="http://schemas.openxmlformats.org/officeDocument/2006/relationships" r:embed="rId1">
          <a:alphaModFix amt="50000"/>
        </a:blip>
        <a:stretch>
          <a:fillRect/>
        </a:stretch>
      </xdr:blipFill>
      <xdr:spPr>
        <a:xfrm>
          <a:off x="21803794" y="0"/>
          <a:ext cx="1254090" cy="1146938"/>
        </a:xfrm>
        <a:prstGeom prst="rect">
          <a:avLst/>
        </a:prstGeom>
      </xdr:spPr>
    </xdr:pic>
    <xdr:clientData/>
  </xdr:twoCellAnchor>
  <xdr:twoCellAnchor>
    <xdr:from>
      <xdr:col>0</xdr:col>
      <xdr:colOff>490909</xdr:colOff>
      <xdr:row>0</xdr:row>
      <xdr:rowOff>189722</xdr:rowOff>
    </xdr:from>
    <xdr:to>
      <xdr:col>13</xdr:col>
      <xdr:colOff>479581</xdr:colOff>
      <xdr:row>3</xdr:row>
      <xdr:rowOff>168759</xdr:rowOff>
    </xdr:to>
    <xdr:sp macro="" textlink="">
      <xdr:nvSpPr>
        <xdr:cNvPr id="6" name="CO2 eq Framework">
          <a:extLst>
            <a:ext uri="{FF2B5EF4-FFF2-40B4-BE49-F238E27FC236}">
              <a16:creationId xmlns:a16="http://schemas.microsoft.com/office/drawing/2014/main" id="{A1DC89AD-2BB5-0241-A020-ADFF80D11326}"/>
            </a:ext>
          </a:extLst>
        </xdr:cNvPr>
        <xdr:cNvSpPr txBox="1"/>
      </xdr:nvSpPr>
      <xdr:spPr>
        <a:xfrm>
          <a:off x="490909" y="189722"/>
          <a:ext cx="22188272" cy="741037"/>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4400">
              <a:solidFill>
                <a:schemeClr val="bg1"/>
              </a:solidFill>
              <a:latin typeface="Arial" panose="020B0604020202020204" pitchFamily="34" charset="0"/>
              <a:cs typeface="Arial" panose="020B0604020202020204" pitchFamily="34" charset="0"/>
            </a:rPr>
            <a:t>Ceria Particle Synthesis Inventory Data Entry</a:t>
          </a:r>
        </a:p>
      </xdr:txBody>
    </xdr:sp>
    <xdr:clientData/>
  </xdr:twoCellAnchor>
  <xdr:twoCellAnchor>
    <xdr:from>
      <xdr:col>0</xdr:col>
      <xdr:colOff>53287</xdr:colOff>
      <xdr:row>8</xdr:row>
      <xdr:rowOff>146094</xdr:rowOff>
    </xdr:from>
    <xdr:to>
      <xdr:col>3</xdr:col>
      <xdr:colOff>1110140</xdr:colOff>
      <xdr:row>11</xdr:row>
      <xdr:rowOff>228600</xdr:rowOff>
    </xdr:to>
    <xdr:sp macro="" textlink="">
      <xdr:nvSpPr>
        <xdr:cNvPr id="7" name="Rounded Rectangle 6">
          <a:extLst>
            <a:ext uri="{FF2B5EF4-FFF2-40B4-BE49-F238E27FC236}">
              <a16:creationId xmlns:a16="http://schemas.microsoft.com/office/drawing/2014/main" id="{0842126D-DE92-B245-AB6C-AF46F0B268FA}"/>
            </a:ext>
          </a:extLst>
        </xdr:cNvPr>
        <xdr:cNvSpPr/>
      </xdr:nvSpPr>
      <xdr:spPr>
        <a:xfrm>
          <a:off x="53287" y="2254294"/>
          <a:ext cx="8892753" cy="844506"/>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Process Information</a:t>
          </a:r>
        </a:p>
      </xdr:txBody>
    </xdr:sp>
    <xdr:clientData/>
  </xdr:twoCellAnchor>
  <xdr:twoCellAnchor>
    <xdr:from>
      <xdr:col>0</xdr:col>
      <xdr:colOff>110321</xdr:colOff>
      <xdr:row>4</xdr:row>
      <xdr:rowOff>97691</xdr:rowOff>
    </xdr:from>
    <xdr:to>
      <xdr:col>0</xdr:col>
      <xdr:colOff>2944702</xdr:colOff>
      <xdr:row>6</xdr:row>
      <xdr:rowOff>108260</xdr:rowOff>
    </xdr:to>
    <xdr:sp macro="" textlink="">
      <xdr:nvSpPr>
        <xdr:cNvPr id="8" name="Rounded Rectangle 7" descr="Navigation button for Start worksheet">
          <a:hlinkClick xmlns:r="http://schemas.openxmlformats.org/officeDocument/2006/relationships" r:id="rId2"/>
          <a:extLst>
            <a:ext uri="{FF2B5EF4-FFF2-40B4-BE49-F238E27FC236}">
              <a16:creationId xmlns:a16="http://schemas.microsoft.com/office/drawing/2014/main" id="{062AB909-F527-9749-88D9-F91C27D283B6}"/>
            </a:ext>
          </a:extLst>
        </xdr:cNvPr>
        <xdr:cNvSpPr/>
      </xdr:nvSpPr>
      <xdr:spPr>
        <a:xfrm>
          <a:off x="110321" y="1189891"/>
          <a:ext cx="2834381" cy="518569"/>
        </a:xfrm>
        <a:prstGeom prst="roundRect">
          <a:avLst>
            <a:gd name="adj" fmla="val 5000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&lt; Start</a:t>
          </a:r>
        </a:p>
      </xdr:txBody>
    </xdr:sp>
    <xdr:clientData/>
  </xdr:twoCellAnchor>
  <xdr:twoCellAnchor>
    <xdr:from>
      <xdr:col>10</xdr:col>
      <xdr:colOff>586612</xdr:colOff>
      <xdr:row>4</xdr:row>
      <xdr:rowOff>130445</xdr:rowOff>
    </xdr:from>
    <xdr:to>
      <xdr:col>13</xdr:col>
      <xdr:colOff>763080</xdr:colOff>
      <xdr:row>6</xdr:row>
      <xdr:rowOff>141014</xdr:rowOff>
    </xdr:to>
    <xdr:sp macro="" textlink="">
      <xdr:nvSpPr>
        <xdr:cNvPr id="9" name="Rounded Rectangle 8" descr="Navigation button for Inventory pick list worksheet">
          <a:hlinkClick xmlns:r="http://schemas.openxmlformats.org/officeDocument/2006/relationships" r:id="rId3"/>
          <a:extLst>
            <a:ext uri="{FF2B5EF4-FFF2-40B4-BE49-F238E27FC236}">
              <a16:creationId xmlns:a16="http://schemas.microsoft.com/office/drawing/2014/main" id="{BE62B8EA-D118-F342-94E2-7C5CBDCF293B}"/>
            </a:ext>
          </a:extLst>
        </xdr:cNvPr>
        <xdr:cNvSpPr/>
      </xdr:nvSpPr>
      <xdr:spPr>
        <a:xfrm>
          <a:off x="20309712" y="1222645"/>
          <a:ext cx="2652968" cy="518569"/>
        </a:xfrm>
        <a:prstGeom prst="roundRect">
          <a:avLst>
            <a:gd name="adj" fmla="val 5000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Process Overview</a:t>
          </a:r>
        </a:p>
      </xdr:txBody>
    </xdr:sp>
    <xdr:clientData/>
  </xdr:twoCellAnchor>
  <xdr:twoCellAnchor>
    <xdr:from>
      <xdr:col>0</xdr:col>
      <xdr:colOff>53287</xdr:colOff>
      <xdr:row>15</xdr:row>
      <xdr:rowOff>262608</xdr:rowOff>
    </xdr:from>
    <xdr:to>
      <xdr:col>2</xdr:col>
      <xdr:colOff>1223395</xdr:colOff>
      <xdr:row>19</xdr:row>
      <xdr:rowOff>3612</xdr:rowOff>
    </xdr:to>
    <xdr:sp macro="" textlink="">
      <xdr:nvSpPr>
        <xdr:cNvPr id="10" name="Rounded Rectangle 9">
          <a:extLst>
            <a:ext uri="{FF2B5EF4-FFF2-40B4-BE49-F238E27FC236}">
              <a16:creationId xmlns:a16="http://schemas.microsoft.com/office/drawing/2014/main" id="{712B1935-AE73-BC48-9D15-4064ECC571CF}"/>
            </a:ext>
          </a:extLst>
        </xdr:cNvPr>
        <xdr:cNvSpPr/>
      </xdr:nvSpPr>
      <xdr:spPr>
        <a:xfrm>
          <a:off x="53287" y="4263108"/>
          <a:ext cx="6935908" cy="845904"/>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20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Input Materials</a:t>
          </a:r>
        </a:p>
      </xdr:txBody>
    </xdr:sp>
    <xdr:clientData/>
  </xdr:twoCellAnchor>
  <xdr:twoCellAnchor>
    <xdr:from>
      <xdr:col>0</xdr:col>
      <xdr:colOff>53287</xdr:colOff>
      <xdr:row>19</xdr:row>
      <xdr:rowOff>138636</xdr:rowOff>
    </xdr:from>
    <xdr:to>
      <xdr:col>1</xdr:col>
      <xdr:colOff>1584588</xdr:colOff>
      <xdr:row>22</xdr:row>
      <xdr:rowOff>203199</xdr:rowOff>
    </xdr:to>
    <xdr:sp macro="" textlink="">
      <xdr:nvSpPr>
        <xdr:cNvPr id="11" name="Rounded Rectangle 10">
          <a:hlinkClick xmlns:r="http://schemas.openxmlformats.org/officeDocument/2006/relationships" r:id="rId4"/>
          <a:extLst>
            <a:ext uri="{FF2B5EF4-FFF2-40B4-BE49-F238E27FC236}">
              <a16:creationId xmlns:a16="http://schemas.microsoft.com/office/drawing/2014/main" id="{FCCBFE63-611E-6B4F-ACD6-6FD5F5BEA832}"/>
            </a:ext>
          </a:extLst>
        </xdr:cNvPr>
        <xdr:cNvSpPr/>
      </xdr:nvSpPr>
      <xdr:spPr>
        <a:xfrm>
          <a:off x="53287" y="5244036"/>
          <a:ext cx="5201601" cy="826563"/>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1.1 Precursor Materials(Click here add additional chemicals)</a:t>
          </a:r>
        </a:p>
      </xdr:txBody>
    </xdr:sp>
    <xdr:clientData/>
  </xdr:twoCellAnchor>
  <xdr:twoCellAnchor>
    <xdr:from>
      <xdr:col>2</xdr:col>
      <xdr:colOff>1582625</xdr:colOff>
      <xdr:row>22</xdr:row>
      <xdr:rowOff>254117</xdr:rowOff>
    </xdr:from>
    <xdr:to>
      <xdr:col>4</xdr:col>
      <xdr:colOff>114418</xdr:colOff>
      <xdr:row>26</xdr:row>
      <xdr:rowOff>141797</xdr:rowOff>
    </xdr:to>
    <xdr:sp macro="" textlink="">
      <xdr:nvSpPr>
        <xdr:cNvPr id="12" name="Rounded Rectangle 11">
          <a:extLst>
            <a:ext uri="{FF2B5EF4-FFF2-40B4-BE49-F238E27FC236}">
              <a16:creationId xmlns:a16="http://schemas.microsoft.com/office/drawing/2014/main" id="{F38B1FC4-CA89-8D4E-8934-4B63C02B1155}"/>
            </a:ext>
          </a:extLst>
        </xdr:cNvPr>
        <xdr:cNvSpPr/>
      </xdr:nvSpPr>
      <xdr:spPr>
        <a:xfrm>
          <a:off x="7348425" y="6121517"/>
          <a:ext cx="2913293" cy="903680"/>
        </a:xfrm>
        <a:prstGeom prst="roundRect">
          <a:avLst>
            <a:gd name="adj" fmla="val 46754"/>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Enter Amount of Precursor Used in this process </a:t>
          </a:r>
          <a:r>
            <a:rPr lang="en-US" sz="1400" b="0" i="0" u="none" strike="noStrike">
              <a:effectLst/>
              <a:latin typeface="Arial" panose="020B0604020202020204" pitchFamily="34" charset="0"/>
              <a:ea typeface="+mn-ea"/>
              <a:cs typeface="Arial" panose="020B0604020202020204" pitchFamily="34" charset="0"/>
            </a:rPr>
            <a:t>↓</a:t>
          </a:r>
          <a:endPar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endParaRPr>
        </a:p>
      </xdr:txBody>
    </xdr:sp>
    <xdr:clientData/>
  </xdr:twoCellAnchor>
  <xdr:twoCellAnchor>
    <xdr:from>
      <xdr:col>7</xdr:col>
      <xdr:colOff>187538</xdr:colOff>
      <xdr:row>27</xdr:row>
      <xdr:rowOff>37947</xdr:rowOff>
    </xdr:from>
    <xdr:to>
      <xdr:col>10</xdr:col>
      <xdr:colOff>517339</xdr:colOff>
      <xdr:row>29</xdr:row>
      <xdr:rowOff>204822</xdr:rowOff>
    </xdr:to>
    <xdr:sp macro="" textlink="">
      <xdr:nvSpPr>
        <xdr:cNvPr id="13" name="Rounded Rectangle 12">
          <a:hlinkClick xmlns:r="http://schemas.openxmlformats.org/officeDocument/2006/relationships" r:id="rId4"/>
          <a:extLst>
            <a:ext uri="{FF2B5EF4-FFF2-40B4-BE49-F238E27FC236}">
              <a16:creationId xmlns:a16="http://schemas.microsoft.com/office/drawing/2014/main" id="{03D3680F-8A62-6A49-AD77-25A72848AEB7}"/>
            </a:ext>
          </a:extLst>
        </xdr:cNvPr>
        <xdr:cNvSpPr/>
      </xdr:nvSpPr>
      <xdr:spPr>
        <a:xfrm>
          <a:off x="17294438" y="7175347"/>
          <a:ext cx="2946001" cy="954275"/>
        </a:xfrm>
        <a:prstGeom prst="roundRect">
          <a:avLst>
            <a:gd name="adj" fmla="val 24141"/>
          </a:avLst>
        </a:prstGeom>
        <a:solidFill>
          <a:schemeClr val="accent5">
            <a:lumMod val="40000"/>
            <a:lumOff val="60000"/>
          </a:scheme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Theoretical Amount of Product obtained is calcuated based on Molar mass and ratios</a:t>
          </a:r>
        </a:p>
      </xdr:txBody>
    </xdr:sp>
    <xdr:clientData/>
  </xdr:twoCellAnchor>
  <xdr:twoCellAnchor>
    <xdr:from>
      <xdr:col>0</xdr:col>
      <xdr:colOff>53287</xdr:colOff>
      <xdr:row>31</xdr:row>
      <xdr:rowOff>240237</xdr:rowOff>
    </xdr:from>
    <xdr:to>
      <xdr:col>0</xdr:col>
      <xdr:colOff>2870200</xdr:colOff>
      <xdr:row>34</xdr:row>
      <xdr:rowOff>12817</xdr:rowOff>
    </xdr:to>
    <xdr:sp macro="" textlink="">
      <xdr:nvSpPr>
        <xdr:cNvPr id="14" name="Rounded Rectangle 13">
          <a:extLst>
            <a:ext uri="{FF2B5EF4-FFF2-40B4-BE49-F238E27FC236}">
              <a16:creationId xmlns:a16="http://schemas.microsoft.com/office/drawing/2014/main" id="{B954E892-24C2-4D42-8940-87D85BC1E58A}"/>
            </a:ext>
          </a:extLst>
        </xdr:cNvPr>
        <xdr:cNvSpPr/>
      </xdr:nvSpPr>
      <xdr:spPr>
        <a:xfrm>
          <a:off x="53287" y="8673037"/>
          <a:ext cx="2816913" cy="534580"/>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1.2 Solvents</a:t>
          </a:r>
        </a:p>
      </xdr:txBody>
    </xdr:sp>
    <xdr:clientData/>
  </xdr:twoCellAnchor>
  <xdr:twoCellAnchor>
    <xdr:from>
      <xdr:col>2</xdr:col>
      <xdr:colOff>387723</xdr:colOff>
      <xdr:row>12</xdr:row>
      <xdr:rowOff>228600</xdr:rowOff>
    </xdr:from>
    <xdr:to>
      <xdr:col>2</xdr:col>
      <xdr:colOff>976939</xdr:colOff>
      <xdr:row>14</xdr:row>
      <xdr:rowOff>46736</xdr:rowOff>
    </xdr:to>
    <xdr:sp macro="" textlink="">
      <xdr:nvSpPr>
        <xdr:cNvPr id="15" name="Text Placeholder 1248">
          <a:extLst>
            <a:ext uri="{FF2B5EF4-FFF2-40B4-BE49-F238E27FC236}">
              <a16:creationId xmlns:a16="http://schemas.microsoft.com/office/drawing/2014/main" id="{35F409EE-4BEB-9E45-9E81-8B3AF6643820}"/>
            </a:ext>
          </a:extLst>
        </xdr:cNvPr>
        <xdr:cNvSpPr>
          <a:spLocks noGrp="1"/>
        </xdr:cNvSpPr>
      </xdr:nvSpPr>
      <xdr:spPr>
        <a:xfrm>
          <a:off x="6153523" y="3352800"/>
          <a:ext cx="589216" cy="453136"/>
        </a:xfrm>
        <a:prstGeom prst="ellipse">
          <a:avLst/>
        </a:prstGeom>
        <a:solidFill>
          <a:srgbClr val="FFC000">
            <a:lumMod val="60000"/>
            <a:lumOff val="40000"/>
          </a:srgbClr>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r>
            <a:rPr lang="en-US">
              <a:latin typeface="Arial" panose="020B0604020202020204" pitchFamily="34" charset="0"/>
              <a:cs typeface="Arial" panose="020B0604020202020204" pitchFamily="34" charset="0"/>
            </a:rPr>
            <a:t>1</a:t>
          </a:r>
        </a:p>
      </xdr:txBody>
    </xdr:sp>
    <xdr:clientData/>
  </xdr:twoCellAnchor>
  <xdr:twoCellAnchor>
    <xdr:from>
      <xdr:col>4</xdr:col>
      <xdr:colOff>1995714</xdr:colOff>
      <xdr:row>7</xdr:row>
      <xdr:rowOff>165100</xdr:rowOff>
    </xdr:from>
    <xdr:to>
      <xdr:col>5</xdr:col>
      <xdr:colOff>262636</xdr:colOff>
      <xdr:row>9</xdr:row>
      <xdr:rowOff>237236</xdr:rowOff>
    </xdr:to>
    <xdr:sp macro="" textlink="">
      <xdr:nvSpPr>
        <xdr:cNvPr id="16" name="Text Placeholder 1248">
          <a:extLst>
            <a:ext uri="{FF2B5EF4-FFF2-40B4-BE49-F238E27FC236}">
              <a16:creationId xmlns:a16="http://schemas.microsoft.com/office/drawing/2014/main" id="{A9AC1253-5A91-DA4A-9588-08A61A3B209B}"/>
            </a:ext>
          </a:extLst>
        </xdr:cNvPr>
        <xdr:cNvSpPr>
          <a:spLocks noGrp="1"/>
        </xdr:cNvSpPr>
      </xdr:nvSpPr>
      <xdr:spPr>
        <a:xfrm>
          <a:off x="12143014" y="2019300"/>
          <a:ext cx="578322" cy="580136"/>
        </a:xfrm>
        <a:prstGeom prst="ellipse">
          <a:avLst/>
        </a:prstGeom>
        <a:solidFill>
          <a:srgbClr val="FFC000">
            <a:lumMod val="60000"/>
            <a:lumOff val="40000"/>
          </a:srgbClr>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r>
            <a:rPr lang="en-US"/>
            <a:t>#</a:t>
          </a:r>
        </a:p>
      </xdr:txBody>
    </xdr:sp>
    <xdr:clientData/>
  </xdr:twoCellAnchor>
  <xdr:twoCellAnchor>
    <xdr:from>
      <xdr:col>4</xdr:col>
      <xdr:colOff>1995714</xdr:colOff>
      <xdr:row>10</xdr:row>
      <xdr:rowOff>139700</xdr:rowOff>
    </xdr:from>
    <xdr:to>
      <xdr:col>5</xdr:col>
      <xdr:colOff>262636</xdr:colOff>
      <xdr:row>12</xdr:row>
      <xdr:rowOff>211836</xdr:rowOff>
    </xdr:to>
    <xdr:sp macro="" textlink="">
      <xdr:nvSpPr>
        <xdr:cNvPr id="17" name="Text Placeholder 1248">
          <a:extLst>
            <a:ext uri="{FF2B5EF4-FFF2-40B4-BE49-F238E27FC236}">
              <a16:creationId xmlns:a16="http://schemas.microsoft.com/office/drawing/2014/main" id="{DA376AB2-D4A0-B245-AF2D-2256E740BC18}"/>
            </a:ext>
          </a:extLst>
        </xdr:cNvPr>
        <xdr:cNvSpPr>
          <a:spLocks noGrp="1"/>
        </xdr:cNvSpPr>
      </xdr:nvSpPr>
      <xdr:spPr>
        <a:xfrm>
          <a:off x="12143014" y="2755900"/>
          <a:ext cx="578322" cy="580136"/>
        </a:xfrm>
        <a:prstGeom prst="ellipse">
          <a:avLst/>
        </a:prstGeom>
        <a:solidFill>
          <a:srgbClr val="60CCF3"/>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r>
            <a:rPr lang="en-US"/>
            <a:t>#</a:t>
          </a:r>
        </a:p>
      </xdr:txBody>
    </xdr:sp>
    <xdr:clientData/>
  </xdr:twoCellAnchor>
  <xdr:twoCellAnchor>
    <xdr:from>
      <xdr:col>5</xdr:col>
      <xdr:colOff>408887</xdr:colOff>
      <xdr:row>7</xdr:row>
      <xdr:rowOff>165100</xdr:rowOff>
    </xdr:from>
    <xdr:to>
      <xdr:col>6</xdr:col>
      <xdr:colOff>914400</xdr:colOff>
      <xdr:row>9</xdr:row>
      <xdr:rowOff>217080</xdr:rowOff>
    </xdr:to>
    <xdr:sp macro="" textlink="">
      <xdr:nvSpPr>
        <xdr:cNvPr id="18" name="Rounded Rectangle 17">
          <a:extLst>
            <a:ext uri="{FF2B5EF4-FFF2-40B4-BE49-F238E27FC236}">
              <a16:creationId xmlns:a16="http://schemas.microsoft.com/office/drawing/2014/main" id="{5ECEFF97-23AE-5047-B84A-E76782E72C30}"/>
            </a:ext>
          </a:extLst>
        </xdr:cNvPr>
        <xdr:cNvSpPr/>
      </xdr:nvSpPr>
      <xdr:spPr>
        <a:xfrm>
          <a:off x="12867587" y="2019300"/>
          <a:ext cx="2816913" cy="559980"/>
        </a:xfrm>
        <a:prstGeom prst="roundRect">
          <a:avLst>
            <a:gd name="adj" fmla="val 43110"/>
          </a:avLst>
        </a:prstGeom>
        <a:solidFill>
          <a:srgbClr val="FFC000">
            <a:lumMod val="60000"/>
            <a:lumOff val="40000"/>
          </a:srgbClr>
        </a:solidFill>
        <a:ln w="44450">
          <a:solidFill>
            <a:sysClr val="windowText" lastClr="000000"/>
          </a:solidFill>
        </a:ln>
      </xdr:spPr>
      <xdr:txBody>
        <a:bodyPr vert="horz" wrap="square" lIns="0" tIns="0" rIns="0" bIns="0" rtlCol="0" anchor="ctr">
          <a:noAutofit/>
        </a:bodyPr>
        <a:lstStyle/>
        <a:p>
          <a:pPr marL="0" marR="0" lvl="0" indent="0" algn="ctr" defTabSz="914400" rtl="0" eaLnBrk="1" fontAlgn="auto" latinLnBrk="0" hangingPunct="1">
            <a:lnSpc>
              <a:spcPct val="100000"/>
            </a:lnSpc>
            <a:spcBef>
              <a:spcPts val="0"/>
            </a:spcBef>
            <a:spcAft>
              <a:spcPts val="0"/>
            </a:spcAft>
            <a:buClrTx/>
            <a:buSzTx/>
            <a:buFont typeface="Arial" panose="020B0604020202020204" pitchFamily="34" charset="0"/>
            <a:buNone/>
            <a:tabLst/>
            <a:defRPr/>
          </a:pPr>
          <a:r>
            <a:rPr lang="en-US" sz="2800" b="1" kern="1200">
              <a:ln w="0">
                <a:noFill/>
              </a:ln>
              <a:solidFill>
                <a:sysClr val="windowText" lastClr="000000"/>
              </a:solidFill>
              <a:latin typeface="Tw Cen MT"/>
              <a:ea typeface="+mn-ea"/>
              <a:cs typeface="+mn-cs"/>
            </a:rPr>
            <a:t>Required</a:t>
          </a:r>
        </a:p>
      </xdr:txBody>
    </xdr:sp>
    <xdr:clientData/>
  </xdr:twoCellAnchor>
  <xdr:twoCellAnchor>
    <xdr:from>
      <xdr:col>5</xdr:col>
      <xdr:colOff>408887</xdr:colOff>
      <xdr:row>10</xdr:row>
      <xdr:rowOff>190500</xdr:rowOff>
    </xdr:from>
    <xdr:to>
      <xdr:col>6</xdr:col>
      <xdr:colOff>914400</xdr:colOff>
      <xdr:row>12</xdr:row>
      <xdr:rowOff>242480</xdr:rowOff>
    </xdr:to>
    <xdr:sp macro="" textlink="">
      <xdr:nvSpPr>
        <xdr:cNvPr id="19" name="Rounded Rectangle 18">
          <a:extLst>
            <a:ext uri="{FF2B5EF4-FFF2-40B4-BE49-F238E27FC236}">
              <a16:creationId xmlns:a16="http://schemas.microsoft.com/office/drawing/2014/main" id="{4783D8F1-9E81-2941-9F5E-31982F603F67}"/>
            </a:ext>
          </a:extLst>
        </xdr:cNvPr>
        <xdr:cNvSpPr/>
      </xdr:nvSpPr>
      <xdr:spPr>
        <a:xfrm>
          <a:off x="12867587" y="2806700"/>
          <a:ext cx="2816913" cy="559980"/>
        </a:xfrm>
        <a:prstGeom prst="roundRect">
          <a:avLst>
            <a:gd name="adj" fmla="val 43110"/>
          </a:avLst>
        </a:prstGeom>
        <a:solidFill>
          <a:srgbClr val="60CCF3"/>
        </a:solidFill>
        <a:ln w="44450">
          <a:solidFill>
            <a:sysClr val="windowText" lastClr="000000"/>
          </a:solidFill>
        </a:ln>
      </xdr:spPr>
      <xdr:txBody>
        <a:bodyPr vert="horz" wrap="square" lIns="0" tIns="0" rIns="0" bIns="0" rtlCol="0" anchor="ctr">
          <a:noAutofit/>
        </a:bodyPr>
        <a:lstStyle/>
        <a:p>
          <a:pPr marL="0" marR="0" lvl="0" indent="0" algn="ctr" defTabSz="914400" rtl="0" eaLnBrk="1" fontAlgn="auto" latinLnBrk="0" hangingPunct="1">
            <a:lnSpc>
              <a:spcPct val="100000"/>
            </a:lnSpc>
            <a:spcBef>
              <a:spcPts val="0"/>
            </a:spcBef>
            <a:spcAft>
              <a:spcPts val="0"/>
            </a:spcAft>
            <a:buClrTx/>
            <a:buSzTx/>
            <a:buFont typeface="Arial" panose="020B0604020202020204" pitchFamily="34" charset="0"/>
            <a:buNone/>
            <a:tabLst/>
            <a:defRPr/>
          </a:pPr>
          <a:r>
            <a:rPr lang="en-US" sz="2800" b="1" kern="1200">
              <a:ln w="0">
                <a:noFill/>
              </a:ln>
              <a:solidFill>
                <a:sysClr val="windowText" lastClr="000000"/>
              </a:solidFill>
              <a:latin typeface="Tw Cen MT"/>
              <a:ea typeface="+mn-ea"/>
              <a:cs typeface="+mn-cs"/>
            </a:rPr>
            <a:t>Optional</a:t>
          </a:r>
        </a:p>
      </xdr:txBody>
    </xdr:sp>
    <xdr:clientData/>
  </xdr:twoCellAnchor>
  <xdr:twoCellAnchor>
    <xdr:from>
      <xdr:col>0</xdr:col>
      <xdr:colOff>3500325</xdr:colOff>
      <xdr:row>22</xdr:row>
      <xdr:rowOff>254117</xdr:rowOff>
    </xdr:from>
    <xdr:to>
      <xdr:col>2</xdr:col>
      <xdr:colOff>190618</xdr:colOff>
      <xdr:row>26</xdr:row>
      <xdr:rowOff>141797</xdr:rowOff>
    </xdr:to>
    <xdr:sp macro="" textlink="">
      <xdr:nvSpPr>
        <xdr:cNvPr id="20" name="Rounded Rectangle 19">
          <a:extLst>
            <a:ext uri="{FF2B5EF4-FFF2-40B4-BE49-F238E27FC236}">
              <a16:creationId xmlns:a16="http://schemas.microsoft.com/office/drawing/2014/main" id="{99533C6E-9F73-954D-8F22-FC221AD3CC0F}"/>
            </a:ext>
          </a:extLst>
        </xdr:cNvPr>
        <xdr:cNvSpPr/>
      </xdr:nvSpPr>
      <xdr:spPr>
        <a:xfrm>
          <a:off x="3500325" y="6121517"/>
          <a:ext cx="2456093" cy="903680"/>
        </a:xfrm>
        <a:prstGeom prst="roundRect">
          <a:avLst>
            <a:gd name="adj" fmla="val 46754"/>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Choose from known precursors from drop down menu</a:t>
          </a:r>
        </a:p>
      </xdr:txBody>
    </xdr:sp>
    <xdr:clientData/>
  </xdr:twoCellAnchor>
  <xdr:twoCellAnchor>
    <xdr:from>
      <xdr:col>0</xdr:col>
      <xdr:colOff>3233697</xdr:colOff>
      <xdr:row>23</xdr:row>
      <xdr:rowOff>190500</xdr:rowOff>
    </xdr:from>
    <xdr:to>
      <xdr:col>1</xdr:col>
      <xdr:colOff>135636</xdr:colOff>
      <xdr:row>25</xdr:row>
      <xdr:rowOff>249936</xdr:rowOff>
    </xdr:to>
    <xdr:sp macro="" textlink="">
      <xdr:nvSpPr>
        <xdr:cNvPr id="21" name="Text Placeholder 1248">
          <a:extLst>
            <a:ext uri="{FF2B5EF4-FFF2-40B4-BE49-F238E27FC236}">
              <a16:creationId xmlns:a16="http://schemas.microsoft.com/office/drawing/2014/main" id="{0D6C2D95-E6B4-EF4C-B040-5D0A130DA1C5}"/>
            </a:ext>
          </a:extLst>
        </xdr:cNvPr>
        <xdr:cNvSpPr>
          <a:spLocks noGrp="1"/>
        </xdr:cNvSpPr>
      </xdr:nvSpPr>
      <xdr:spPr>
        <a:xfrm>
          <a:off x="3233697" y="6311900"/>
          <a:ext cx="572239" cy="567436"/>
        </a:xfrm>
        <a:prstGeom prst="ellipse">
          <a:avLst/>
        </a:prstGeom>
        <a:solidFill>
          <a:srgbClr val="60CCF3"/>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r>
            <a:rPr lang="en-US">
              <a:latin typeface="Arial" panose="020B0604020202020204" pitchFamily="34" charset="0"/>
              <a:cs typeface="Arial" panose="020B0604020202020204" pitchFamily="34" charset="0"/>
            </a:rPr>
            <a:t>2</a:t>
          </a:r>
        </a:p>
      </xdr:txBody>
    </xdr:sp>
    <xdr:clientData/>
  </xdr:twoCellAnchor>
  <xdr:twoCellAnchor>
    <xdr:from>
      <xdr:col>2</xdr:col>
      <xdr:colOff>1248656</xdr:colOff>
      <xdr:row>23</xdr:row>
      <xdr:rowOff>190500</xdr:rowOff>
    </xdr:from>
    <xdr:to>
      <xdr:col>2</xdr:col>
      <xdr:colOff>1816100</xdr:colOff>
      <xdr:row>25</xdr:row>
      <xdr:rowOff>249936</xdr:rowOff>
    </xdr:to>
    <xdr:sp macro="" textlink="">
      <xdr:nvSpPr>
        <xdr:cNvPr id="22" name="Text Placeholder 1248">
          <a:extLst>
            <a:ext uri="{FF2B5EF4-FFF2-40B4-BE49-F238E27FC236}">
              <a16:creationId xmlns:a16="http://schemas.microsoft.com/office/drawing/2014/main" id="{FE239FDB-0BC7-7648-A5B1-4DFD6F88EA45}"/>
            </a:ext>
          </a:extLst>
        </xdr:cNvPr>
        <xdr:cNvSpPr>
          <a:spLocks noGrp="1"/>
        </xdr:cNvSpPr>
      </xdr:nvSpPr>
      <xdr:spPr>
        <a:xfrm>
          <a:off x="7014456" y="6311900"/>
          <a:ext cx="567444" cy="567436"/>
        </a:xfrm>
        <a:prstGeom prst="ellipse">
          <a:avLst/>
        </a:prstGeom>
        <a:solidFill>
          <a:srgbClr val="60CCF3"/>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r>
            <a:rPr lang="en-US">
              <a:latin typeface="Arial" panose="020B0604020202020204" pitchFamily="34" charset="0"/>
              <a:cs typeface="Arial" panose="020B0604020202020204" pitchFamily="34" charset="0"/>
            </a:rPr>
            <a:t>3</a:t>
          </a:r>
        </a:p>
      </xdr:txBody>
    </xdr:sp>
    <xdr:clientData/>
  </xdr:twoCellAnchor>
  <xdr:twoCellAnchor>
    <xdr:from>
      <xdr:col>1</xdr:col>
      <xdr:colOff>2804</xdr:colOff>
      <xdr:row>33</xdr:row>
      <xdr:rowOff>232402</xdr:rowOff>
    </xdr:from>
    <xdr:to>
      <xdr:col>1</xdr:col>
      <xdr:colOff>1727791</xdr:colOff>
      <xdr:row>35</xdr:row>
      <xdr:rowOff>207800</xdr:rowOff>
    </xdr:to>
    <xdr:sp macro="" textlink="">
      <xdr:nvSpPr>
        <xdr:cNvPr id="23" name="Rounded Rectangle 22">
          <a:extLst>
            <a:ext uri="{FF2B5EF4-FFF2-40B4-BE49-F238E27FC236}">
              <a16:creationId xmlns:a16="http://schemas.microsoft.com/office/drawing/2014/main" id="{C55FCF72-EC26-F949-BB2F-604FC4763304}"/>
            </a:ext>
          </a:extLst>
        </xdr:cNvPr>
        <xdr:cNvSpPr/>
      </xdr:nvSpPr>
      <xdr:spPr>
        <a:xfrm>
          <a:off x="3673104" y="9173202"/>
          <a:ext cx="1724987" cy="483398"/>
        </a:xfrm>
        <a:prstGeom prst="roundRect">
          <a:avLst>
            <a:gd name="adj" fmla="val 46754"/>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Choose Solvent</a:t>
          </a:r>
        </a:p>
      </xdr:txBody>
    </xdr:sp>
    <xdr:clientData/>
  </xdr:twoCellAnchor>
  <xdr:twoCellAnchor>
    <xdr:from>
      <xdr:col>0</xdr:col>
      <xdr:colOff>3293533</xdr:colOff>
      <xdr:row>33</xdr:row>
      <xdr:rowOff>190383</xdr:rowOff>
    </xdr:from>
    <xdr:to>
      <xdr:col>1</xdr:col>
      <xdr:colOff>211836</xdr:colOff>
      <xdr:row>35</xdr:row>
      <xdr:rowOff>249819</xdr:rowOff>
    </xdr:to>
    <xdr:sp macro="" textlink="">
      <xdr:nvSpPr>
        <xdr:cNvPr id="24" name="Text Placeholder 1248">
          <a:extLst>
            <a:ext uri="{FF2B5EF4-FFF2-40B4-BE49-F238E27FC236}">
              <a16:creationId xmlns:a16="http://schemas.microsoft.com/office/drawing/2014/main" id="{36B8C6F5-D300-C04F-92EE-A5A5BEABACF8}"/>
            </a:ext>
          </a:extLst>
        </xdr:cNvPr>
        <xdr:cNvSpPr>
          <a:spLocks noGrp="1"/>
        </xdr:cNvSpPr>
      </xdr:nvSpPr>
      <xdr:spPr>
        <a:xfrm>
          <a:off x="3293533" y="9131183"/>
          <a:ext cx="588603" cy="567436"/>
        </a:xfrm>
        <a:prstGeom prst="ellipse">
          <a:avLst/>
        </a:prstGeom>
        <a:solidFill>
          <a:srgbClr val="60CCF3"/>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r>
            <a:rPr lang="en-US">
              <a:latin typeface="Arial" panose="020B0604020202020204" pitchFamily="34" charset="0"/>
              <a:cs typeface="Arial" panose="020B0604020202020204" pitchFamily="34" charset="0"/>
            </a:rPr>
            <a:t>4</a:t>
          </a:r>
        </a:p>
      </xdr:txBody>
    </xdr:sp>
    <xdr:clientData/>
  </xdr:twoCellAnchor>
  <xdr:twoCellAnchor>
    <xdr:from>
      <xdr:col>2</xdr:col>
      <xdr:colOff>334184</xdr:colOff>
      <xdr:row>33</xdr:row>
      <xdr:rowOff>216011</xdr:rowOff>
    </xdr:from>
    <xdr:to>
      <xdr:col>3</xdr:col>
      <xdr:colOff>317500</xdr:colOff>
      <xdr:row>35</xdr:row>
      <xdr:rowOff>192591</xdr:rowOff>
    </xdr:to>
    <xdr:sp macro="" textlink="">
      <xdr:nvSpPr>
        <xdr:cNvPr id="25" name="Rounded Rectangle 24">
          <a:extLst>
            <a:ext uri="{FF2B5EF4-FFF2-40B4-BE49-F238E27FC236}">
              <a16:creationId xmlns:a16="http://schemas.microsoft.com/office/drawing/2014/main" id="{31551CAA-ECA4-2544-8629-2BEA6D1764DB}"/>
            </a:ext>
          </a:extLst>
        </xdr:cNvPr>
        <xdr:cNvSpPr/>
      </xdr:nvSpPr>
      <xdr:spPr>
        <a:xfrm>
          <a:off x="6099984" y="9156811"/>
          <a:ext cx="2053416" cy="484580"/>
        </a:xfrm>
        <a:prstGeom prst="roundRect">
          <a:avLst>
            <a:gd name="adj" fmla="val 46754"/>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Enter Solvent</a:t>
          </a:r>
        </a:p>
      </xdr:txBody>
    </xdr:sp>
    <xdr:clientData/>
  </xdr:twoCellAnchor>
  <xdr:twoCellAnchor>
    <xdr:from>
      <xdr:col>1</xdr:col>
      <xdr:colOff>1998920</xdr:colOff>
      <xdr:row>33</xdr:row>
      <xdr:rowOff>168233</xdr:rowOff>
    </xdr:from>
    <xdr:to>
      <xdr:col>2</xdr:col>
      <xdr:colOff>529630</xdr:colOff>
      <xdr:row>35</xdr:row>
      <xdr:rowOff>240369</xdr:rowOff>
    </xdr:to>
    <xdr:sp macro="" textlink="">
      <xdr:nvSpPr>
        <xdr:cNvPr id="26" name="Text Placeholder 1248">
          <a:extLst>
            <a:ext uri="{FF2B5EF4-FFF2-40B4-BE49-F238E27FC236}">
              <a16:creationId xmlns:a16="http://schemas.microsoft.com/office/drawing/2014/main" id="{1A670D18-418D-E14C-B9CD-865A08733B39}"/>
            </a:ext>
          </a:extLst>
        </xdr:cNvPr>
        <xdr:cNvSpPr>
          <a:spLocks noGrp="1"/>
        </xdr:cNvSpPr>
      </xdr:nvSpPr>
      <xdr:spPr>
        <a:xfrm>
          <a:off x="5669220" y="9109033"/>
          <a:ext cx="626210" cy="580136"/>
        </a:xfrm>
        <a:prstGeom prst="ellipse">
          <a:avLst/>
        </a:prstGeom>
        <a:solidFill>
          <a:srgbClr val="60CCF3"/>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r>
            <a:rPr lang="en-US">
              <a:latin typeface="Arial" panose="020B0604020202020204" pitchFamily="34" charset="0"/>
              <a:cs typeface="Arial" panose="020B0604020202020204" pitchFamily="34" charset="0"/>
            </a:rPr>
            <a:t>5</a:t>
          </a:r>
        </a:p>
      </xdr:txBody>
    </xdr:sp>
    <xdr:clientData/>
  </xdr:twoCellAnchor>
  <xdr:twoCellAnchor>
    <xdr:from>
      <xdr:col>0</xdr:col>
      <xdr:colOff>53287</xdr:colOff>
      <xdr:row>41</xdr:row>
      <xdr:rowOff>11637</xdr:rowOff>
    </xdr:from>
    <xdr:to>
      <xdr:col>0</xdr:col>
      <xdr:colOff>2870200</xdr:colOff>
      <xdr:row>43</xdr:row>
      <xdr:rowOff>63617</xdr:rowOff>
    </xdr:to>
    <xdr:sp macro="" textlink="">
      <xdr:nvSpPr>
        <xdr:cNvPr id="27" name="Rounded Rectangle 26">
          <a:extLst>
            <a:ext uri="{FF2B5EF4-FFF2-40B4-BE49-F238E27FC236}">
              <a16:creationId xmlns:a16="http://schemas.microsoft.com/office/drawing/2014/main" id="{0AD113DF-50CE-924E-9D2C-7921EB308039}"/>
            </a:ext>
          </a:extLst>
        </xdr:cNvPr>
        <xdr:cNvSpPr/>
      </xdr:nvSpPr>
      <xdr:spPr>
        <a:xfrm>
          <a:off x="53287" y="11022537"/>
          <a:ext cx="2816913" cy="559980"/>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1.3 Water</a:t>
          </a:r>
        </a:p>
      </xdr:txBody>
    </xdr:sp>
    <xdr:clientData/>
  </xdr:twoCellAnchor>
  <xdr:twoCellAnchor>
    <xdr:from>
      <xdr:col>1</xdr:col>
      <xdr:colOff>84026</xdr:colOff>
      <xdr:row>43</xdr:row>
      <xdr:rowOff>85761</xdr:rowOff>
    </xdr:from>
    <xdr:to>
      <xdr:col>1</xdr:col>
      <xdr:colOff>1557966</xdr:colOff>
      <xdr:row>45</xdr:row>
      <xdr:rowOff>62341</xdr:rowOff>
    </xdr:to>
    <xdr:sp macro="" textlink="">
      <xdr:nvSpPr>
        <xdr:cNvPr id="28" name="Rounded Rectangle 27">
          <a:extLst>
            <a:ext uri="{FF2B5EF4-FFF2-40B4-BE49-F238E27FC236}">
              <a16:creationId xmlns:a16="http://schemas.microsoft.com/office/drawing/2014/main" id="{D6D75C27-6729-6B49-BF8F-068EDC590232}"/>
            </a:ext>
          </a:extLst>
        </xdr:cNvPr>
        <xdr:cNvSpPr/>
      </xdr:nvSpPr>
      <xdr:spPr>
        <a:xfrm>
          <a:off x="3754326" y="11604661"/>
          <a:ext cx="1473940" cy="662380"/>
        </a:xfrm>
        <a:prstGeom prst="roundRect">
          <a:avLst>
            <a:gd name="adj" fmla="val 46754"/>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Choose Type</a:t>
          </a:r>
        </a:p>
      </xdr:txBody>
    </xdr:sp>
    <xdr:clientData/>
  </xdr:twoCellAnchor>
  <xdr:twoCellAnchor>
    <xdr:from>
      <xdr:col>0</xdr:col>
      <xdr:colOff>3274533</xdr:colOff>
      <xdr:row>43</xdr:row>
      <xdr:rowOff>94651</xdr:rowOff>
    </xdr:from>
    <xdr:to>
      <xdr:col>1</xdr:col>
      <xdr:colOff>200000</xdr:colOff>
      <xdr:row>45</xdr:row>
      <xdr:rowOff>6668</xdr:rowOff>
    </xdr:to>
    <xdr:sp macro="" textlink="">
      <xdr:nvSpPr>
        <xdr:cNvPr id="29" name="Text Placeholder 1248">
          <a:extLst>
            <a:ext uri="{FF2B5EF4-FFF2-40B4-BE49-F238E27FC236}">
              <a16:creationId xmlns:a16="http://schemas.microsoft.com/office/drawing/2014/main" id="{8749DA61-7302-4341-BB45-62AEE5550622}"/>
            </a:ext>
          </a:extLst>
        </xdr:cNvPr>
        <xdr:cNvSpPr>
          <a:spLocks noGrp="1"/>
        </xdr:cNvSpPr>
      </xdr:nvSpPr>
      <xdr:spPr>
        <a:xfrm>
          <a:off x="3274533" y="11613551"/>
          <a:ext cx="595767" cy="597817"/>
        </a:xfrm>
        <a:prstGeom prst="ellipse">
          <a:avLst/>
        </a:prstGeom>
        <a:solidFill>
          <a:srgbClr val="60CCF3"/>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r>
            <a:rPr lang="en-US">
              <a:latin typeface="Arial" panose="020B0604020202020204" pitchFamily="34" charset="0"/>
              <a:cs typeface="Arial" panose="020B0604020202020204" pitchFamily="34" charset="0"/>
            </a:rPr>
            <a:t>6</a:t>
          </a:r>
        </a:p>
      </xdr:txBody>
    </xdr:sp>
    <xdr:clientData/>
  </xdr:twoCellAnchor>
  <xdr:twoCellAnchor>
    <xdr:from>
      <xdr:col>2</xdr:col>
      <xdr:colOff>228895</xdr:colOff>
      <xdr:row>43</xdr:row>
      <xdr:rowOff>93145</xdr:rowOff>
    </xdr:from>
    <xdr:to>
      <xdr:col>3</xdr:col>
      <xdr:colOff>114300</xdr:colOff>
      <xdr:row>45</xdr:row>
      <xdr:rowOff>69725</xdr:rowOff>
    </xdr:to>
    <xdr:sp macro="" textlink="">
      <xdr:nvSpPr>
        <xdr:cNvPr id="30" name="Rounded Rectangle 29">
          <a:extLst>
            <a:ext uri="{FF2B5EF4-FFF2-40B4-BE49-F238E27FC236}">
              <a16:creationId xmlns:a16="http://schemas.microsoft.com/office/drawing/2014/main" id="{078E340D-6137-1E40-A604-991F2F63E01F}"/>
            </a:ext>
          </a:extLst>
        </xdr:cNvPr>
        <xdr:cNvSpPr/>
      </xdr:nvSpPr>
      <xdr:spPr>
        <a:xfrm>
          <a:off x="5994695" y="11612045"/>
          <a:ext cx="1955505" cy="662380"/>
        </a:xfrm>
        <a:prstGeom prst="roundRect">
          <a:avLst>
            <a:gd name="adj" fmla="val 46754"/>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Enter Quantity</a:t>
          </a:r>
        </a:p>
      </xdr:txBody>
    </xdr:sp>
    <xdr:clientData/>
  </xdr:twoCellAnchor>
  <xdr:twoCellAnchor>
    <xdr:from>
      <xdr:col>1</xdr:col>
      <xdr:colOff>1799560</xdr:colOff>
      <xdr:row>43</xdr:row>
      <xdr:rowOff>45367</xdr:rowOff>
    </xdr:from>
    <xdr:to>
      <xdr:col>2</xdr:col>
      <xdr:colOff>350000</xdr:colOff>
      <xdr:row>45</xdr:row>
      <xdr:rowOff>13333</xdr:rowOff>
    </xdr:to>
    <xdr:sp macro="" textlink="">
      <xdr:nvSpPr>
        <xdr:cNvPr id="31" name="Text Placeholder 1248">
          <a:extLst>
            <a:ext uri="{FF2B5EF4-FFF2-40B4-BE49-F238E27FC236}">
              <a16:creationId xmlns:a16="http://schemas.microsoft.com/office/drawing/2014/main" id="{D9A3FF9B-F104-F54D-9E30-A8E6A5AD04BD}"/>
            </a:ext>
          </a:extLst>
        </xdr:cNvPr>
        <xdr:cNvSpPr>
          <a:spLocks noGrp="1"/>
        </xdr:cNvSpPr>
      </xdr:nvSpPr>
      <xdr:spPr>
        <a:xfrm>
          <a:off x="5469860" y="11564267"/>
          <a:ext cx="645940" cy="653766"/>
        </a:xfrm>
        <a:prstGeom prst="ellipse">
          <a:avLst/>
        </a:prstGeom>
        <a:solidFill>
          <a:srgbClr val="60CCF3"/>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r>
            <a:rPr lang="en-US">
              <a:latin typeface="Arial" panose="020B0604020202020204" pitchFamily="34" charset="0"/>
              <a:cs typeface="Arial" panose="020B0604020202020204" pitchFamily="34" charset="0"/>
            </a:rPr>
            <a:t>7</a:t>
          </a:r>
        </a:p>
      </xdr:txBody>
    </xdr:sp>
    <xdr:clientData/>
  </xdr:twoCellAnchor>
  <xdr:twoCellAnchor>
    <xdr:from>
      <xdr:col>0</xdr:col>
      <xdr:colOff>53287</xdr:colOff>
      <xdr:row>51</xdr:row>
      <xdr:rowOff>209595</xdr:rowOff>
    </xdr:from>
    <xdr:to>
      <xdr:col>3</xdr:col>
      <xdr:colOff>1110140</xdr:colOff>
      <xdr:row>54</xdr:row>
      <xdr:rowOff>84666</xdr:rowOff>
    </xdr:to>
    <xdr:sp macro="" textlink="">
      <xdr:nvSpPr>
        <xdr:cNvPr id="32" name="Rounded Rectangle 31">
          <a:extLst>
            <a:ext uri="{FF2B5EF4-FFF2-40B4-BE49-F238E27FC236}">
              <a16:creationId xmlns:a16="http://schemas.microsoft.com/office/drawing/2014/main" id="{FB0F86FB-E089-A949-ABE6-E168280DC882}"/>
            </a:ext>
          </a:extLst>
        </xdr:cNvPr>
        <xdr:cNvSpPr/>
      </xdr:nvSpPr>
      <xdr:spPr>
        <a:xfrm>
          <a:off x="53287" y="14141495"/>
          <a:ext cx="8892753" cy="637071"/>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20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Process Time Information</a:t>
          </a:r>
        </a:p>
      </xdr:txBody>
    </xdr:sp>
    <xdr:clientData/>
  </xdr:twoCellAnchor>
  <xdr:twoCellAnchor>
    <xdr:from>
      <xdr:col>1</xdr:col>
      <xdr:colOff>84025</xdr:colOff>
      <xdr:row>55</xdr:row>
      <xdr:rowOff>127000</xdr:rowOff>
    </xdr:from>
    <xdr:to>
      <xdr:col>1</xdr:col>
      <xdr:colOff>2015066</xdr:colOff>
      <xdr:row>58</xdr:row>
      <xdr:rowOff>104674</xdr:rowOff>
    </xdr:to>
    <xdr:sp macro="" textlink="">
      <xdr:nvSpPr>
        <xdr:cNvPr id="33" name="Rounded Rectangle 32">
          <a:extLst>
            <a:ext uri="{FF2B5EF4-FFF2-40B4-BE49-F238E27FC236}">
              <a16:creationId xmlns:a16="http://schemas.microsoft.com/office/drawing/2014/main" id="{16D9C289-15CB-4F44-8648-D6A0CDBB2177}"/>
            </a:ext>
          </a:extLst>
        </xdr:cNvPr>
        <xdr:cNvSpPr/>
      </xdr:nvSpPr>
      <xdr:spPr>
        <a:xfrm>
          <a:off x="3754325" y="15074900"/>
          <a:ext cx="1931041" cy="739674"/>
        </a:xfrm>
        <a:prstGeom prst="roundRect">
          <a:avLst>
            <a:gd name="adj" fmla="val 46754"/>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Replace with your Process Time</a:t>
          </a:r>
        </a:p>
      </xdr:txBody>
    </xdr:sp>
    <xdr:clientData/>
  </xdr:twoCellAnchor>
  <xdr:twoCellAnchor>
    <xdr:from>
      <xdr:col>0</xdr:col>
      <xdr:colOff>3124200</xdr:colOff>
      <xdr:row>55</xdr:row>
      <xdr:rowOff>177682</xdr:rowOff>
    </xdr:from>
    <xdr:to>
      <xdr:col>1</xdr:col>
      <xdr:colOff>84836</xdr:colOff>
      <xdr:row>58</xdr:row>
      <xdr:rowOff>12752</xdr:rowOff>
    </xdr:to>
    <xdr:sp macro="" textlink="">
      <xdr:nvSpPr>
        <xdr:cNvPr id="34" name="Text Placeholder 1248">
          <a:extLst>
            <a:ext uri="{FF2B5EF4-FFF2-40B4-BE49-F238E27FC236}">
              <a16:creationId xmlns:a16="http://schemas.microsoft.com/office/drawing/2014/main" id="{94B25D13-2080-9B41-B62A-74A45EA9709E}"/>
            </a:ext>
          </a:extLst>
        </xdr:cNvPr>
        <xdr:cNvSpPr>
          <a:spLocks noGrp="1"/>
        </xdr:cNvSpPr>
      </xdr:nvSpPr>
      <xdr:spPr>
        <a:xfrm>
          <a:off x="3124200" y="15125582"/>
          <a:ext cx="630936" cy="597070"/>
        </a:xfrm>
        <a:prstGeom prst="ellipse">
          <a:avLst/>
        </a:prstGeom>
        <a:solidFill>
          <a:srgbClr val="FFC000">
            <a:lumMod val="60000"/>
            <a:lumOff val="40000"/>
          </a:srgbClr>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pPr marL="0" indent="0" algn="ctr" defTabSz="914400" rtl="0" eaLnBrk="1" latinLnBrk="0" hangingPunct="1">
            <a:lnSpc>
              <a:spcPct val="100000"/>
            </a:lnSpc>
            <a:spcBef>
              <a:spcPts val="0"/>
            </a:spcBef>
            <a:buFont typeface="Arial" panose="020B0604020202020204" pitchFamily="34" charset="0"/>
            <a:buNone/>
          </a:pPr>
          <a:r>
            <a:rPr lang="en-US" sz="2800" b="1" kern="1200">
              <a:ln w="0">
                <a:noFill/>
              </a:ln>
              <a:solidFill>
                <a:sysClr val="windowText" lastClr="000000"/>
              </a:solidFill>
              <a:latin typeface="Arial" panose="020B0604020202020204" pitchFamily="34" charset="0"/>
              <a:ea typeface="+mn-ea"/>
              <a:cs typeface="Arial" panose="020B0604020202020204" pitchFamily="34" charset="0"/>
            </a:rPr>
            <a:t>8</a:t>
          </a:r>
        </a:p>
      </xdr:txBody>
    </xdr:sp>
    <xdr:clientData/>
  </xdr:twoCellAnchor>
  <xdr:twoCellAnchor>
    <xdr:from>
      <xdr:col>0</xdr:col>
      <xdr:colOff>53287</xdr:colOff>
      <xdr:row>65</xdr:row>
      <xdr:rowOff>135467</xdr:rowOff>
    </xdr:from>
    <xdr:to>
      <xdr:col>3</xdr:col>
      <xdr:colOff>1110140</xdr:colOff>
      <xdr:row>68</xdr:row>
      <xdr:rowOff>12701</xdr:rowOff>
    </xdr:to>
    <xdr:sp macro="" textlink="">
      <xdr:nvSpPr>
        <xdr:cNvPr id="35" name="Rounded Rectangle 34">
          <a:extLst>
            <a:ext uri="{FF2B5EF4-FFF2-40B4-BE49-F238E27FC236}">
              <a16:creationId xmlns:a16="http://schemas.microsoft.com/office/drawing/2014/main" id="{FEB5B91A-0D12-DD4D-B231-3AA2E218A309}"/>
            </a:ext>
          </a:extLst>
        </xdr:cNvPr>
        <xdr:cNvSpPr/>
      </xdr:nvSpPr>
      <xdr:spPr>
        <a:xfrm>
          <a:off x="53287" y="17826567"/>
          <a:ext cx="8892753" cy="639234"/>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Equipment Power Information</a:t>
          </a:r>
        </a:p>
      </xdr:txBody>
    </xdr:sp>
    <xdr:clientData/>
  </xdr:twoCellAnchor>
  <xdr:twoCellAnchor>
    <xdr:from>
      <xdr:col>2</xdr:col>
      <xdr:colOff>833868</xdr:colOff>
      <xdr:row>61</xdr:row>
      <xdr:rowOff>220998</xdr:rowOff>
    </xdr:from>
    <xdr:to>
      <xdr:col>3</xdr:col>
      <xdr:colOff>1684866</xdr:colOff>
      <xdr:row>64</xdr:row>
      <xdr:rowOff>34731</xdr:rowOff>
    </xdr:to>
    <xdr:sp macro="" textlink="">
      <xdr:nvSpPr>
        <xdr:cNvPr id="36" name="Rounded Rectangle 35">
          <a:extLst>
            <a:ext uri="{FF2B5EF4-FFF2-40B4-BE49-F238E27FC236}">
              <a16:creationId xmlns:a16="http://schemas.microsoft.com/office/drawing/2014/main" id="{C2A9CA69-F320-9448-80EB-A1D7C7A6FFB7}"/>
            </a:ext>
          </a:extLst>
        </xdr:cNvPr>
        <xdr:cNvSpPr/>
      </xdr:nvSpPr>
      <xdr:spPr>
        <a:xfrm>
          <a:off x="6599668" y="16756398"/>
          <a:ext cx="2921098" cy="715433"/>
        </a:xfrm>
        <a:prstGeom prst="roundRect">
          <a:avLst>
            <a:gd name="adj" fmla="val 46754"/>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Enter additional time information</a:t>
          </a:r>
        </a:p>
      </xdr:txBody>
    </xdr:sp>
    <xdr:clientData/>
  </xdr:twoCellAnchor>
  <xdr:twoCellAnchor>
    <xdr:from>
      <xdr:col>2</xdr:col>
      <xdr:colOff>368300</xdr:colOff>
      <xdr:row>61</xdr:row>
      <xdr:rowOff>244196</xdr:rowOff>
    </xdr:from>
    <xdr:to>
      <xdr:col>2</xdr:col>
      <xdr:colOff>998744</xdr:colOff>
      <xdr:row>63</xdr:row>
      <xdr:rowOff>214733</xdr:rowOff>
    </xdr:to>
    <xdr:sp macro="" textlink="">
      <xdr:nvSpPr>
        <xdr:cNvPr id="37" name="Text Placeholder 1248">
          <a:extLst>
            <a:ext uri="{FF2B5EF4-FFF2-40B4-BE49-F238E27FC236}">
              <a16:creationId xmlns:a16="http://schemas.microsoft.com/office/drawing/2014/main" id="{82519D6E-534B-9942-801F-21DE8206595B}"/>
            </a:ext>
          </a:extLst>
        </xdr:cNvPr>
        <xdr:cNvSpPr>
          <a:spLocks noGrp="1"/>
        </xdr:cNvSpPr>
      </xdr:nvSpPr>
      <xdr:spPr>
        <a:xfrm>
          <a:off x="6134100" y="16779596"/>
          <a:ext cx="630444" cy="618237"/>
        </a:xfrm>
        <a:prstGeom prst="ellipse">
          <a:avLst/>
        </a:prstGeom>
        <a:solidFill>
          <a:srgbClr val="60CCF3"/>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r>
            <a:rPr lang="en-US">
              <a:latin typeface="Arial" panose="020B0604020202020204" pitchFamily="34" charset="0"/>
              <a:cs typeface="Arial" panose="020B0604020202020204" pitchFamily="34" charset="0"/>
            </a:rPr>
            <a:t>9</a:t>
          </a:r>
        </a:p>
      </xdr:txBody>
    </xdr:sp>
    <xdr:clientData/>
  </xdr:twoCellAnchor>
  <xdr:twoCellAnchor>
    <xdr:from>
      <xdr:col>3</xdr:col>
      <xdr:colOff>1698428</xdr:colOff>
      <xdr:row>66</xdr:row>
      <xdr:rowOff>89252</xdr:rowOff>
    </xdr:from>
    <xdr:to>
      <xdr:col>4</xdr:col>
      <xdr:colOff>1845056</xdr:colOff>
      <xdr:row>69</xdr:row>
      <xdr:rowOff>39590</xdr:rowOff>
    </xdr:to>
    <xdr:sp macro="" textlink="">
      <xdr:nvSpPr>
        <xdr:cNvPr id="38" name="Rounded Rectangle 37">
          <a:extLst>
            <a:ext uri="{FF2B5EF4-FFF2-40B4-BE49-F238E27FC236}">
              <a16:creationId xmlns:a16="http://schemas.microsoft.com/office/drawing/2014/main" id="{276705D1-3173-8E40-BB67-9D03518435C2}"/>
            </a:ext>
          </a:extLst>
        </xdr:cNvPr>
        <xdr:cNvSpPr/>
      </xdr:nvSpPr>
      <xdr:spPr>
        <a:xfrm>
          <a:off x="9534328" y="18034352"/>
          <a:ext cx="2458028" cy="712338"/>
        </a:xfrm>
        <a:prstGeom prst="roundRect">
          <a:avLst>
            <a:gd name="adj" fmla="val 46754"/>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Replace with your Power Rating information</a:t>
          </a:r>
        </a:p>
      </xdr:txBody>
    </xdr:sp>
    <xdr:clientData/>
  </xdr:twoCellAnchor>
  <xdr:twoCellAnchor>
    <xdr:from>
      <xdr:col>3</xdr:col>
      <xdr:colOff>1232860</xdr:colOff>
      <xdr:row>66</xdr:row>
      <xdr:rowOff>137850</xdr:rowOff>
    </xdr:from>
    <xdr:to>
      <xdr:col>3</xdr:col>
      <xdr:colOff>1863304</xdr:colOff>
      <xdr:row>68</xdr:row>
      <xdr:rowOff>244992</xdr:rowOff>
    </xdr:to>
    <xdr:sp macro="" textlink="">
      <xdr:nvSpPr>
        <xdr:cNvPr id="39" name="Text Placeholder 1248">
          <a:extLst>
            <a:ext uri="{FF2B5EF4-FFF2-40B4-BE49-F238E27FC236}">
              <a16:creationId xmlns:a16="http://schemas.microsoft.com/office/drawing/2014/main" id="{54046284-DC0E-3B4A-BB50-88789F4AA128}"/>
            </a:ext>
          </a:extLst>
        </xdr:cNvPr>
        <xdr:cNvSpPr>
          <a:spLocks noGrp="1"/>
        </xdr:cNvSpPr>
      </xdr:nvSpPr>
      <xdr:spPr>
        <a:xfrm>
          <a:off x="9068760" y="18082950"/>
          <a:ext cx="630444" cy="615142"/>
        </a:xfrm>
        <a:prstGeom prst="ellipse">
          <a:avLst/>
        </a:prstGeom>
        <a:solidFill>
          <a:srgbClr val="FFC000">
            <a:lumMod val="60000"/>
            <a:lumOff val="40000"/>
          </a:srgbClr>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pPr marL="0" indent="0" algn="ctr" defTabSz="914400" rtl="0" eaLnBrk="1" latinLnBrk="0" hangingPunct="1">
            <a:lnSpc>
              <a:spcPct val="100000"/>
            </a:lnSpc>
            <a:spcBef>
              <a:spcPts val="0"/>
            </a:spcBef>
            <a:buFont typeface="Arial" panose="020B0604020202020204" pitchFamily="34" charset="0"/>
            <a:buNone/>
          </a:pPr>
          <a:r>
            <a:rPr lang="en-US" sz="2800" b="1" kern="1200">
              <a:ln w="0">
                <a:noFill/>
              </a:ln>
              <a:solidFill>
                <a:sysClr val="windowText" lastClr="000000"/>
              </a:solidFill>
              <a:latin typeface="Arial" panose="020B0604020202020204" pitchFamily="34" charset="0"/>
              <a:ea typeface="+mn-ea"/>
              <a:cs typeface="Arial" panose="020B0604020202020204" pitchFamily="34" charset="0"/>
            </a:rPr>
            <a:t>10</a:t>
          </a:r>
        </a:p>
      </xdr:txBody>
    </xdr:sp>
    <xdr:clientData/>
  </xdr:twoCellAnchor>
  <xdr:twoCellAnchor>
    <xdr:from>
      <xdr:col>0</xdr:col>
      <xdr:colOff>53287</xdr:colOff>
      <xdr:row>76</xdr:row>
      <xdr:rowOff>220845</xdr:rowOff>
    </xdr:from>
    <xdr:to>
      <xdr:col>3</xdr:col>
      <xdr:colOff>1110140</xdr:colOff>
      <xdr:row>79</xdr:row>
      <xdr:rowOff>98079</xdr:rowOff>
    </xdr:to>
    <xdr:sp macro="" textlink="">
      <xdr:nvSpPr>
        <xdr:cNvPr id="40" name="Rounded Rectangle 39">
          <a:extLst>
            <a:ext uri="{FF2B5EF4-FFF2-40B4-BE49-F238E27FC236}">
              <a16:creationId xmlns:a16="http://schemas.microsoft.com/office/drawing/2014/main" id="{CABAFFD9-DC9A-4741-B14F-181299EB6CC8}"/>
            </a:ext>
          </a:extLst>
        </xdr:cNvPr>
        <xdr:cNvSpPr/>
      </xdr:nvSpPr>
      <xdr:spPr>
        <a:xfrm>
          <a:off x="53287" y="20705945"/>
          <a:ext cx="8892753" cy="639234"/>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Process Conditions</a:t>
          </a:r>
        </a:p>
      </xdr:txBody>
    </xdr:sp>
    <xdr:clientData/>
  </xdr:twoCellAnchor>
  <xdr:twoCellAnchor>
    <xdr:from>
      <xdr:col>0</xdr:col>
      <xdr:colOff>53287</xdr:colOff>
      <xdr:row>85</xdr:row>
      <xdr:rowOff>93845</xdr:rowOff>
    </xdr:from>
    <xdr:to>
      <xdr:col>3</xdr:col>
      <xdr:colOff>1110140</xdr:colOff>
      <xdr:row>88</xdr:row>
      <xdr:rowOff>9179</xdr:rowOff>
    </xdr:to>
    <xdr:sp macro="" textlink="">
      <xdr:nvSpPr>
        <xdr:cNvPr id="41" name="Rounded Rectangle 40">
          <a:extLst>
            <a:ext uri="{FF2B5EF4-FFF2-40B4-BE49-F238E27FC236}">
              <a16:creationId xmlns:a16="http://schemas.microsoft.com/office/drawing/2014/main" id="{BB033ED5-55B7-CE4A-82DE-12E0730486A4}"/>
            </a:ext>
          </a:extLst>
        </xdr:cNvPr>
        <xdr:cNvSpPr/>
      </xdr:nvSpPr>
      <xdr:spPr>
        <a:xfrm>
          <a:off x="53287" y="22864945"/>
          <a:ext cx="8892753" cy="639234"/>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Equipment Volume Utilization Calculation</a:t>
          </a:r>
        </a:p>
      </xdr:txBody>
    </xdr:sp>
    <xdr:clientData/>
  </xdr:twoCellAnchor>
  <xdr:twoCellAnchor>
    <xdr:from>
      <xdr:col>2</xdr:col>
      <xdr:colOff>115931</xdr:colOff>
      <xdr:row>88</xdr:row>
      <xdr:rowOff>63617</xdr:rowOff>
    </xdr:from>
    <xdr:to>
      <xdr:col>3</xdr:col>
      <xdr:colOff>1440927</xdr:colOff>
      <xdr:row>93</xdr:row>
      <xdr:rowOff>76200</xdr:rowOff>
    </xdr:to>
    <xdr:sp macro="" textlink="">
      <xdr:nvSpPr>
        <xdr:cNvPr id="42" name="Rounded Rectangle 41">
          <a:hlinkClick xmlns:r="http://schemas.openxmlformats.org/officeDocument/2006/relationships" r:id="rId5"/>
          <a:extLst>
            <a:ext uri="{FF2B5EF4-FFF2-40B4-BE49-F238E27FC236}">
              <a16:creationId xmlns:a16="http://schemas.microsoft.com/office/drawing/2014/main" id="{0C58FD84-EA7D-0F4A-B26D-6D89F95A6218}"/>
            </a:ext>
          </a:extLst>
        </xdr:cNvPr>
        <xdr:cNvSpPr/>
      </xdr:nvSpPr>
      <xdr:spPr>
        <a:xfrm>
          <a:off x="5881731" y="23558617"/>
          <a:ext cx="3395096" cy="1168283"/>
        </a:xfrm>
        <a:prstGeom prst="roundRect">
          <a:avLst>
            <a:gd name="adj" fmla="val 24141"/>
          </a:avLst>
        </a:prstGeom>
        <a:solidFill>
          <a:schemeClr val="accent5">
            <a:lumMod val="40000"/>
            <a:lumOff val="60000"/>
          </a:scheme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Production volume is calculated based on all the </a:t>
          </a:r>
          <a:r>
            <a:rPr kumimoji="0" lang="en-US" sz="14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Input materials </a:t>
          </a: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entered above</a:t>
          </a:r>
          <a:b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b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(1L =~ 1Kg)</a:t>
          </a:r>
        </a:p>
      </xdr:txBody>
    </xdr:sp>
    <xdr:clientData/>
  </xdr:twoCellAnchor>
  <xdr:twoCellAnchor>
    <xdr:from>
      <xdr:col>4</xdr:col>
      <xdr:colOff>669728</xdr:colOff>
      <xdr:row>80</xdr:row>
      <xdr:rowOff>140052</xdr:rowOff>
    </xdr:from>
    <xdr:to>
      <xdr:col>5</xdr:col>
      <xdr:colOff>816356</xdr:colOff>
      <xdr:row>83</xdr:row>
      <xdr:rowOff>90390</xdr:rowOff>
    </xdr:to>
    <xdr:sp macro="" textlink="">
      <xdr:nvSpPr>
        <xdr:cNvPr id="43" name="Rounded Rectangle 42">
          <a:extLst>
            <a:ext uri="{FF2B5EF4-FFF2-40B4-BE49-F238E27FC236}">
              <a16:creationId xmlns:a16="http://schemas.microsoft.com/office/drawing/2014/main" id="{D333376E-9CDB-DA4B-A533-04B61E00A176}"/>
            </a:ext>
          </a:extLst>
        </xdr:cNvPr>
        <xdr:cNvSpPr/>
      </xdr:nvSpPr>
      <xdr:spPr>
        <a:xfrm>
          <a:off x="10817028" y="21641152"/>
          <a:ext cx="2458028" cy="712338"/>
        </a:xfrm>
        <a:prstGeom prst="roundRect">
          <a:avLst>
            <a:gd name="adj" fmla="val 46754"/>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Enter additional information</a:t>
          </a:r>
        </a:p>
      </xdr:txBody>
    </xdr:sp>
    <xdr:clientData/>
  </xdr:twoCellAnchor>
  <xdr:twoCellAnchor>
    <xdr:from>
      <xdr:col>4</xdr:col>
      <xdr:colOff>140660</xdr:colOff>
      <xdr:row>80</xdr:row>
      <xdr:rowOff>188650</xdr:rowOff>
    </xdr:from>
    <xdr:to>
      <xdr:col>4</xdr:col>
      <xdr:colOff>771104</xdr:colOff>
      <xdr:row>83</xdr:row>
      <xdr:rowOff>41792</xdr:rowOff>
    </xdr:to>
    <xdr:sp macro="" textlink="">
      <xdr:nvSpPr>
        <xdr:cNvPr id="44" name="Text Placeholder 1248">
          <a:extLst>
            <a:ext uri="{FF2B5EF4-FFF2-40B4-BE49-F238E27FC236}">
              <a16:creationId xmlns:a16="http://schemas.microsoft.com/office/drawing/2014/main" id="{26AF3355-43F5-D644-AB49-0D5DB9CAE550}"/>
            </a:ext>
          </a:extLst>
        </xdr:cNvPr>
        <xdr:cNvSpPr>
          <a:spLocks noGrp="1"/>
        </xdr:cNvSpPr>
      </xdr:nvSpPr>
      <xdr:spPr>
        <a:xfrm>
          <a:off x="10287960" y="21689750"/>
          <a:ext cx="630444" cy="615142"/>
        </a:xfrm>
        <a:prstGeom prst="ellipse">
          <a:avLst/>
        </a:prstGeom>
        <a:solidFill>
          <a:srgbClr val="60CCF3"/>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pPr marL="0" indent="0" algn="ctr" defTabSz="914400" rtl="0" eaLnBrk="1" latinLnBrk="0" hangingPunct="1">
            <a:lnSpc>
              <a:spcPct val="100000"/>
            </a:lnSpc>
            <a:spcBef>
              <a:spcPts val="0"/>
            </a:spcBef>
            <a:buFont typeface="Arial" panose="020B0604020202020204" pitchFamily="34" charset="0"/>
            <a:buNone/>
          </a:pPr>
          <a:r>
            <a:rPr lang="en-US" sz="2800" b="1" kern="1200">
              <a:ln w="0">
                <a:noFill/>
              </a:ln>
              <a:solidFill>
                <a:sysClr val="windowText" lastClr="000000"/>
              </a:solidFill>
              <a:latin typeface="Arial" panose="020B0604020202020204" pitchFamily="34" charset="0"/>
              <a:ea typeface="+mn-ea"/>
              <a:cs typeface="Arial" panose="020B0604020202020204" pitchFamily="34" charset="0"/>
            </a:rPr>
            <a:t>11</a:t>
          </a:r>
        </a:p>
      </xdr:txBody>
    </xdr:sp>
    <xdr:clientData/>
  </xdr:twoCellAnchor>
  <xdr:twoCellAnchor>
    <xdr:from>
      <xdr:col>2</xdr:col>
      <xdr:colOff>659568</xdr:colOff>
      <xdr:row>93</xdr:row>
      <xdr:rowOff>236572</xdr:rowOff>
    </xdr:from>
    <xdr:to>
      <xdr:col>3</xdr:col>
      <xdr:colOff>1504696</xdr:colOff>
      <xdr:row>96</xdr:row>
      <xdr:rowOff>174210</xdr:rowOff>
    </xdr:to>
    <xdr:sp macro="" textlink="">
      <xdr:nvSpPr>
        <xdr:cNvPr id="45" name="Rounded Rectangle 44">
          <a:extLst>
            <a:ext uri="{FF2B5EF4-FFF2-40B4-BE49-F238E27FC236}">
              <a16:creationId xmlns:a16="http://schemas.microsoft.com/office/drawing/2014/main" id="{5084DA86-78FA-664A-BA99-B3C2C5A36699}"/>
            </a:ext>
          </a:extLst>
        </xdr:cNvPr>
        <xdr:cNvSpPr/>
      </xdr:nvSpPr>
      <xdr:spPr>
        <a:xfrm>
          <a:off x="6425368" y="24887272"/>
          <a:ext cx="2915228" cy="725038"/>
        </a:xfrm>
        <a:prstGeom prst="roundRect">
          <a:avLst>
            <a:gd name="adj" fmla="val 46754"/>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Replace with your volume</a:t>
          </a:r>
        </a:p>
      </xdr:txBody>
    </xdr:sp>
    <xdr:clientData/>
  </xdr:twoCellAnchor>
  <xdr:twoCellAnchor>
    <xdr:from>
      <xdr:col>2</xdr:col>
      <xdr:colOff>130500</xdr:colOff>
      <xdr:row>94</xdr:row>
      <xdr:rowOff>71810</xdr:rowOff>
    </xdr:from>
    <xdr:to>
      <xdr:col>2</xdr:col>
      <xdr:colOff>760944</xdr:colOff>
      <xdr:row>96</xdr:row>
      <xdr:rowOff>166252</xdr:rowOff>
    </xdr:to>
    <xdr:sp macro="" textlink="">
      <xdr:nvSpPr>
        <xdr:cNvPr id="46" name="Text Placeholder 1248">
          <a:extLst>
            <a:ext uri="{FF2B5EF4-FFF2-40B4-BE49-F238E27FC236}">
              <a16:creationId xmlns:a16="http://schemas.microsoft.com/office/drawing/2014/main" id="{98A75C67-2F2D-1F47-8B10-03035A6C9664}"/>
            </a:ext>
          </a:extLst>
        </xdr:cNvPr>
        <xdr:cNvSpPr>
          <a:spLocks noGrp="1"/>
        </xdr:cNvSpPr>
      </xdr:nvSpPr>
      <xdr:spPr>
        <a:xfrm>
          <a:off x="5896300" y="24976510"/>
          <a:ext cx="630444" cy="627842"/>
        </a:xfrm>
        <a:prstGeom prst="ellipse">
          <a:avLst/>
        </a:prstGeom>
        <a:solidFill>
          <a:srgbClr val="60CCF3"/>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pPr marL="0" indent="0" algn="ctr" defTabSz="914400" rtl="0" eaLnBrk="1" latinLnBrk="0" hangingPunct="1">
            <a:lnSpc>
              <a:spcPct val="100000"/>
            </a:lnSpc>
            <a:spcBef>
              <a:spcPts val="0"/>
            </a:spcBef>
            <a:buFont typeface="Arial" panose="020B0604020202020204" pitchFamily="34" charset="0"/>
            <a:buNone/>
          </a:pPr>
          <a:r>
            <a:rPr lang="en-US" sz="2800" b="1" kern="1200">
              <a:ln w="0">
                <a:noFill/>
              </a:ln>
              <a:solidFill>
                <a:sysClr val="windowText" lastClr="000000"/>
              </a:solidFill>
              <a:latin typeface="Arial" panose="020B0604020202020204" pitchFamily="34" charset="0"/>
              <a:ea typeface="+mn-ea"/>
              <a:cs typeface="Arial" panose="020B0604020202020204" pitchFamily="34" charset="0"/>
            </a:rPr>
            <a:t>12</a:t>
          </a:r>
        </a:p>
      </xdr:txBody>
    </xdr:sp>
    <xdr:clientData/>
  </xdr:twoCellAnchor>
  <xdr:twoCellAnchor>
    <xdr:from>
      <xdr:col>2</xdr:col>
      <xdr:colOff>523137</xdr:colOff>
      <xdr:row>98</xdr:row>
      <xdr:rowOff>1612</xdr:rowOff>
    </xdr:from>
    <xdr:to>
      <xdr:col>4</xdr:col>
      <xdr:colOff>38906</xdr:colOff>
      <xdr:row>99</xdr:row>
      <xdr:rowOff>174776</xdr:rowOff>
    </xdr:to>
    <xdr:sp macro="" textlink="">
      <xdr:nvSpPr>
        <xdr:cNvPr id="47" name="Rounded Rectangle 46">
          <a:extLst>
            <a:ext uri="{FF2B5EF4-FFF2-40B4-BE49-F238E27FC236}">
              <a16:creationId xmlns:a16="http://schemas.microsoft.com/office/drawing/2014/main" id="{5CDDB4B6-F709-5841-9311-422C35F7C757}"/>
            </a:ext>
          </a:extLst>
        </xdr:cNvPr>
        <xdr:cNvSpPr/>
      </xdr:nvSpPr>
      <xdr:spPr>
        <a:xfrm>
          <a:off x="6288937" y="25947712"/>
          <a:ext cx="3897269" cy="706564"/>
        </a:xfrm>
        <a:prstGeom prst="roundRect">
          <a:avLst>
            <a:gd name="adj" fmla="val 24141"/>
          </a:avLst>
        </a:prstGeom>
        <a:solidFill>
          <a:schemeClr val="accent5">
            <a:lumMod val="40000"/>
            <a:lumOff val="60000"/>
          </a:scheme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Volume Utilized fraction is ratio of </a:t>
          </a:r>
          <a:r>
            <a:rPr kumimoji="0" lang="en-US" sz="14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Production</a:t>
          </a: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 to </a:t>
          </a:r>
          <a:r>
            <a:rPr kumimoji="0" lang="en-US" sz="14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Equipment</a:t>
          </a: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 Volume</a:t>
          </a:r>
        </a:p>
      </xdr:txBody>
    </xdr:sp>
    <xdr:clientData/>
  </xdr:twoCellAnchor>
  <xdr:twoCellAnchor>
    <xdr:from>
      <xdr:col>2</xdr:col>
      <xdr:colOff>68756</xdr:colOff>
      <xdr:row>139</xdr:row>
      <xdr:rowOff>116377</xdr:rowOff>
    </xdr:from>
    <xdr:to>
      <xdr:col>3</xdr:col>
      <xdr:colOff>2235108</xdr:colOff>
      <xdr:row>141</xdr:row>
      <xdr:rowOff>247180</xdr:rowOff>
    </xdr:to>
    <xdr:sp macro="" textlink="">
      <xdr:nvSpPr>
        <xdr:cNvPr id="48" name="Rounded Rectangle 47">
          <a:extLst>
            <a:ext uri="{FF2B5EF4-FFF2-40B4-BE49-F238E27FC236}">
              <a16:creationId xmlns:a16="http://schemas.microsoft.com/office/drawing/2014/main" id="{95351E38-893C-804A-A139-924AA2673AEF}"/>
            </a:ext>
          </a:extLst>
        </xdr:cNvPr>
        <xdr:cNvSpPr/>
      </xdr:nvSpPr>
      <xdr:spPr>
        <a:xfrm>
          <a:off x="5834556" y="37035277"/>
          <a:ext cx="4236452" cy="638803"/>
        </a:xfrm>
        <a:prstGeom prst="roundRect">
          <a:avLst>
            <a:gd name="adj" fmla="val 24141"/>
          </a:avLst>
        </a:prstGeom>
        <a:solidFill>
          <a:schemeClr val="accent5">
            <a:lumMod val="40000"/>
            <a:lumOff val="60000"/>
          </a:scheme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Calculated as the sum of Theoritical Yield from the 1.1 Precursor Materials Table</a:t>
          </a:r>
        </a:p>
      </xdr:txBody>
    </xdr:sp>
    <xdr:clientData/>
  </xdr:twoCellAnchor>
  <xdr:twoCellAnchor>
    <xdr:from>
      <xdr:col>0</xdr:col>
      <xdr:colOff>53287</xdr:colOff>
      <xdr:row>137</xdr:row>
      <xdr:rowOff>25399</xdr:rowOff>
    </xdr:from>
    <xdr:to>
      <xdr:col>3</xdr:col>
      <xdr:colOff>1110140</xdr:colOff>
      <xdr:row>139</xdr:row>
      <xdr:rowOff>85378</xdr:rowOff>
    </xdr:to>
    <xdr:sp macro="" textlink="">
      <xdr:nvSpPr>
        <xdr:cNvPr id="49" name="Rounded Rectangle 48">
          <a:extLst>
            <a:ext uri="{FF2B5EF4-FFF2-40B4-BE49-F238E27FC236}">
              <a16:creationId xmlns:a16="http://schemas.microsoft.com/office/drawing/2014/main" id="{B35BE35C-2C16-AE4C-825A-30F3A2FB573A}"/>
            </a:ext>
          </a:extLst>
        </xdr:cNvPr>
        <xdr:cNvSpPr/>
      </xdr:nvSpPr>
      <xdr:spPr>
        <a:xfrm>
          <a:off x="53287" y="36436299"/>
          <a:ext cx="8892753" cy="567979"/>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Yield Calculation for this process</a:t>
          </a:r>
        </a:p>
      </xdr:txBody>
    </xdr:sp>
    <xdr:clientData/>
  </xdr:twoCellAnchor>
  <xdr:twoCellAnchor>
    <xdr:from>
      <xdr:col>0</xdr:col>
      <xdr:colOff>53287</xdr:colOff>
      <xdr:row>100</xdr:row>
      <xdr:rowOff>253865</xdr:rowOff>
    </xdr:from>
    <xdr:to>
      <xdr:col>3</xdr:col>
      <xdr:colOff>1110140</xdr:colOff>
      <xdr:row>103</xdr:row>
      <xdr:rowOff>131099</xdr:rowOff>
    </xdr:to>
    <xdr:sp macro="" textlink="">
      <xdr:nvSpPr>
        <xdr:cNvPr id="50" name="Rounded Rectangle 49">
          <a:extLst>
            <a:ext uri="{FF2B5EF4-FFF2-40B4-BE49-F238E27FC236}">
              <a16:creationId xmlns:a16="http://schemas.microsoft.com/office/drawing/2014/main" id="{ADE3AE6F-189F-1D4C-BC9B-8D3A6A57DE35}"/>
            </a:ext>
          </a:extLst>
        </xdr:cNvPr>
        <xdr:cNvSpPr/>
      </xdr:nvSpPr>
      <xdr:spPr>
        <a:xfrm>
          <a:off x="53287" y="26987365"/>
          <a:ext cx="8892753" cy="639234"/>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1.3 Energy Consumption Estimation</a:t>
          </a:r>
        </a:p>
      </xdr:txBody>
    </xdr:sp>
    <xdr:clientData/>
  </xdr:twoCellAnchor>
  <xdr:twoCellAnchor>
    <xdr:from>
      <xdr:col>4</xdr:col>
      <xdr:colOff>1995714</xdr:colOff>
      <xdr:row>13</xdr:row>
      <xdr:rowOff>63500</xdr:rowOff>
    </xdr:from>
    <xdr:to>
      <xdr:col>5</xdr:col>
      <xdr:colOff>262636</xdr:colOff>
      <xdr:row>14</xdr:row>
      <xdr:rowOff>241300</xdr:rowOff>
    </xdr:to>
    <xdr:sp macro="" textlink="">
      <xdr:nvSpPr>
        <xdr:cNvPr id="51" name="Text Placeholder 1248">
          <a:extLst>
            <a:ext uri="{FF2B5EF4-FFF2-40B4-BE49-F238E27FC236}">
              <a16:creationId xmlns:a16="http://schemas.microsoft.com/office/drawing/2014/main" id="{C58E8D2E-648A-9D43-808A-F1304CD19304}"/>
            </a:ext>
          </a:extLst>
        </xdr:cNvPr>
        <xdr:cNvSpPr>
          <a:spLocks noGrp="1"/>
        </xdr:cNvSpPr>
      </xdr:nvSpPr>
      <xdr:spPr>
        <a:xfrm>
          <a:off x="12143014" y="3441700"/>
          <a:ext cx="578322" cy="558800"/>
        </a:xfrm>
        <a:prstGeom prst="ellipse">
          <a:avLst/>
        </a:prstGeom>
        <a:solidFill>
          <a:schemeClr val="accent5">
            <a:lumMod val="40000"/>
            <a:lumOff val="60000"/>
          </a:schemeClr>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r>
            <a:rPr lang="en-US"/>
            <a:t>#</a:t>
          </a:r>
        </a:p>
      </xdr:txBody>
    </xdr:sp>
    <xdr:clientData/>
  </xdr:twoCellAnchor>
  <xdr:twoCellAnchor>
    <xdr:from>
      <xdr:col>5</xdr:col>
      <xdr:colOff>408887</xdr:colOff>
      <xdr:row>13</xdr:row>
      <xdr:rowOff>101600</xdr:rowOff>
    </xdr:from>
    <xdr:to>
      <xdr:col>6</xdr:col>
      <xdr:colOff>914400</xdr:colOff>
      <xdr:row>14</xdr:row>
      <xdr:rowOff>215900</xdr:rowOff>
    </xdr:to>
    <xdr:sp macro="" textlink="">
      <xdr:nvSpPr>
        <xdr:cNvPr id="52" name="Rounded Rectangle 51">
          <a:extLst>
            <a:ext uri="{FF2B5EF4-FFF2-40B4-BE49-F238E27FC236}">
              <a16:creationId xmlns:a16="http://schemas.microsoft.com/office/drawing/2014/main" id="{30EEDC70-D7BA-C447-8D6D-6DA594C983F6}"/>
            </a:ext>
          </a:extLst>
        </xdr:cNvPr>
        <xdr:cNvSpPr/>
      </xdr:nvSpPr>
      <xdr:spPr>
        <a:xfrm>
          <a:off x="12867587" y="3479800"/>
          <a:ext cx="2816913" cy="495300"/>
        </a:xfrm>
        <a:prstGeom prst="roundRect">
          <a:avLst>
            <a:gd name="adj" fmla="val 43110"/>
          </a:avLst>
        </a:prstGeom>
        <a:solidFill>
          <a:schemeClr val="accent5">
            <a:lumMod val="40000"/>
            <a:lumOff val="60000"/>
          </a:schemeClr>
        </a:solidFill>
        <a:ln w="44450">
          <a:solidFill>
            <a:sysClr val="windowText" lastClr="000000"/>
          </a:solidFill>
        </a:ln>
      </xdr:spPr>
      <xdr:txBody>
        <a:bodyPr vert="horz" wrap="square" lIns="0" tIns="0" rIns="0" bIns="0" rtlCol="0" anchor="ctr">
          <a:noAutofit/>
        </a:bodyPr>
        <a:lstStyle/>
        <a:p>
          <a:pPr marL="0" marR="0" lvl="0" indent="0" algn="ctr" defTabSz="914400" rtl="0" eaLnBrk="1" fontAlgn="auto" latinLnBrk="0" hangingPunct="1">
            <a:lnSpc>
              <a:spcPct val="100000"/>
            </a:lnSpc>
            <a:spcBef>
              <a:spcPts val="0"/>
            </a:spcBef>
            <a:spcAft>
              <a:spcPts val="0"/>
            </a:spcAft>
            <a:buClrTx/>
            <a:buSzTx/>
            <a:buFont typeface="Arial" panose="020B0604020202020204" pitchFamily="34" charset="0"/>
            <a:buNone/>
            <a:tabLst/>
            <a:defRPr/>
          </a:pPr>
          <a:r>
            <a:rPr lang="en-US" sz="2800" b="1" kern="1200">
              <a:ln w="0">
                <a:noFill/>
              </a:ln>
              <a:solidFill>
                <a:sysClr val="windowText" lastClr="000000"/>
              </a:solidFill>
              <a:latin typeface="Tw Cen MT"/>
              <a:ea typeface="+mn-ea"/>
              <a:cs typeface="+mn-cs"/>
            </a:rPr>
            <a:t>Estimated</a:t>
          </a:r>
        </a:p>
      </xdr:txBody>
    </xdr:sp>
    <xdr:clientData/>
  </xdr:twoCellAnchor>
  <xdr:twoCellAnchor>
    <xdr:from>
      <xdr:col>2</xdr:col>
      <xdr:colOff>417867</xdr:colOff>
      <xdr:row>104</xdr:row>
      <xdr:rowOff>241592</xdr:rowOff>
    </xdr:from>
    <xdr:to>
      <xdr:col>5</xdr:col>
      <xdr:colOff>471129</xdr:colOff>
      <xdr:row>107</xdr:row>
      <xdr:rowOff>179429</xdr:rowOff>
    </xdr:to>
    <xdr:sp macro="" textlink="">
      <xdr:nvSpPr>
        <xdr:cNvPr id="53" name="Rounded Rectangle 52">
          <a:extLst>
            <a:ext uri="{FF2B5EF4-FFF2-40B4-BE49-F238E27FC236}">
              <a16:creationId xmlns:a16="http://schemas.microsoft.com/office/drawing/2014/main" id="{B5568C5C-702E-5740-BA6A-D0D3808B838B}"/>
            </a:ext>
          </a:extLst>
        </xdr:cNvPr>
        <xdr:cNvSpPr/>
      </xdr:nvSpPr>
      <xdr:spPr>
        <a:xfrm>
          <a:off x="6173835" y="27567076"/>
          <a:ext cx="6751488" cy="675256"/>
        </a:xfrm>
        <a:prstGeom prst="roundRect">
          <a:avLst>
            <a:gd name="adj" fmla="val 24141"/>
          </a:avLst>
        </a:prstGeom>
        <a:solidFill>
          <a:schemeClr val="accent5">
            <a:lumMod val="40000"/>
            <a:lumOff val="60000"/>
          </a:scheme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Estimated based on the </a:t>
          </a:r>
        </a:p>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 process time(h) * power rating consumption(kwh)/L * Equipment Volume(L)</a:t>
          </a:r>
        </a:p>
      </xdr:txBody>
    </xdr:sp>
    <xdr:clientData/>
  </xdr:twoCellAnchor>
  <xdr:twoCellAnchor>
    <xdr:from>
      <xdr:col>2</xdr:col>
      <xdr:colOff>711948</xdr:colOff>
      <xdr:row>108</xdr:row>
      <xdr:rowOff>71120</xdr:rowOff>
    </xdr:from>
    <xdr:to>
      <xdr:col>3</xdr:col>
      <xdr:colOff>1557076</xdr:colOff>
      <xdr:row>111</xdr:row>
      <xdr:rowOff>10160</xdr:rowOff>
    </xdr:to>
    <xdr:sp macro="" textlink="">
      <xdr:nvSpPr>
        <xdr:cNvPr id="54" name="Rounded Rectangle 53">
          <a:extLst>
            <a:ext uri="{FF2B5EF4-FFF2-40B4-BE49-F238E27FC236}">
              <a16:creationId xmlns:a16="http://schemas.microsoft.com/office/drawing/2014/main" id="{9AA0737A-ABA7-EA43-AE54-5932D1B5CB71}"/>
            </a:ext>
          </a:extLst>
        </xdr:cNvPr>
        <xdr:cNvSpPr/>
      </xdr:nvSpPr>
      <xdr:spPr>
        <a:xfrm>
          <a:off x="6477748" y="28836620"/>
          <a:ext cx="2915228" cy="701040"/>
        </a:xfrm>
        <a:prstGeom prst="roundRect">
          <a:avLst>
            <a:gd name="adj" fmla="val 46754"/>
          </a:avLst>
        </a:prstGeom>
        <a:solidFill>
          <a:srgbClr val="B9D4B1"/>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Enter any auxilary energy usage</a:t>
          </a:r>
        </a:p>
      </xdr:txBody>
    </xdr:sp>
    <xdr:clientData/>
  </xdr:twoCellAnchor>
  <xdr:twoCellAnchor>
    <xdr:from>
      <xdr:col>2</xdr:col>
      <xdr:colOff>152400</xdr:colOff>
      <xdr:row>108</xdr:row>
      <xdr:rowOff>68918</xdr:rowOff>
    </xdr:from>
    <xdr:to>
      <xdr:col>2</xdr:col>
      <xdr:colOff>782844</xdr:colOff>
      <xdr:row>110</xdr:row>
      <xdr:rowOff>173520</xdr:rowOff>
    </xdr:to>
    <xdr:sp macro="" textlink="">
      <xdr:nvSpPr>
        <xdr:cNvPr id="55" name="Text Placeholder 1248">
          <a:extLst>
            <a:ext uri="{FF2B5EF4-FFF2-40B4-BE49-F238E27FC236}">
              <a16:creationId xmlns:a16="http://schemas.microsoft.com/office/drawing/2014/main" id="{427D03F2-94E4-F141-B7F6-BDB74120249D}"/>
            </a:ext>
          </a:extLst>
        </xdr:cNvPr>
        <xdr:cNvSpPr>
          <a:spLocks noGrp="1"/>
        </xdr:cNvSpPr>
      </xdr:nvSpPr>
      <xdr:spPr>
        <a:xfrm>
          <a:off x="5918200" y="28834418"/>
          <a:ext cx="630444" cy="612602"/>
        </a:xfrm>
        <a:prstGeom prst="ellipse">
          <a:avLst/>
        </a:prstGeom>
        <a:solidFill>
          <a:srgbClr val="60CCF3"/>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pPr marL="0" indent="0" algn="ctr" defTabSz="914400" rtl="0" eaLnBrk="1" latinLnBrk="0" hangingPunct="1">
            <a:lnSpc>
              <a:spcPct val="100000"/>
            </a:lnSpc>
            <a:spcBef>
              <a:spcPts val="0"/>
            </a:spcBef>
            <a:buFont typeface="Arial" panose="020B0604020202020204" pitchFamily="34" charset="0"/>
            <a:buNone/>
          </a:pPr>
          <a:r>
            <a:rPr lang="en-US" sz="2800" b="1" kern="1200">
              <a:ln w="0">
                <a:noFill/>
              </a:ln>
              <a:solidFill>
                <a:sysClr val="windowText" lastClr="000000"/>
              </a:solidFill>
              <a:latin typeface="Arial" panose="020B0604020202020204" pitchFamily="34" charset="0"/>
              <a:ea typeface="+mn-ea"/>
              <a:cs typeface="Arial" panose="020B0604020202020204" pitchFamily="34" charset="0"/>
            </a:rPr>
            <a:t>13</a:t>
          </a:r>
        </a:p>
      </xdr:txBody>
    </xdr:sp>
    <xdr:clientData/>
  </xdr:twoCellAnchor>
  <xdr:twoCellAnchor>
    <xdr:from>
      <xdr:col>0</xdr:col>
      <xdr:colOff>0</xdr:colOff>
      <xdr:row>104</xdr:row>
      <xdr:rowOff>91440</xdr:rowOff>
    </xdr:from>
    <xdr:to>
      <xdr:col>1</xdr:col>
      <xdr:colOff>901700</xdr:colOff>
      <xdr:row>106</xdr:row>
      <xdr:rowOff>118020</xdr:rowOff>
    </xdr:to>
    <xdr:sp macro="" textlink="">
      <xdr:nvSpPr>
        <xdr:cNvPr id="56" name="Rounded Rectangle 55">
          <a:extLst>
            <a:ext uri="{FF2B5EF4-FFF2-40B4-BE49-F238E27FC236}">
              <a16:creationId xmlns:a16="http://schemas.microsoft.com/office/drawing/2014/main" id="{D179F6E1-BAA1-FA4C-B7A3-D8A340503910}"/>
            </a:ext>
          </a:extLst>
        </xdr:cNvPr>
        <xdr:cNvSpPr/>
      </xdr:nvSpPr>
      <xdr:spPr>
        <a:xfrm>
          <a:off x="0" y="27840940"/>
          <a:ext cx="4572000" cy="534580"/>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Best Estimate: With idle Electricity</a:t>
          </a:r>
        </a:p>
      </xdr:txBody>
    </xdr:sp>
    <xdr:clientData/>
  </xdr:twoCellAnchor>
  <xdr:twoCellAnchor>
    <xdr:from>
      <xdr:col>0</xdr:col>
      <xdr:colOff>53287</xdr:colOff>
      <xdr:row>117</xdr:row>
      <xdr:rowOff>74768</xdr:rowOff>
    </xdr:from>
    <xdr:to>
      <xdr:col>3</xdr:col>
      <xdr:colOff>1110140</xdr:colOff>
      <xdr:row>119</xdr:row>
      <xdr:rowOff>208704</xdr:rowOff>
    </xdr:to>
    <xdr:sp macro="" textlink="">
      <xdr:nvSpPr>
        <xdr:cNvPr id="57" name="Rounded Rectangle 56">
          <a:extLst>
            <a:ext uri="{FF2B5EF4-FFF2-40B4-BE49-F238E27FC236}">
              <a16:creationId xmlns:a16="http://schemas.microsoft.com/office/drawing/2014/main" id="{4EAAB780-A43F-E241-9457-B1A4DB0838FD}"/>
            </a:ext>
          </a:extLst>
        </xdr:cNvPr>
        <xdr:cNvSpPr/>
      </xdr:nvSpPr>
      <xdr:spPr>
        <a:xfrm>
          <a:off x="53287" y="31126268"/>
          <a:ext cx="8892753" cy="641936"/>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1.4 Carbon Dioxide Equivalent Estimate</a:t>
          </a:r>
        </a:p>
      </xdr:txBody>
    </xdr:sp>
    <xdr:clientData/>
  </xdr:twoCellAnchor>
  <xdr:twoCellAnchor>
    <xdr:from>
      <xdr:col>0</xdr:col>
      <xdr:colOff>0</xdr:colOff>
      <xdr:row>121</xdr:row>
      <xdr:rowOff>80491</xdr:rowOff>
    </xdr:from>
    <xdr:to>
      <xdr:col>0</xdr:col>
      <xdr:colOff>2816913</xdr:colOff>
      <xdr:row>123</xdr:row>
      <xdr:rowOff>107072</xdr:rowOff>
    </xdr:to>
    <xdr:sp macro="" textlink="">
      <xdr:nvSpPr>
        <xdr:cNvPr id="58" name="Rounded Rectangle 57">
          <a:extLst>
            <a:ext uri="{FF2B5EF4-FFF2-40B4-BE49-F238E27FC236}">
              <a16:creationId xmlns:a16="http://schemas.microsoft.com/office/drawing/2014/main" id="{FC489B53-7E4B-8D40-BC84-B8F37C82B902}"/>
            </a:ext>
          </a:extLst>
        </xdr:cNvPr>
        <xdr:cNvSpPr/>
      </xdr:nvSpPr>
      <xdr:spPr>
        <a:xfrm>
          <a:off x="0" y="32147991"/>
          <a:ext cx="2816913" cy="534581"/>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1.4.1 Good Estimate</a:t>
          </a:r>
        </a:p>
      </xdr:txBody>
    </xdr:sp>
    <xdr:clientData/>
  </xdr:twoCellAnchor>
  <xdr:twoCellAnchor>
    <xdr:from>
      <xdr:col>1</xdr:col>
      <xdr:colOff>411362</xdr:colOff>
      <xdr:row>120</xdr:row>
      <xdr:rowOff>101493</xdr:rowOff>
    </xdr:from>
    <xdr:to>
      <xdr:col>2</xdr:col>
      <xdr:colOff>770107</xdr:colOff>
      <xdr:row>123</xdr:row>
      <xdr:rowOff>40532</xdr:rowOff>
    </xdr:to>
    <xdr:sp macro="" textlink="">
      <xdr:nvSpPr>
        <xdr:cNvPr id="59" name="Rounded Rectangle 58">
          <a:extLst>
            <a:ext uri="{FF2B5EF4-FFF2-40B4-BE49-F238E27FC236}">
              <a16:creationId xmlns:a16="http://schemas.microsoft.com/office/drawing/2014/main" id="{60AC7991-AD01-0C4F-ABDC-65B39E8B07D6}"/>
            </a:ext>
          </a:extLst>
        </xdr:cNvPr>
        <xdr:cNvSpPr/>
      </xdr:nvSpPr>
      <xdr:spPr>
        <a:xfrm>
          <a:off x="4081662" y="31914993"/>
          <a:ext cx="2454245" cy="701039"/>
        </a:xfrm>
        <a:prstGeom prst="roundRect">
          <a:avLst>
            <a:gd name="adj" fmla="val 46754"/>
          </a:avLst>
        </a:prstGeom>
        <a:solidFill>
          <a:srgbClr val="B9D4B1"/>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Select location of power source</a:t>
          </a:r>
        </a:p>
      </xdr:txBody>
    </xdr:sp>
    <xdr:clientData/>
  </xdr:twoCellAnchor>
  <xdr:twoCellAnchor>
    <xdr:from>
      <xdr:col>0</xdr:col>
      <xdr:colOff>3526708</xdr:colOff>
      <xdr:row>120</xdr:row>
      <xdr:rowOff>99291</xdr:rowOff>
    </xdr:from>
    <xdr:to>
      <xdr:col>1</xdr:col>
      <xdr:colOff>482258</xdr:colOff>
      <xdr:row>122</xdr:row>
      <xdr:rowOff>203892</xdr:rowOff>
    </xdr:to>
    <xdr:sp macro="" textlink="">
      <xdr:nvSpPr>
        <xdr:cNvPr id="60" name="Text Placeholder 1248">
          <a:extLst>
            <a:ext uri="{FF2B5EF4-FFF2-40B4-BE49-F238E27FC236}">
              <a16:creationId xmlns:a16="http://schemas.microsoft.com/office/drawing/2014/main" id="{4479CEFE-8632-0B48-BC54-46155A35A139}"/>
            </a:ext>
          </a:extLst>
        </xdr:cNvPr>
        <xdr:cNvSpPr>
          <a:spLocks noGrp="1"/>
        </xdr:cNvSpPr>
      </xdr:nvSpPr>
      <xdr:spPr>
        <a:xfrm>
          <a:off x="3526708" y="31912791"/>
          <a:ext cx="625850" cy="612601"/>
        </a:xfrm>
        <a:prstGeom prst="ellipse">
          <a:avLst/>
        </a:prstGeom>
        <a:solidFill>
          <a:srgbClr val="60CCF3"/>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pPr marL="0" indent="0" algn="ctr" defTabSz="914400" rtl="0" eaLnBrk="1" latinLnBrk="0" hangingPunct="1">
            <a:lnSpc>
              <a:spcPct val="100000"/>
            </a:lnSpc>
            <a:spcBef>
              <a:spcPts val="0"/>
            </a:spcBef>
            <a:buFont typeface="Arial" panose="020B0604020202020204" pitchFamily="34" charset="0"/>
            <a:buNone/>
          </a:pPr>
          <a:r>
            <a:rPr lang="en-US" sz="2800" b="1" kern="1200">
              <a:ln w="0">
                <a:noFill/>
              </a:ln>
              <a:solidFill>
                <a:sysClr val="windowText" lastClr="000000"/>
              </a:solidFill>
              <a:latin typeface="Arial" panose="020B0604020202020204" pitchFamily="34" charset="0"/>
              <a:ea typeface="+mn-ea"/>
              <a:cs typeface="Arial" panose="020B0604020202020204" pitchFamily="34" charset="0"/>
            </a:rPr>
            <a:t>14</a:t>
          </a:r>
        </a:p>
      </xdr:txBody>
    </xdr:sp>
    <xdr:clientData/>
  </xdr:twoCellAnchor>
  <xdr:twoCellAnchor>
    <xdr:from>
      <xdr:col>2</xdr:col>
      <xdr:colOff>532526</xdr:colOff>
      <xdr:row>142</xdr:row>
      <xdr:rowOff>110286</xdr:rowOff>
    </xdr:from>
    <xdr:to>
      <xdr:col>3</xdr:col>
      <xdr:colOff>2283297</xdr:colOff>
      <xdr:row>145</xdr:row>
      <xdr:rowOff>49326</xdr:rowOff>
    </xdr:to>
    <xdr:sp macro="" textlink="">
      <xdr:nvSpPr>
        <xdr:cNvPr id="61" name="Rounded Rectangle 60">
          <a:extLst>
            <a:ext uri="{FF2B5EF4-FFF2-40B4-BE49-F238E27FC236}">
              <a16:creationId xmlns:a16="http://schemas.microsoft.com/office/drawing/2014/main" id="{D9574BB8-6A62-3047-811C-FA12F93ED956}"/>
            </a:ext>
          </a:extLst>
        </xdr:cNvPr>
        <xdr:cNvSpPr/>
      </xdr:nvSpPr>
      <xdr:spPr>
        <a:xfrm>
          <a:off x="6298326" y="37791186"/>
          <a:ext cx="3820871" cy="701040"/>
        </a:xfrm>
        <a:prstGeom prst="roundRect">
          <a:avLst>
            <a:gd name="adj" fmla="val 46754"/>
          </a:avLst>
        </a:prstGeom>
        <a:solidFill>
          <a:srgbClr val="B9D4B1"/>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Enter total amount of final product obtained in this process</a:t>
          </a:r>
        </a:p>
      </xdr:txBody>
    </xdr:sp>
    <xdr:clientData/>
  </xdr:twoCellAnchor>
  <xdr:twoCellAnchor>
    <xdr:from>
      <xdr:col>2</xdr:col>
      <xdr:colOff>65609</xdr:colOff>
      <xdr:row>142</xdr:row>
      <xdr:rowOff>199524</xdr:rowOff>
    </xdr:from>
    <xdr:to>
      <xdr:col>2</xdr:col>
      <xdr:colOff>650489</xdr:colOff>
      <xdr:row>145</xdr:row>
      <xdr:rowOff>50126</xdr:rowOff>
    </xdr:to>
    <xdr:sp macro="" textlink="">
      <xdr:nvSpPr>
        <xdr:cNvPr id="62" name="Text Placeholder 1248">
          <a:extLst>
            <a:ext uri="{FF2B5EF4-FFF2-40B4-BE49-F238E27FC236}">
              <a16:creationId xmlns:a16="http://schemas.microsoft.com/office/drawing/2014/main" id="{6B653365-6295-124B-ADD5-58373D7A6733}"/>
            </a:ext>
          </a:extLst>
        </xdr:cNvPr>
        <xdr:cNvSpPr>
          <a:spLocks noGrp="1"/>
        </xdr:cNvSpPr>
      </xdr:nvSpPr>
      <xdr:spPr>
        <a:xfrm>
          <a:off x="5831409" y="37880424"/>
          <a:ext cx="584880" cy="612602"/>
        </a:xfrm>
        <a:prstGeom prst="ellipse">
          <a:avLst/>
        </a:prstGeom>
        <a:solidFill>
          <a:srgbClr val="FFCD00"/>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pPr marL="0" indent="0" algn="ctr" defTabSz="914400" rtl="0" eaLnBrk="1" latinLnBrk="0" hangingPunct="1">
            <a:lnSpc>
              <a:spcPct val="100000"/>
            </a:lnSpc>
            <a:spcBef>
              <a:spcPts val="0"/>
            </a:spcBef>
            <a:buFont typeface="Arial" panose="020B0604020202020204" pitchFamily="34" charset="0"/>
            <a:buNone/>
          </a:pPr>
          <a:r>
            <a:rPr lang="en-US" sz="2800" b="1" kern="1200">
              <a:ln w="0">
                <a:noFill/>
              </a:ln>
              <a:solidFill>
                <a:sysClr val="windowText" lastClr="000000"/>
              </a:solidFill>
              <a:latin typeface="Arial" panose="020B0604020202020204" pitchFamily="34" charset="0"/>
              <a:ea typeface="+mn-ea"/>
              <a:cs typeface="Arial" panose="020B0604020202020204" pitchFamily="34" charset="0"/>
            </a:rPr>
            <a:t>15</a:t>
          </a:r>
        </a:p>
      </xdr:txBody>
    </xdr:sp>
    <xdr:clientData/>
  </xdr:twoCellAnchor>
  <xdr:twoCellAnchor>
    <xdr:from>
      <xdr:col>2</xdr:col>
      <xdr:colOff>972767</xdr:colOff>
      <xdr:row>120</xdr:row>
      <xdr:rowOff>62164</xdr:rowOff>
    </xdr:from>
    <xdr:to>
      <xdr:col>4</xdr:col>
      <xdr:colOff>494697</xdr:colOff>
      <xdr:row>123</xdr:row>
      <xdr:rowOff>1</xdr:rowOff>
    </xdr:to>
    <xdr:sp macro="" textlink="">
      <xdr:nvSpPr>
        <xdr:cNvPr id="63" name="Rounded Rectangle 62">
          <a:hlinkClick xmlns:r="http://schemas.openxmlformats.org/officeDocument/2006/relationships" r:id="rId6"/>
          <a:extLst>
            <a:ext uri="{FF2B5EF4-FFF2-40B4-BE49-F238E27FC236}">
              <a16:creationId xmlns:a16="http://schemas.microsoft.com/office/drawing/2014/main" id="{328E6C92-DC65-5E4C-A0CF-C32BD19C1357}"/>
            </a:ext>
          </a:extLst>
        </xdr:cNvPr>
        <xdr:cNvSpPr/>
      </xdr:nvSpPr>
      <xdr:spPr>
        <a:xfrm>
          <a:off x="6738567" y="31875664"/>
          <a:ext cx="3903430" cy="699837"/>
        </a:xfrm>
        <a:prstGeom prst="roundRect">
          <a:avLst>
            <a:gd name="adj" fmla="val 24141"/>
          </a:avLst>
        </a:prstGeom>
        <a:solidFill>
          <a:schemeClr val="accent5">
            <a:lumMod val="40000"/>
            <a:lumOff val="60000"/>
          </a:scheme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Click to view CO2e data from each state</a:t>
          </a:r>
        </a:p>
      </xdr:txBody>
    </xdr:sp>
    <xdr:clientData/>
  </xdr:twoCellAnchor>
  <xdr:twoCellAnchor>
    <xdr:from>
      <xdr:col>0</xdr:col>
      <xdr:colOff>0</xdr:colOff>
      <xdr:row>150</xdr:row>
      <xdr:rowOff>0</xdr:rowOff>
    </xdr:from>
    <xdr:to>
      <xdr:col>3</xdr:col>
      <xdr:colOff>1056853</xdr:colOff>
      <xdr:row>153</xdr:row>
      <xdr:rowOff>82507</xdr:rowOff>
    </xdr:to>
    <xdr:sp macro="" textlink="">
      <xdr:nvSpPr>
        <xdr:cNvPr id="64" name="Rounded Rectangle 63">
          <a:extLst>
            <a:ext uri="{FF2B5EF4-FFF2-40B4-BE49-F238E27FC236}">
              <a16:creationId xmlns:a16="http://schemas.microsoft.com/office/drawing/2014/main" id="{C245A6F3-9DEC-B84D-B26F-75C2CC4F70C6}"/>
            </a:ext>
          </a:extLst>
        </xdr:cNvPr>
        <xdr:cNvSpPr/>
      </xdr:nvSpPr>
      <xdr:spPr>
        <a:xfrm>
          <a:off x="0" y="39712900"/>
          <a:ext cx="8892753" cy="844507"/>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2. Outputs</a:t>
          </a:r>
        </a:p>
      </xdr:txBody>
    </xdr:sp>
    <xdr:clientData/>
  </xdr:twoCellAnchor>
  <xdr:twoCellAnchor>
    <xdr:from>
      <xdr:col>0</xdr:col>
      <xdr:colOff>0</xdr:colOff>
      <xdr:row>153</xdr:row>
      <xdr:rowOff>148617</xdr:rowOff>
    </xdr:from>
    <xdr:to>
      <xdr:col>1</xdr:col>
      <xdr:colOff>1567234</xdr:colOff>
      <xdr:row>155</xdr:row>
      <xdr:rowOff>231123</xdr:rowOff>
    </xdr:to>
    <xdr:sp macro="" textlink="">
      <xdr:nvSpPr>
        <xdr:cNvPr id="65" name="Rounded Rectangle 64">
          <a:extLst>
            <a:ext uri="{FF2B5EF4-FFF2-40B4-BE49-F238E27FC236}">
              <a16:creationId xmlns:a16="http://schemas.microsoft.com/office/drawing/2014/main" id="{01F2515E-92F2-0546-8647-CBEDB1466BFA}"/>
            </a:ext>
          </a:extLst>
        </xdr:cNvPr>
        <xdr:cNvSpPr/>
      </xdr:nvSpPr>
      <xdr:spPr>
        <a:xfrm>
          <a:off x="0" y="40623517"/>
          <a:ext cx="5237534" cy="590506"/>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2.1 Products</a:t>
          </a:r>
        </a:p>
      </xdr:txBody>
    </xdr:sp>
    <xdr:clientData/>
  </xdr:twoCellAnchor>
  <xdr:twoCellAnchor>
    <xdr:from>
      <xdr:col>0</xdr:col>
      <xdr:colOff>0</xdr:colOff>
      <xdr:row>164</xdr:row>
      <xdr:rowOff>229680</xdr:rowOff>
    </xdr:from>
    <xdr:to>
      <xdr:col>1</xdr:col>
      <xdr:colOff>1567234</xdr:colOff>
      <xdr:row>167</xdr:row>
      <xdr:rowOff>55485</xdr:rowOff>
    </xdr:to>
    <xdr:sp macro="" textlink="">
      <xdr:nvSpPr>
        <xdr:cNvPr id="66" name="Rounded Rectangle 65">
          <a:extLst>
            <a:ext uri="{FF2B5EF4-FFF2-40B4-BE49-F238E27FC236}">
              <a16:creationId xmlns:a16="http://schemas.microsoft.com/office/drawing/2014/main" id="{BF8DF65F-3087-5842-A12F-18F09D34B1E3}"/>
            </a:ext>
          </a:extLst>
        </xdr:cNvPr>
        <xdr:cNvSpPr/>
      </xdr:nvSpPr>
      <xdr:spPr>
        <a:xfrm>
          <a:off x="0" y="43498580"/>
          <a:ext cx="5237534" cy="587805"/>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2.2. Emissions</a:t>
          </a:r>
        </a:p>
      </xdr:txBody>
    </xdr:sp>
    <xdr:clientData/>
  </xdr:twoCellAnchor>
  <xdr:twoCellAnchor>
    <xdr:from>
      <xdr:col>2</xdr:col>
      <xdr:colOff>684374</xdr:colOff>
      <xdr:row>156</xdr:row>
      <xdr:rowOff>187222</xdr:rowOff>
    </xdr:from>
    <xdr:to>
      <xdr:col>4</xdr:col>
      <xdr:colOff>129819</xdr:colOff>
      <xdr:row>160</xdr:row>
      <xdr:rowOff>82827</xdr:rowOff>
    </xdr:to>
    <xdr:sp macro="" textlink="">
      <xdr:nvSpPr>
        <xdr:cNvPr id="67" name="Rounded Rectangle 66">
          <a:extLst>
            <a:ext uri="{FF2B5EF4-FFF2-40B4-BE49-F238E27FC236}">
              <a16:creationId xmlns:a16="http://schemas.microsoft.com/office/drawing/2014/main" id="{EBCE73BE-DE43-844B-8399-8759FDC9A63F}"/>
            </a:ext>
          </a:extLst>
        </xdr:cNvPr>
        <xdr:cNvSpPr/>
      </xdr:nvSpPr>
      <xdr:spPr>
        <a:xfrm>
          <a:off x="6450174" y="41424122"/>
          <a:ext cx="3826945" cy="911605"/>
        </a:xfrm>
        <a:prstGeom prst="roundRect">
          <a:avLst>
            <a:gd name="adj" fmla="val 46754"/>
          </a:avLst>
        </a:prstGeom>
        <a:solidFill>
          <a:srgbClr val="B9D4B1"/>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By-products information and wastewater</a:t>
          </a:r>
        </a:p>
      </xdr:txBody>
    </xdr:sp>
    <xdr:clientData/>
  </xdr:twoCellAnchor>
  <xdr:twoCellAnchor>
    <xdr:from>
      <xdr:col>2</xdr:col>
      <xdr:colOff>120716</xdr:colOff>
      <xdr:row>157</xdr:row>
      <xdr:rowOff>39063</xdr:rowOff>
    </xdr:from>
    <xdr:to>
      <xdr:col>2</xdr:col>
      <xdr:colOff>755271</xdr:colOff>
      <xdr:row>159</xdr:row>
      <xdr:rowOff>143665</xdr:rowOff>
    </xdr:to>
    <xdr:sp macro="" textlink="">
      <xdr:nvSpPr>
        <xdr:cNvPr id="68" name="Text Placeholder 1248">
          <a:extLst>
            <a:ext uri="{FF2B5EF4-FFF2-40B4-BE49-F238E27FC236}">
              <a16:creationId xmlns:a16="http://schemas.microsoft.com/office/drawing/2014/main" id="{0EE1F98A-AA60-EA4A-A560-BA74FF8B1428}"/>
            </a:ext>
          </a:extLst>
        </xdr:cNvPr>
        <xdr:cNvSpPr>
          <a:spLocks noGrp="1"/>
        </xdr:cNvSpPr>
      </xdr:nvSpPr>
      <xdr:spPr>
        <a:xfrm>
          <a:off x="5886516" y="41529963"/>
          <a:ext cx="634555" cy="612602"/>
        </a:xfrm>
        <a:prstGeom prst="ellipse">
          <a:avLst/>
        </a:prstGeom>
        <a:solidFill>
          <a:srgbClr val="60CCF3"/>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pPr marL="0" indent="0" algn="ctr" defTabSz="914400" rtl="0" eaLnBrk="1" latinLnBrk="0" hangingPunct="1">
            <a:lnSpc>
              <a:spcPct val="100000"/>
            </a:lnSpc>
            <a:spcBef>
              <a:spcPts val="0"/>
            </a:spcBef>
            <a:buFont typeface="Arial" panose="020B0604020202020204" pitchFamily="34" charset="0"/>
            <a:buNone/>
          </a:pPr>
          <a:r>
            <a:rPr lang="en-US" sz="2800" b="1" kern="1200">
              <a:ln w="0">
                <a:noFill/>
              </a:ln>
              <a:solidFill>
                <a:sysClr val="windowText" lastClr="000000"/>
              </a:solidFill>
              <a:latin typeface="Arial" panose="020B0604020202020204" pitchFamily="34" charset="0"/>
              <a:ea typeface="+mn-ea"/>
              <a:cs typeface="Arial" panose="020B0604020202020204" pitchFamily="34" charset="0"/>
            </a:rPr>
            <a:t>16</a:t>
          </a:r>
        </a:p>
      </xdr:txBody>
    </xdr:sp>
    <xdr:clientData/>
  </xdr:twoCellAnchor>
  <xdr:twoCellAnchor>
    <xdr:from>
      <xdr:col>0</xdr:col>
      <xdr:colOff>0</xdr:colOff>
      <xdr:row>179</xdr:row>
      <xdr:rowOff>77832</xdr:rowOff>
    </xdr:from>
    <xdr:to>
      <xdr:col>1</xdr:col>
      <xdr:colOff>1567234</xdr:colOff>
      <xdr:row>181</xdr:row>
      <xdr:rowOff>152115</xdr:rowOff>
    </xdr:to>
    <xdr:sp macro="" textlink="">
      <xdr:nvSpPr>
        <xdr:cNvPr id="69" name="Rounded Rectangle 68">
          <a:extLst>
            <a:ext uri="{FF2B5EF4-FFF2-40B4-BE49-F238E27FC236}">
              <a16:creationId xmlns:a16="http://schemas.microsoft.com/office/drawing/2014/main" id="{29E923B8-44D6-1F48-A4E0-74A1D85622AD}"/>
            </a:ext>
          </a:extLst>
        </xdr:cNvPr>
        <xdr:cNvSpPr/>
      </xdr:nvSpPr>
      <xdr:spPr>
        <a:xfrm>
          <a:off x="0" y="47156732"/>
          <a:ext cx="5237534" cy="582283"/>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2.3. Water Consumption</a:t>
          </a:r>
        </a:p>
      </xdr:txBody>
    </xdr:sp>
    <xdr:clientData/>
  </xdr:twoCellAnchor>
  <xdr:twoCellAnchor>
    <xdr:from>
      <xdr:col>0</xdr:col>
      <xdr:colOff>0</xdr:colOff>
      <xdr:row>184</xdr:row>
      <xdr:rowOff>160658</xdr:rowOff>
    </xdr:from>
    <xdr:to>
      <xdr:col>1</xdr:col>
      <xdr:colOff>1567234</xdr:colOff>
      <xdr:row>186</xdr:row>
      <xdr:rowOff>234941</xdr:rowOff>
    </xdr:to>
    <xdr:sp macro="" textlink="">
      <xdr:nvSpPr>
        <xdr:cNvPr id="70" name="Rounded Rectangle 69">
          <a:extLst>
            <a:ext uri="{FF2B5EF4-FFF2-40B4-BE49-F238E27FC236}">
              <a16:creationId xmlns:a16="http://schemas.microsoft.com/office/drawing/2014/main" id="{A09D33E7-17C0-3841-9BF4-A5FA8CFF4582}"/>
            </a:ext>
          </a:extLst>
        </xdr:cNvPr>
        <xdr:cNvSpPr/>
      </xdr:nvSpPr>
      <xdr:spPr>
        <a:xfrm>
          <a:off x="0" y="48509558"/>
          <a:ext cx="5237534" cy="582283"/>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2.4 Emission Outputs </a:t>
          </a:r>
        </a:p>
      </xdr:txBody>
    </xdr:sp>
    <xdr:clientData/>
  </xdr:twoCellAnchor>
  <xdr:twoCellAnchor>
    <xdr:from>
      <xdr:col>0</xdr:col>
      <xdr:colOff>0</xdr:colOff>
      <xdr:row>191</xdr:row>
      <xdr:rowOff>8811</xdr:rowOff>
    </xdr:from>
    <xdr:to>
      <xdr:col>1</xdr:col>
      <xdr:colOff>1567234</xdr:colOff>
      <xdr:row>193</xdr:row>
      <xdr:rowOff>83093</xdr:rowOff>
    </xdr:to>
    <xdr:sp macro="" textlink="">
      <xdr:nvSpPr>
        <xdr:cNvPr id="71" name="Rounded Rectangle 70">
          <a:extLst>
            <a:ext uri="{FF2B5EF4-FFF2-40B4-BE49-F238E27FC236}">
              <a16:creationId xmlns:a16="http://schemas.microsoft.com/office/drawing/2014/main" id="{FC5FFEEC-552D-C546-B28C-3E6462DDCCF0}"/>
            </a:ext>
          </a:extLst>
        </xdr:cNvPr>
        <xdr:cNvSpPr/>
      </xdr:nvSpPr>
      <xdr:spPr>
        <a:xfrm>
          <a:off x="0" y="50161111"/>
          <a:ext cx="5237534" cy="582282"/>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2.5 Energy Consumption Calculation</a:t>
          </a:r>
        </a:p>
      </xdr:txBody>
    </xdr:sp>
    <xdr:clientData/>
  </xdr:twoCellAnchor>
  <xdr:twoCellAnchor>
    <xdr:from>
      <xdr:col>4</xdr:col>
      <xdr:colOff>711983</xdr:colOff>
      <xdr:row>163</xdr:row>
      <xdr:rowOff>173419</xdr:rowOff>
    </xdr:from>
    <xdr:to>
      <xdr:col>5</xdr:col>
      <xdr:colOff>1772537</xdr:colOff>
      <xdr:row>167</xdr:row>
      <xdr:rowOff>69024</xdr:rowOff>
    </xdr:to>
    <xdr:sp macro="" textlink="">
      <xdr:nvSpPr>
        <xdr:cNvPr id="72" name="Rounded Rectangle 71">
          <a:extLst>
            <a:ext uri="{FF2B5EF4-FFF2-40B4-BE49-F238E27FC236}">
              <a16:creationId xmlns:a16="http://schemas.microsoft.com/office/drawing/2014/main" id="{BF42F48F-9855-784F-804E-BA364DC7EE7A}"/>
            </a:ext>
          </a:extLst>
        </xdr:cNvPr>
        <xdr:cNvSpPr/>
      </xdr:nvSpPr>
      <xdr:spPr>
        <a:xfrm>
          <a:off x="10859283" y="43188319"/>
          <a:ext cx="3371954" cy="911605"/>
        </a:xfrm>
        <a:prstGeom prst="roundRect">
          <a:avLst>
            <a:gd name="adj" fmla="val 46754"/>
          </a:avLst>
        </a:prstGeom>
        <a:solidFill>
          <a:srgbClr val="B9D4B1"/>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Enter information regarding air and solid waste emission to environment</a:t>
          </a:r>
        </a:p>
      </xdr:txBody>
    </xdr:sp>
    <xdr:clientData/>
  </xdr:twoCellAnchor>
  <xdr:twoCellAnchor>
    <xdr:from>
      <xdr:col>4</xdr:col>
      <xdr:colOff>148325</xdr:colOff>
      <xdr:row>164</xdr:row>
      <xdr:rowOff>25259</xdr:rowOff>
    </xdr:from>
    <xdr:to>
      <xdr:col>4</xdr:col>
      <xdr:colOff>782880</xdr:colOff>
      <xdr:row>166</xdr:row>
      <xdr:rowOff>129861</xdr:rowOff>
    </xdr:to>
    <xdr:sp macro="" textlink="">
      <xdr:nvSpPr>
        <xdr:cNvPr id="73" name="Text Placeholder 1248">
          <a:extLst>
            <a:ext uri="{FF2B5EF4-FFF2-40B4-BE49-F238E27FC236}">
              <a16:creationId xmlns:a16="http://schemas.microsoft.com/office/drawing/2014/main" id="{7DAD829D-2707-9B48-A60D-DFD0BF137A6A}"/>
            </a:ext>
          </a:extLst>
        </xdr:cNvPr>
        <xdr:cNvSpPr>
          <a:spLocks noGrp="1"/>
        </xdr:cNvSpPr>
      </xdr:nvSpPr>
      <xdr:spPr>
        <a:xfrm>
          <a:off x="10295625" y="43294159"/>
          <a:ext cx="634555" cy="612602"/>
        </a:xfrm>
        <a:prstGeom prst="ellipse">
          <a:avLst/>
        </a:prstGeom>
        <a:solidFill>
          <a:srgbClr val="60CCF3"/>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pPr marL="0" indent="0" algn="ctr" defTabSz="914400" rtl="0" eaLnBrk="1" latinLnBrk="0" hangingPunct="1">
            <a:lnSpc>
              <a:spcPct val="100000"/>
            </a:lnSpc>
            <a:spcBef>
              <a:spcPts val="0"/>
            </a:spcBef>
            <a:buFont typeface="Arial" panose="020B0604020202020204" pitchFamily="34" charset="0"/>
            <a:buNone/>
          </a:pPr>
          <a:r>
            <a:rPr lang="en-US" sz="2800" b="1" kern="1200">
              <a:ln w="0">
                <a:noFill/>
              </a:ln>
              <a:solidFill>
                <a:sysClr val="windowText" lastClr="000000"/>
              </a:solidFill>
              <a:latin typeface="Arial" panose="020B0604020202020204" pitchFamily="34" charset="0"/>
              <a:ea typeface="+mn-ea"/>
              <a:cs typeface="Arial" panose="020B0604020202020204" pitchFamily="34" charset="0"/>
            </a:rPr>
            <a:t>17</a:t>
          </a:r>
        </a:p>
      </xdr:txBody>
    </xdr:sp>
    <xdr:clientData/>
  </xdr:twoCellAnchor>
  <xdr:twoCellAnchor>
    <xdr:from>
      <xdr:col>0</xdr:col>
      <xdr:colOff>0</xdr:colOff>
      <xdr:row>197</xdr:row>
      <xdr:rowOff>138043</xdr:rowOff>
    </xdr:from>
    <xdr:to>
      <xdr:col>3</xdr:col>
      <xdr:colOff>1056853</xdr:colOff>
      <xdr:row>200</xdr:row>
      <xdr:rowOff>220550</xdr:rowOff>
    </xdr:to>
    <xdr:sp macro="" textlink="">
      <xdr:nvSpPr>
        <xdr:cNvPr id="74" name="Rounded Rectangle 73">
          <a:extLst>
            <a:ext uri="{FF2B5EF4-FFF2-40B4-BE49-F238E27FC236}">
              <a16:creationId xmlns:a16="http://schemas.microsoft.com/office/drawing/2014/main" id="{5A086062-497F-FF44-BB91-E273C7B81C70}"/>
            </a:ext>
          </a:extLst>
        </xdr:cNvPr>
        <xdr:cNvSpPr/>
      </xdr:nvSpPr>
      <xdr:spPr>
        <a:xfrm>
          <a:off x="0" y="51814343"/>
          <a:ext cx="8892753" cy="844507"/>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3. Impact Assessment</a:t>
          </a:r>
        </a:p>
      </xdr:txBody>
    </xdr:sp>
    <xdr:clientData/>
  </xdr:twoCellAnchor>
  <xdr:twoCellAnchor>
    <xdr:from>
      <xdr:col>0</xdr:col>
      <xdr:colOff>0</xdr:colOff>
      <xdr:row>213</xdr:row>
      <xdr:rowOff>0</xdr:rowOff>
    </xdr:from>
    <xdr:to>
      <xdr:col>0</xdr:col>
      <xdr:colOff>2834381</xdr:colOff>
      <xdr:row>215</xdr:row>
      <xdr:rowOff>10569</xdr:rowOff>
    </xdr:to>
    <xdr:sp macro="" textlink="">
      <xdr:nvSpPr>
        <xdr:cNvPr id="75" name="Rounded Rectangle 74" descr="Navigation button for Start worksheet">
          <a:hlinkClick xmlns:r="http://schemas.openxmlformats.org/officeDocument/2006/relationships" r:id="rId7"/>
          <a:extLst>
            <a:ext uri="{FF2B5EF4-FFF2-40B4-BE49-F238E27FC236}">
              <a16:creationId xmlns:a16="http://schemas.microsoft.com/office/drawing/2014/main" id="{8D2CF929-3FF2-DC49-BFAA-F4224587239B}"/>
            </a:ext>
          </a:extLst>
        </xdr:cNvPr>
        <xdr:cNvSpPr/>
      </xdr:nvSpPr>
      <xdr:spPr>
        <a:xfrm>
          <a:off x="0" y="55740300"/>
          <a:ext cx="2834381" cy="518569"/>
        </a:xfrm>
        <a:prstGeom prst="roundRect">
          <a:avLst>
            <a:gd name="adj" fmla="val 5000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Back to top</a:t>
          </a:r>
        </a:p>
      </xdr:txBody>
    </xdr:sp>
    <xdr:clientData/>
  </xdr:twoCellAnchor>
  <xdr:twoCellAnchor>
    <xdr:from>
      <xdr:col>16</xdr:col>
      <xdr:colOff>272198</xdr:colOff>
      <xdr:row>0</xdr:row>
      <xdr:rowOff>2</xdr:rowOff>
    </xdr:from>
    <xdr:to>
      <xdr:col>47</xdr:col>
      <xdr:colOff>679634</xdr:colOff>
      <xdr:row>5</xdr:row>
      <xdr:rowOff>158797</xdr:rowOff>
    </xdr:to>
    <xdr:sp macro="" textlink="">
      <xdr:nvSpPr>
        <xdr:cNvPr id="76" name="Title">
          <a:extLst>
            <a:ext uri="{FF2B5EF4-FFF2-40B4-BE49-F238E27FC236}">
              <a16:creationId xmlns:a16="http://schemas.microsoft.com/office/drawing/2014/main" id="{8EE12851-3E6B-824F-887C-7EFD379A4FEF}"/>
            </a:ext>
          </a:extLst>
        </xdr:cNvPr>
        <xdr:cNvSpPr/>
      </xdr:nvSpPr>
      <xdr:spPr>
        <a:xfrm>
          <a:off x="24948298" y="2"/>
          <a:ext cx="37377136" cy="1504995"/>
        </a:xfrm>
        <a:prstGeom prst="rect">
          <a:avLst/>
        </a:prstGeom>
        <a:solidFill>
          <a:srgbClr val="004F4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4000"/>
        </a:p>
      </xdr:txBody>
    </xdr:sp>
    <xdr:clientData/>
  </xdr:twoCellAnchor>
  <xdr:twoCellAnchor>
    <xdr:from>
      <xdr:col>16</xdr:col>
      <xdr:colOff>0</xdr:colOff>
      <xdr:row>0</xdr:row>
      <xdr:rowOff>0</xdr:rowOff>
    </xdr:from>
    <xdr:to>
      <xdr:col>16</xdr:col>
      <xdr:colOff>292100</xdr:colOff>
      <xdr:row>5</xdr:row>
      <xdr:rowOff>146097</xdr:rowOff>
    </xdr:to>
    <xdr:sp macro="" textlink="">
      <xdr:nvSpPr>
        <xdr:cNvPr id="77" name="_Yellow">
          <a:extLst>
            <a:ext uri="{FF2B5EF4-FFF2-40B4-BE49-F238E27FC236}">
              <a16:creationId xmlns:a16="http://schemas.microsoft.com/office/drawing/2014/main" id="{7BDFF091-7978-5647-90CB-167DCF4A90C4}"/>
            </a:ext>
          </a:extLst>
        </xdr:cNvPr>
        <xdr:cNvSpPr/>
      </xdr:nvSpPr>
      <xdr:spPr>
        <a:xfrm>
          <a:off x="24676100" y="0"/>
          <a:ext cx="292100" cy="1492297"/>
        </a:xfrm>
        <a:prstGeom prst="rect">
          <a:avLst/>
        </a:prstGeom>
        <a:solidFill>
          <a:srgbClr val="FFCD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16</xdr:col>
      <xdr:colOff>399550</xdr:colOff>
      <xdr:row>1</xdr:row>
      <xdr:rowOff>42809</xdr:rowOff>
    </xdr:from>
    <xdr:to>
      <xdr:col>38</xdr:col>
      <xdr:colOff>806552</xdr:colOff>
      <xdr:row>3</xdr:row>
      <xdr:rowOff>287524</xdr:rowOff>
    </xdr:to>
    <xdr:sp macro="" textlink="">
      <xdr:nvSpPr>
        <xdr:cNvPr id="78" name="sheet title">
          <a:extLst>
            <a:ext uri="{FF2B5EF4-FFF2-40B4-BE49-F238E27FC236}">
              <a16:creationId xmlns:a16="http://schemas.microsoft.com/office/drawing/2014/main" id="{A56C2395-12B5-044A-8A4F-58CFF7FFD010}"/>
            </a:ext>
          </a:extLst>
        </xdr:cNvPr>
        <xdr:cNvSpPr txBox="1"/>
      </xdr:nvSpPr>
      <xdr:spPr>
        <a:xfrm>
          <a:off x="25075650" y="296809"/>
          <a:ext cx="28880402" cy="75271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4400">
              <a:solidFill>
                <a:schemeClr val="bg1"/>
              </a:solidFill>
              <a:latin typeface="Arial" panose="020B0604020202020204" pitchFamily="34" charset="0"/>
              <a:cs typeface="Arial" panose="020B0604020202020204" pitchFamily="34" charset="0"/>
            </a:rPr>
            <a:t>Major</a:t>
          </a:r>
          <a:r>
            <a:rPr lang="en-US" sz="4400" baseline="0">
              <a:solidFill>
                <a:schemeClr val="bg1"/>
              </a:solidFill>
              <a:latin typeface="Arial" panose="020B0604020202020204" pitchFamily="34" charset="0"/>
              <a:cs typeface="Arial" panose="020B0604020202020204" pitchFamily="34" charset="0"/>
            </a:rPr>
            <a:t> S</a:t>
          </a:r>
          <a:r>
            <a:rPr lang="en-US" sz="4400">
              <a:solidFill>
                <a:schemeClr val="bg1"/>
              </a:solidFill>
              <a:latin typeface="Arial" panose="020B0604020202020204" pitchFamily="34" charset="0"/>
              <a:cs typeface="Arial" panose="020B0604020202020204" pitchFamily="34" charset="0"/>
            </a:rPr>
            <a:t>lurry</a:t>
          </a:r>
          <a:r>
            <a:rPr lang="en-US" sz="4400" baseline="0">
              <a:solidFill>
                <a:schemeClr val="bg1"/>
              </a:solidFill>
              <a:latin typeface="Arial" panose="020B0604020202020204" pitchFamily="34" charset="0"/>
              <a:cs typeface="Arial" panose="020B0604020202020204" pitchFamily="34" charset="0"/>
            </a:rPr>
            <a:t> Manufacturing Processes Overview</a:t>
          </a:r>
          <a:endParaRPr lang="en-US" sz="4400">
            <a:solidFill>
              <a:schemeClr val="bg1"/>
            </a:solidFill>
            <a:latin typeface="Arial" panose="020B0604020202020204" pitchFamily="34" charset="0"/>
            <a:cs typeface="Arial" panose="020B0604020202020204" pitchFamily="34" charset="0"/>
          </a:endParaRPr>
        </a:p>
      </xdr:txBody>
    </xdr:sp>
    <xdr:clientData/>
  </xdr:twoCellAnchor>
  <xdr:twoCellAnchor>
    <xdr:from>
      <xdr:col>16</xdr:col>
      <xdr:colOff>344945</xdr:colOff>
      <xdr:row>6</xdr:row>
      <xdr:rowOff>88281</xdr:rowOff>
    </xdr:from>
    <xdr:to>
      <xdr:col>24</xdr:col>
      <xdr:colOff>385905</xdr:colOff>
      <xdr:row>12</xdr:row>
      <xdr:rowOff>38026</xdr:rowOff>
    </xdr:to>
    <xdr:sp macro="" textlink="">
      <xdr:nvSpPr>
        <xdr:cNvPr id="79" name="Rounded Rectangle 78">
          <a:extLst>
            <a:ext uri="{FF2B5EF4-FFF2-40B4-BE49-F238E27FC236}">
              <a16:creationId xmlns:a16="http://schemas.microsoft.com/office/drawing/2014/main" id="{526419B9-7BF5-C246-A38A-A544DE49971A}"/>
            </a:ext>
          </a:extLst>
        </xdr:cNvPr>
        <xdr:cNvSpPr/>
      </xdr:nvSpPr>
      <xdr:spPr>
        <a:xfrm>
          <a:off x="25084545" y="1696948"/>
          <a:ext cx="9337360" cy="1473745"/>
        </a:xfrm>
        <a:prstGeom prst="roundRect">
          <a:avLst>
            <a:gd name="adj" fmla="val 24167"/>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8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We gather default equipment values from websites and literature to compile a comprehensive database of various tools with a wide range of specifications.</a:t>
          </a:r>
        </a:p>
      </xdr:txBody>
    </xdr:sp>
    <xdr:clientData/>
  </xdr:twoCellAnchor>
  <xdr:twoCellAnchor>
    <xdr:from>
      <xdr:col>24</xdr:col>
      <xdr:colOff>391654</xdr:colOff>
      <xdr:row>13</xdr:row>
      <xdr:rowOff>0</xdr:rowOff>
    </xdr:from>
    <xdr:to>
      <xdr:col>27</xdr:col>
      <xdr:colOff>416521</xdr:colOff>
      <xdr:row>15</xdr:row>
      <xdr:rowOff>110102</xdr:rowOff>
    </xdr:to>
    <xdr:sp macro="" textlink="">
      <xdr:nvSpPr>
        <xdr:cNvPr id="80" name="Rounded Rectangle 79">
          <a:extLst>
            <a:ext uri="{FF2B5EF4-FFF2-40B4-BE49-F238E27FC236}">
              <a16:creationId xmlns:a16="http://schemas.microsoft.com/office/drawing/2014/main" id="{5AA76489-D56C-294C-A718-6D6CE5CC0848}"/>
            </a:ext>
          </a:extLst>
        </xdr:cNvPr>
        <xdr:cNvSpPr/>
      </xdr:nvSpPr>
      <xdr:spPr>
        <a:xfrm>
          <a:off x="34313354" y="3378200"/>
          <a:ext cx="6285967" cy="745102"/>
        </a:xfrm>
        <a:prstGeom prst="roundRect">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Enter your process values to compare against values in literature</a:t>
          </a:r>
        </a:p>
      </xdr:txBody>
    </xdr:sp>
    <xdr:clientData/>
  </xdr:twoCellAnchor>
  <xdr:twoCellAnchor>
    <xdr:from>
      <xdr:col>24</xdr:col>
      <xdr:colOff>120952</xdr:colOff>
      <xdr:row>13</xdr:row>
      <xdr:rowOff>173033</xdr:rowOff>
    </xdr:from>
    <xdr:to>
      <xdr:col>24</xdr:col>
      <xdr:colOff>589216</xdr:colOff>
      <xdr:row>14</xdr:row>
      <xdr:rowOff>241905</xdr:rowOff>
    </xdr:to>
    <xdr:sp macro="" textlink="">
      <xdr:nvSpPr>
        <xdr:cNvPr id="81" name="Text Placeholder 1248">
          <a:extLst>
            <a:ext uri="{FF2B5EF4-FFF2-40B4-BE49-F238E27FC236}">
              <a16:creationId xmlns:a16="http://schemas.microsoft.com/office/drawing/2014/main" id="{21D3C46A-8F0D-734F-B4CA-A97001495F46}"/>
            </a:ext>
          </a:extLst>
        </xdr:cNvPr>
        <xdr:cNvSpPr>
          <a:spLocks noGrp="1"/>
        </xdr:cNvSpPr>
      </xdr:nvSpPr>
      <xdr:spPr>
        <a:xfrm>
          <a:off x="34042652" y="3551233"/>
          <a:ext cx="468264" cy="449872"/>
        </a:xfrm>
        <a:prstGeom prst="ellipse">
          <a:avLst/>
        </a:prstGeom>
        <a:solidFill>
          <a:srgbClr val="FFC000">
            <a:lumMod val="60000"/>
            <a:lumOff val="40000"/>
          </a:srgbClr>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r>
            <a:rPr lang="en-US">
              <a:latin typeface="Arial" panose="020B0604020202020204" pitchFamily="34" charset="0"/>
              <a:cs typeface="Arial" panose="020B0604020202020204" pitchFamily="34" charset="0"/>
            </a:rPr>
            <a:t>1</a:t>
          </a:r>
        </a:p>
      </xdr:txBody>
    </xdr:sp>
    <xdr:clientData/>
  </xdr:twoCellAnchor>
  <xdr:twoCellAnchor>
    <xdr:from>
      <xdr:col>38</xdr:col>
      <xdr:colOff>50800</xdr:colOff>
      <xdr:row>39</xdr:row>
      <xdr:rowOff>33866</xdr:rowOff>
    </xdr:from>
    <xdr:to>
      <xdr:col>51</xdr:col>
      <xdr:colOff>513033</xdr:colOff>
      <xdr:row>42</xdr:row>
      <xdr:rowOff>121670</xdr:rowOff>
    </xdr:to>
    <xdr:sp macro="" textlink="">
      <xdr:nvSpPr>
        <xdr:cNvPr id="82" name="Rounded Rectangle 81">
          <a:extLst>
            <a:ext uri="{FF2B5EF4-FFF2-40B4-BE49-F238E27FC236}">
              <a16:creationId xmlns:a16="http://schemas.microsoft.com/office/drawing/2014/main" id="{1E0402A9-4D6D-0441-9D91-83635AE78126}"/>
            </a:ext>
          </a:extLst>
        </xdr:cNvPr>
        <xdr:cNvSpPr/>
      </xdr:nvSpPr>
      <xdr:spPr>
        <a:xfrm>
          <a:off x="53200300" y="10498666"/>
          <a:ext cx="12895533" cy="887904"/>
        </a:xfrm>
        <a:prstGeom prst="roundRect">
          <a:avLst>
            <a:gd name="adj" fmla="val 5000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a:ln>
                <a:noFill/>
              </a:ln>
              <a:solidFill>
                <a:schemeClr val="tx1"/>
              </a:solidFill>
              <a:effectLst/>
              <a:uLnTx/>
              <a:uFillTx/>
              <a:latin typeface="Arial" panose="020B0604020202020204" pitchFamily="34" charset="0"/>
              <a:ea typeface="+mn-ea"/>
              <a:cs typeface="Arial" panose="020B0604020202020204" pitchFamily="34" charset="0"/>
            </a:rPr>
            <a:t>Process time information found in the literature</a:t>
          </a:r>
        </a:p>
      </xdr:txBody>
    </xdr:sp>
    <xdr:clientData/>
  </xdr:twoCellAnchor>
  <xdr:twoCellAnchor>
    <xdr:from>
      <xdr:col>17</xdr:col>
      <xdr:colOff>0</xdr:colOff>
      <xdr:row>39</xdr:row>
      <xdr:rowOff>0</xdr:rowOff>
    </xdr:from>
    <xdr:to>
      <xdr:col>24</xdr:col>
      <xdr:colOff>3085981</xdr:colOff>
      <xdr:row>42</xdr:row>
      <xdr:rowOff>87804</xdr:rowOff>
    </xdr:to>
    <xdr:sp macro="" textlink="">
      <xdr:nvSpPr>
        <xdr:cNvPr id="83" name="Rounded Rectangle 82">
          <a:extLst>
            <a:ext uri="{FF2B5EF4-FFF2-40B4-BE49-F238E27FC236}">
              <a16:creationId xmlns:a16="http://schemas.microsoft.com/office/drawing/2014/main" id="{BA9E6377-82AE-8D44-AEC4-8B736FF827AE}"/>
            </a:ext>
          </a:extLst>
        </xdr:cNvPr>
        <xdr:cNvSpPr/>
      </xdr:nvSpPr>
      <xdr:spPr>
        <a:xfrm>
          <a:off x="25501600" y="10464800"/>
          <a:ext cx="11506081" cy="887904"/>
        </a:xfrm>
        <a:prstGeom prst="roundRect">
          <a:avLst>
            <a:gd name="adj" fmla="val 5000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Tools related to this precific process and their power and volume specifications</a:t>
          </a:r>
        </a:p>
      </xdr:txBody>
    </xdr:sp>
    <xdr:clientData/>
  </xdr:twoCellAnchor>
  <xdr:twoCellAnchor>
    <xdr:from>
      <xdr:col>25</xdr:col>
      <xdr:colOff>1358019</xdr:colOff>
      <xdr:row>24</xdr:row>
      <xdr:rowOff>100594</xdr:rowOff>
    </xdr:from>
    <xdr:to>
      <xdr:col>26</xdr:col>
      <xdr:colOff>406400</xdr:colOff>
      <xdr:row>26</xdr:row>
      <xdr:rowOff>177760</xdr:rowOff>
    </xdr:to>
    <xdr:sp macro="" textlink="">
      <xdr:nvSpPr>
        <xdr:cNvPr id="84" name="Text Placeholder 1248">
          <a:extLst>
            <a:ext uri="{FF2B5EF4-FFF2-40B4-BE49-F238E27FC236}">
              <a16:creationId xmlns:a16="http://schemas.microsoft.com/office/drawing/2014/main" id="{4D707D05-B9CE-0A43-B303-1663288ADEAE}"/>
            </a:ext>
          </a:extLst>
        </xdr:cNvPr>
        <xdr:cNvSpPr>
          <a:spLocks noGrp="1"/>
        </xdr:cNvSpPr>
      </xdr:nvSpPr>
      <xdr:spPr>
        <a:xfrm>
          <a:off x="39153219" y="6475994"/>
          <a:ext cx="585081" cy="585166"/>
        </a:xfrm>
        <a:prstGeom prst="ellipse">
          <a:avLst/>
        </a:prstGeom>
        <a:solidFill>
          <a:srgbClr val="FFC000">
            <a:lumMod val="60000"/>
            <a:lumOff val="40000"/>
          </a:srgbClr>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r>
            <a:rPr lang="en-US">
              <a:latin typeface="Arial" panose="020B0604020202020204" pitchFamily="34" charset="0"/>
              <a:cs typeface="Arial" panose="020B0604020202020204" pitchFamily="34" charset="0"/>
            </a:rPr>
            <a:t>2</a:t>
          </a:r>
        </a:p>
      </xdr:txBody>
    </xdr:sp>
    <xdr:clientData/>
  </xdr:twoCellAnchor>
  <xdr:twoCellAnchor>
    <xdr:from>
      <xdr:col>25</xdr:col>
      <xdr:colOff>1358019</xdr:colOff>
      <xdr:row>28</xdr:row>
      <xdr:rowOff>100594</xdr:rowOff>
    </xdr:from>
    <xdr:to>
      <xdr:col>26</xdr:col>
      <xdr:colOff>406400</xdr:colOff>
      <xdr:row>30</xdr:row>
      <xdr:rowOff>177760</xdr:rowOff>
    </xdr:to>
    <xdr:sp macro="" textlink="">
      <xdr:nvSpPr>
        <xdr:cNvPr id="85" name="Text Placeholder 1248">
          <a:extLst>
            <a:ext uri="{FF2B5EF4-FFF2-40B4-BE49-F238E27FC236}">
              <a16:creationId xmlns:a16="http://schemas.microsoft.com/office/drawing/2014/main" id="{265CF4FB-2E0C-A146-9266-55B59BA8E38E}"/>
            </a:ext>
          </a:extLst>
        </xdr:cNvPr>
        <xdr:cNvSpPr>
          <a:spLocks noGrp="1"/>
        </xdr:cNvSpPr>
      </xdr:nvSpPr>
      <xdr:spPr>
        <a:xfrm>
          <a:off x="39153219" y="7771394"/>
          <a:ext cx="585081" cy="585166"/>
        </a:xfrm>
        <a:prstGeom prst="ellipse">
          <a:avLst/>
        </a:prstGeom>
        <a:solidFill>
          <a:srgbClr val="FFC000">
            <a:lumMod val="60000"/>
            <a:lumOff val="40000"/>
          </a:srgbClr>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r>
            <a:rPr lang="en-US">
              <a:latin typeface="Arial" panose="020B0604020202020204" pitchFamily="34" charset="0"/>
              <a:cs typeface="Arial" panose="020B0604020202020204" pitchFamily="34" charset="0"/>
            </a:rPr>
            <a:t>3</a:t>
          </a:r>
        </a:p>
      </xdr:txBody>
    </xdr:sp>
    <xdr:clientData/>
  </xdr:twoCellAnchor>
  <xdr:twoCellAnchor>
    <xdr:from>
      <xdr:col>26</xdr:col>
      <xdr:colOff>135467</xdr:colOff>
      <xdr:row>26</xdr:row>
      <xdr:rowOff>101601</xdr:rowOff>
    </xdr:from>
    <xdr:to>
      <xdr:col>29</xdr:col>
      <xdr:colOff>588567</xdr:colOff>
      <xdr:row>28</xdr:row>
      <xdr:rowOff>189405</xdr:rowOff>
    </xdr:to>
    <xdr:sp macro="" textlink="">
      <xdr:nvSpPr>
        <xdr:cNvPr id="86" name="Rounded Rectangle 85">
          <a:extLst>
            <a:ext uri="{FF2B5EF4-FFF2-40B4-BE49-F238E27FC236}">
              <a16:creationId xmlns:a16="http://schemas.microsoft.com/office/drawing/2014/main" id="{5D9788C1-B185-FB4D-920D-FE054757FE33}"/>
            </a:ext>
          </a:extLst>
        </xdr:cNvPr>
        <xdr:cNvSpPr/>
      </xdr:nvSpPr>
      <xdr:spPr>
        <a:xfrm>
          <a:off x="39467367" y="6985001"/>
          <a:ext cx="3336000" cy="875204"/>
        </a:xfrm>
        <a:prstGeom prst="roundRect">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Enter your tool power rating to check range</a:t>
          </a:r>
        </a:p>
      </xdr:txBody>
    </xdr:sp>
    <xdr:clientData/>
  </xdr:twoCellAnchor>
  <xdr:twoCellAnchor>
    <xdr:from>
      <xdr:col>26</xdr:col>
      <xdr:colOff>0</xdr:colOff>
      <xdr:row>30</xdr:row>
      <xdr:rowOff>203200</xdr:rowOff>
    </xdr:from>
    <xdr:to>
      <xdr:col>29</xdr:col>
      <xdr:colOff>7119</xdr:colOff>
      <xdr:row>34</xdr:row>
      <xdr:rowOff>67864</xdr:rowOff>
    </xdr:to>
    <xdr:sp macro="" textlink="">
      <xdr:nvSpPr>
        <xdr:cNvPr id="87" name="Rounded Rectangle 86">
          <a:extLst>
            <a:ext uri="{FF2B5EF4-FFF2-40B4-BE49-F238E27FC236}">
              <a16:creationId xmlns:a16="http://schemas.microsoft.com/office/drawing/2014/main" id="{6D153624-DF50-C247-92BF-C53C8CEA04CE}"/>
            </a:ext>
          </a:extLst>
        </xdr:cNvPr>
        <xdr:cNvSpPr/>
      </xdr:nvSpPr>
      <xdr:spPr>
        <a:xfrm>
          <a:off x="39331900" y="8382000"/>
          <a:ext cx="2890019" cy="880664"/>
        </a:xfrm>
        <a:prstGeom prst="roundRect">
          <a:avLst/>
        </a:prstGeom>
        <a:solidFill>
          <a:schemeClr val="accent5">
            <a:lumMod val="40000"/>
            <a:lumOff val="60000"/>
          </a:scheme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Calcualted based on process time and tool power rating(kW)</a:t>
          </a:r>
        </a:p>
      </xdr:txBody>
    </xdr:sp>
    <xdr:clientData/>
  </xdr:twoCellAnchor>
  <xdr:twoCellAnchor>
    <xdr:from>
      <xdr:col>33</xdr:col>
      <xdr:colOff>276377</xdr:colOff>
      <xdr:row>13</xdr:row>
      <xdr:rowOff>294519</xdr:rowOff>
    </xdr:from>
    <xdr:to>
      <xdr:col>40</xdr:col>
      <xdr:colOff>432695</xdr:colOff>
      <xdr:row>15</xdr:row>
      <xdr:rowOff>46141</xdr:rowOff>
    </xdr:to>
    <xdr:grpSp>
      <xdr:nvGrpSpPr>
        <xdr:cNvPr id="88" name="Group 87">
          <a:extLst>
            <a:ext uri="{FF2B5EF4-FFF2-40B4-BE49-F238E27FC236}">
              <a16:creationId xmlns:a16="http://schemas.microsoft.com/office/drawing/2014/main" id="{5C906EF4-9437-0143-924D-67A2C4B97B5A}"/>
            </a:ext>
          </a:extLst>
        </xdr:cNvPr>
        <xdr:cNvGrpSpPr/>
      </xdr:nvGrpSpPr>
      <xdr:grpSpPr>
        <a:xfrm>
          <a:off x="49338482" y="3569782"/>
          <a:ext cx="6484038" cy="375482"/>
          <a:chOff x="20803705" y="3035855"/>
          <a:chExt cx="6029371" cy="995751"/>
        </a:xfrm>
      </xdr:grpSpPr>
      <xdr:sp macro="" textlink="">
        <xdr:nvSpPr>
          <xdr:cNvPr id="89" name="Rounded Rectangle 88">
            <a:extLst>
              <a:ext uri="{FF2B5EF4-FFF2-40B4-BE49-F238E27FC236}">
                <a16:creationId xmlns:a16="http://schemas.microsoft.com/office/drawing/2014/main" id="{CD65E483-CDD1-90A1-0CD1-94EECF40BBCA}"/>
              </a:ext>
            </a:extLst>
          </xdr:cNvPr>
          <xdr:cNvSpPr/>
        </xdr:nvSpPr>
        <xdr:spPr>
          <a:xfrm>
            <a:off x="20803705" y="3035855"/>
            <a:ext cx="6029371" cy="995751"/>
          </a:xfrm>
          <a:prstGeom prst="roundRect">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b"/>
          <a:lstStyle/>
          <a:p>
            <a:pPr algn="r"/>
            <a:r>
              <a:rPr lang="en-US" sz="2000" kern="1200">
                <a:latin typeface="Arial" panose="020B0604020202020204" pitchFamily="34" charset="0"/>
                <a:cs typeface="Arial" panose="020B0604020202020204" pitchFamily="34" charset="0"/>
              </a:rPr>
              <a:t>tool power rating overview</a:t>
            </a:r>
          </a:p>
        </xdr:txBody>
      </xdr:sp>
      <xdr:sp macro="" textlink="$E$19">
        <xdr:nvSpPr>
          <xdr:cNvPr id="90" name="TextBox 89">
            <a:extLst>
              <a:ext uri="{FF2B5EF4-FFF2-40B4-BE49-F238E27FC236}">
                <a16:creationId xmlns:a16="http://schemas.microsoft.com/office/drawing/2014/main" id="{829599AA-837F-6C45-559C-A463F2119602}"/>
              </a:ext>
            </a:extLst>
          </xdr:cNvPr>
          <xdr:cNvSpPr txBox="1"/>
        </xdr:nvSpPr>
        <xdr:spPr>
          <a:xfrm>
            <a:off x="20917443" y="3144274"/>
            <a:ext cx="2290048" cy="553647"/>
          </a:xfrm>
          <a:prstGeom prst="rect">
            <a:avLst/>
          </a:prstGeom>
          <a:solidFill>
            <a:srgbClr val="4DA72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A722FA6-ADBD-BF4A-B652-57345CB45E96}" type="TxLink">
              <a:rPr lang="en-US" sz="2000" b="0" i="0" u="none" strike="noStrike" kern="1200">
                <a:solidFill>
                  <a:schemeClr val="bg1"/>
                </a:solidFill>
                <a:latin typeface="Arial"/>
                <a:cs typeface="Arial"/>
              </a:rPr>
              <a:pPr/>
              <a:t> </a:t>
            </a:fld>
            <a:endParaRPr lang="en-US" sz="900" kern="1200">
              <a:solidFill>
                <a:schemeClr val="bg1"/>
              </a:solidFill>
            </a:endParaRPr>
          </a:p>
        </xdr:txBody>
      </xdr:sp>
    </xdr:grpSp>
    <xdr:clientData/>
  </xdr:twoCellAnchor>
  <xdr:twoCellAnchor>
    <xdr:from>
      <xdr:col>33</xdr:col>
      <xdr:colOff>750455</xdr:colOff>
      <xdr:row>16</xdr:row>
      <xdr:rowOff>129887</xdr:rowOff>
    </xdr:from>
    <xdr:to>
      <xdr:col>40</xdr:col>
      <xdr:colOff>341292</xdr:colOff>
      <xdr:row>30</xdr:row>
      <xdr:rowOff>63115</xdr:rowOff>
    </xdr:to>
    <xdr:graphicFrame macro="">
      <xdr:nvGraphicFramePr>
        <xdr:cNvPr id="91" name="Chart 90">
          <a:extLst>
            <a:ext uri="{FF2B5EF4-FFF2-40B4-BE49-F238E27FC236}">
              <a16:creationId xmlns:a16="http://schemas.microsoft.com/office/drawing/2014/main" id="{AC967B67-DE63-374E-BE29-A40AEE7B9C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33</xdr:col>
      <xdr:colOff>745507</xdr:colOff>
      <xdr:row>16</xdr:row>
      <xdr:rowOff>130711</xdr:rowOff>
    </xdr:from>
    <xdr:to>
      <xdr:col>40</xdr:col>
      <xdr:colOff>336344</xdr:colOff>
      <xdr:row>30</xdr:row>
      <xdr:rowOff>63939</xdr:rowOff>
    </xdr:to>
    <xdr:graphicFrame macro="">
      <xdr:nvGraphicFramePr>
        <xdr:cNvPr id="92" name="Chart 91">
          <a:extLst>
            <a:ext uri="{FF2B5EF4-FFF2-40B4-BE49-F238E27FC236}">
              <a16:creationId xmlns:a16="http://schemas.microsoft.com/office/drawing/2014/main" id="{C20ABCCF-65E1-BE4E-8248-DA94D681DA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35</xdr:col>
      <xdr:colOff>346364</xdr:colOff>
      <xdr:row>22</xdr:row>
      <xdr:rowOff>72159</xdr:rowOff>
    </xdr:from>
    <xdr:to>
      <xdr:col>37</xdr:col>
      <xdr:colOff>342318</xdr:colOff>
      <xdr:row>23</xdr:row>
      <xdr:rowOff>60863</xdr:rowOff>
    </xdr:to>
    <xdr:sp macro="" textlink="">
      <xdr:nvSpPr>
        <xdr:cNvPr id="93" name="TextBox 92">
          <a:extLst>
            <a:ext uri="{FF2B5EF4-FFF2-40B4-BE49-F238E27FC236}">
              <a16:creationId xmlns:a16="http://schemas.microsoft.com/office/drawing/2014/main" id="{510FB4DC-3766-C346-8EB0-7F2A9165805B}"/>
            </a:ext>
          </a:extLst>
        </xdr:cNvPr>
        <xdr:cNvSpPr txBox="1"/>
      </xdr:nvSpPr>
      <xdr:spPr>
        <a:xfrm>
          <a:off x="51019364" y="5939559"/>
          <a:ext cx="1646954" cy="2427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600" b="0" i="0" u="none" strike="noStrike" kern="1200">
              <a:solidFill>
                <a:schemeClr val="tx1"/>
              </a:solidFill>
              <a:latin typeface="Arial"/>
              <a:ea typeface="+mn-ea"/>
              <a:cs typeface="Arial"/>
            </a:rPr>
            <a:t>LOW</a:t>
          </a:r>
        </a:p>
      </xdr:txBody>
    </xdr:sp>
    <xdr:clientData/>
  </xdr:twoCellAnchor>
  <xdr:twoCellAnchor>
    <xdr:from>
      <xdr:col>38</xdr:col>
      <xdr:colOff>227826</xdr:colOff>
      <xdr:row>22</xdr:row>
      <xdr:rowOff>95396</xdr:rowOff>
    </xdr:from>
    <xdr:to>
      <xdr:col>40</xdr:col>
      <xdr:colOff>203975</xdr:colOff>
      <xdr:row>23</xdr:row>
      <xdr:rowOff>84100</xdr:rowOff>
    </xdr:to>
    <xdr:sp macro="" textlink="">
      <xdr:nvSpPr>
        <xdr:cNvPr id="94" name="TextBox 93">
          <a:extLst>
            <a:ext uri="{FF2B5EF4-FFF2-40B4-BE49-F238E27FC236}">
              <a16:creationId xmlns:a16="http://schemas.microsoft.com/office/drawing/2014/main" id="{7672D89E-0C6C-924B-AC88-59FB25DF1A10}"/>
            </a:ext>
          </a:extLst>
        </xdr:cNvPr>
        <xdr:cNvSpPr txBox="1"/>
      </xdr:nvSpPr>
      <xdr:spPr>
        <a:xfrm>
          <a:off x="53377326" y="5962796"/>
          <a:ext cx="2185949" cy="2427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600" b="0" i="0" u="none" strike="noStrike" kern="1200">
              <a:solidFill>
                <a:schemeClr val="tx1"/>
              </a:solidFill>
              <a:latin typeface="Arial"/>
              <a:ea typeface="+mn-ea"/>
              <a:cs typeface="Arial"/>
            </a:rPr>
            <a:t>HIGH</a:t>
          </a:r>
        </a:p>
      </xdr:txBody>
    </xdr:sp>
    <xdr:clientData/>
  </xdr:twoCellAnchor>
  <xdr:twoCellAnchor>
    <xdr:from>
      <xdr:col>2</xdr:col>
      <xdr:colOff>1415748</xdr:colOff>
      <xdr:row>57</xdr:row>
      <xdr:rowOff>238479</xdr:rowOff>
    </xdr:from>
    <xdr:to>
      <xdr:col>5</xdr:col>
      <xdr:colOff>241905</xdr:colOff>
      <xdr:row>61</xdr:row>
      <xdr:rowOff>161271</xdr:rowOff>
    </xdr:to>
    <xdr:sp macro="" textlink="">
      <xdr:nvSpPr>
        <xdr:cNvPr id="95" name="Rounded Rectangle 94">
          <a:extLst>
            <a:ext uri="{FF2B5EF4-FFF2-40B4-BE49-F238E27FC236}">
              <a16:creationId xmlns:a16="http://schemas.microsoft.com/office/drawing/2014/main" id="{EE03C391-B4A8-8A43-8FAF-1D2FEFC8BF12}"/>
            </a:ext>
          </a:extLst>
        </xdr:cNvPr>
        <xdr:cNvSpPr/>
      </xdr:nvSpPr>
      <xdr:spPr>
        <a:xfrm>
          <a:off x="7181548" y="15694379"/>
          <a:ext cx="5519057" cy="1002292"/>
        </a:xfrm>
        <a:prstGeom prst="roundRect">
          <a:avLst>
            <a:gd name="adj" fmla="val 30087"/>
          </a:avLst>
        </a:prstGeom>
        <a:noFill/>
        <a:ln w="57150" cap="flat" cmpd="sng" algn="ctr">
          <a:solidFill>
            <a:schemeClr val="accent5">
              <a:lumMod val="75000"/>
            </a:schemeClr>
          </a:solidFill>
          <a:prstDash val="solid"/>
        </a:ln>
        <a:effectLst/>
      </xdr:spPr>
      <xdr:txBody>
        <a:bodyPr vertOverflow="clip" horzOverflow="clip" rtlCol="0" anchor="ctr"/>
        <a:lstStyle/>
        <a:p>
          <a:pPr marL="0" marR="0" lvl="0" indent="0" algn="r" defTabSz="914400" eaLnBrk="1" fontAlgn="auto" latinLnBrk="0" hangingPunct="1">
            <a:lnSpc>
              <a:spcPct val="100000"/>
            </a:lnSpc>
            <a:spcBef>
              <a:spcPts val="0"/>
            </a:spcBef>
            <a:spcAft>
              <a:spcPts val="0"/>
            </a:spcAft>
            <a:buClrTx/>
            <a:buSzTx/>
            <a:buFontTx/>
            <a:buNone/>
            <a:tabLst/>
            <a:defRPr/>
          </a:pPr>
          <a:r>
            <a:rPr kumimoji="0" lang="en-US" sz="18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Average process time for selected process obtained from literature</a:t>
          </a:r>
        </a:p>
      </xdr:txBody>
    </xdr:sp>
    <xdr:clientData/>
  </xdr:twoCellAnchor>
  <xdr:twoCellAnchor>
    <xdr:from>
      <xdr:col>4</xdr:col>
      <xdr:colOff>1342089</xdr:colOff>
      <xdr:row>69</xdr:row>
      <xdr:rowOff>76208</xdr:rowOff>
    </xdr:from>
    <xdr:to>
      <xdr:col>6</xdr:col>
      <xdr:colOff>871997</xdr:colOff>
      <xdr:row>71</xdr:row>
      <xdr:rowOff>177808</xdr:rowOff>
    </xdr:to>
    <xdr:sp macro="" textlink="">
      <xdr:nvSpPr>
        <xdr:cNvPr id="96" name="Rounded Rectangle 95">
          <a:extLst>
            <a:ext uri="{FF2B5EF4-FFF2-40B4-BE49-F238E27FC236}">
              <a16:creationId xmlns:a16="http://schemas.microsoft.com/office/drawing/2014/main" id="{5B697166-4159-0545-91F5-12EA043FDFCB}"/>
            </a:ext>
          </a:extLst>
        </xdr:cNvPr>
        <xdr:cNvSpPr/>
      </xdr:nvSpPr>
      <xdr:spPr>
        <a:xfrm>
          <a:off x="11502089" y="18624115"/>
          <a:ext cx="4166885" cy="603693"/>
        </a:xfrm>
        <a:prstGeom prst="roundRect">
          <a:avLst>
            <a:gd name="adj" fmla="val 30087"/>
          </a:avLst>
        </a:prstGeom>
        <a:noFill/>
        <a:ln w="25400" cap="flat" cmpd="sng" algn="ctr">
          <a:solidFill>
            <a:schemeClr val="accent5">
              <a:lumMod val="75000"/>
            </a:schemeClr>
          </a:solidFill>
          <a:prstDash val="solid"/>
        </a:ln>
        <a:effectLst/>
      </xdr:spPr>
      <xdr:txBody>
        <a:bodyPr vertOverflow="clip" horzOverflow="clip" rtlCol="0" anchor="ctr"/>
        <a:lstStyle/>
        <a:p>
          <a:pPr marL="0" marR="0" lvl="0" indent="0" algn="r" defTabSz="914400" eaLnBrk="1" fontAlgn="auto" latinLnBrk="0" hangingPunct="1">
            <a:lnSpc>
              <a:spcPct val="100000"/>
            </a:lnSpc>
            <a:spcBef>
              <a:spcPts val="0"/>
            </a:spcBef>
            <a:spcAft>
              <a:spcPts val="0"/>
            </a:spcAft>
            <a:buClrTx/>
            <a:buSzTx/>
            <a:buFontTx/>
            <a:buNone/>
            <a:tabLst/>
            <a:defRPr/>
          </a:pPr>
          <a:r>
            <a:rPr lang="en-US" sz="1400" b="1" i="0" u="none" strike="noStrike">
              <a:effectLst/>
              <a:latin typeface="+mn-lt"/>
              <a:ea typeface="+mn-ea"/>
              <a:cs typeface="+mn-cs"/>
            </a:rPr>
            <a:t>kW/kg</a:t>
          </a:r>
          <a:r>
            <a:rPr lang="en-US" sz="1400" b="1" i="0" u="none" strike="noStrike" baseline="0">
              <a:effectLst/>
              <a:latin typeface="+mn-lt"/>
              <a:ea typeface="+mn-ea"/>
              <a:cs typeface="+mn-cs"/>
            </a:rPr>
            <a:t> </a:t>
          </a:r>
          <a:r>
            <a:rPr lang="en-US" sz="1400" b="1" i="0" u="none" strike="noStrike">
              <a:effectLst/>
              <a:latin typeface="+mn-lt"/>
              <a:ea typeface="+mn-ea"/>
              <a:cs typeface="+mn-cs"/>
            </a:rPr>
            <a:t>Value obtained</a:t>
          </a:r>
          <a:r>
            <a:rPr lang="en-US" sz="1400" b="1" i="0" u="none" strike="noStrike" baseline="0">
              <a:effectLst/>
              <a:latin typeface="+mn-lt"/>
              <a:ea typeface="+mn-ea"/>
              <a:cs typeface="+mn-cs"/>
            </a:rPr>
            <a:t> </a:t>
          </a:r>
          <a:r>
            <a:rPr lang="en-US" sz="1400" b="1" i="0" u="none" strike="noStrike">
              <a:effectLst/>
              <a:latin typeface="+mn-lt"/>
              <a:ea typeface="+mn-ea"/>
              <a:cs typeface="+mn-cs"/>
            </a:rPr>
            <a:t>based on literature</a:t>
          </a:r>
          <a:r>
            <a:rPr lang="en-US" sz="1800" b="1"/>
            <a:t> </a:t>
          </a:r>
          <a:endParaRPr kumimoji="0" lang="en-US" sz="18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endParaRPr>
        </a:p>
      </xdr:txBody>
    </xdr:sp>
    <xdr:clientData/>
  </xdr:twoCellAnchor>
  <xdr:twoCellAnchor>
    <xdr:from>
      <xdr:col>4</xdr:col>
      <xdr:colOff>1189596</xdr:colOff>
      <xdr:row>94</xdr:row>
      <xdr:rowOff>109131</xdr:rowOff>
    </xdr:from>
    <xdr:to>
      <xdr:col>7</xdr:col>
      <xdr:colOff>544516</xdr:colOff>
      <xdr:row>98</xdr:row>
      <xdr:rowOff>242502</xdr:rowOff>
    </xdr:to>
    <xdr:sp macro="" textlink="">
      <xdr:nvSpPr>
        <xdr:cNvPr id="97" name="Rounded Rectangle 96">
          <a:extLst>
            <a:ext uri="{FF2B5EF4-FFF2-40B4-BE49-F238E27FC236}">
              <a16:creationId xmlns:a16="http://schemas.microsoft.com/office/drawing/2014/main" id="{DC31B1DE-47BF-2D4B-AE01-DD4C30BF4582}"/>
            </a:ext>
          </a:extLst>
        </xdr:cNvPr>
        <xdr:cNvSpPr/>
      </xdr:nvSpPr>
      <xdr:spPr>
        <a:xfrm>
          <a:off x="11349596" y="24815061"/>
          <a:ext cx="6325153" cy="1152325"/>
        </a:xfrm>
        <a:prstGeom prst="roundRect">
          <a:avLst>
            <a:gd name="adj" fmla="val 30087"/>
          </a:avLst>
        </a:prstGeom>
        <a:noFill/>
        <a:ln w="25400" cap="flat" cmpd="sng" algn="ctr">
          <a:solidFill>
            <a:schemeClr val="accent5">
              <a:lumMod val="75000"/>
            </a:schemeClr>
          </a:solidFill>
          <a:prstDash val="solid"/>
        </a:ln>
        <a:effectLst/>
      </xdr:spPr>
      <xdr:txBody>
        <a:bodyPr vertOverflow="clip" horzOverflow="clip" rtlCol="0" anchor="ctr"/>
        <a:lstStyle/>
        <a:p>
          <a:pPr marL="0" marR="0" lvl="0" indent="0" algn="r" defTabSz="914400" eaLnBrk="1" fontAlgn="auto" latinLnBrk="0" hangingPunct="1">
            <a:lnSpc>
              <a:spcPct val="100000"/>
            </a:lnSpc>
            <a:spcBef>
              <a:spcPts val="0"/>
            </a:spcBef>
            <a:spcAft>
              <a:spcPts val="0"/>
            </a:spcAft>
            <a:buClrTx/>
            <a:buSzTx/>
            <a:buFontTx/>
            <a:buNone/>
            <a:tabLst/>
            <a:defRPr/>
          </a:pPr>
          <a:endParaRPr lang="en-US" sz="1400" b="0" i="0" u="none" strike="noStrike">
            <a:effectLst/>
            <a:latin typeface="+mn-lt"/>
            <a:ea typeface="+mn-ea"/>
            <a:cs typeface="+mn-cs"/>
          </a:endParaRPr>
        </a:p>
        <a:p>
          <a:pPr marL="0" marR="0" lvl="0" indent="0" algn="r" defTabSz="914400" eaLnBrk="1" fontAlgn="auto" latinLnBrk="0" hangingPunct="1">
            <a:lnSpc>
              <a:spcPct val="100000"/>
            </a:lnSpc>
            <a:spcBef>
              <a:spcPts val="0"/>
            </a:spcBef>
            <a:spcAft>
              <a:spcPts val="0"/>
            </a:spcAft>
            <a:buClrTx/>
            <a:buSzTx/>
            <a:buFontTx/>
            <a:buNone/>
            <a:tabLst/>
            <a:defRPr/>
          </a:pPr>
          <a:r>
            <a:rPr lang="en-US" sz="1400" b="0" i="0" u="none" strike="noStrike">
              <a:effectLst/>
              <a:latin typeface="+mn-lt"/>
              <a:ea typeface="+mn-ea"/>
              <a:cs typeface="+mn-cs"/>
            </a:rPr>
            <a:t>As we</a:t>
          </a:r>
          <a:r>
            <a:rPr lang="en-US" sz="1400" b="0" i="0" u="none" strike="noStrike" baseline="0">
              <a:effectLst/>
              <a:latin typeface="+mn-lt"/>
              <a:ea typeface="+mn-ea"/>
              <a:cs typeface="+mn-cs"/>
            </a:rPr>
            <a:t> calculated energy per kg of material process, we are keeping the eqipment volume to accomodate 1L with 80% utilization volume, which requires total volume</a:t>
          </a:r>
        </a:p>
      </xdr:txBody>
    </xdr:sp>
    <xdr:clientData/>
  </xdr:twoCellAnchor>
  <xdr:twoCellAnchor>
    <xdr:from>
      <xdr:col>20</xdr:col>
      <xdr:colOff>660400</xdr:colOff>
      <xdr:row>19</xdr:row>
      <xdr:rowOff>237067</xdr:rowOff>
    </xdr:from>
    <xdr:to>
      <xdr:col>23</xdr:col>
      <xdr:colOff>769119</xdr:colOff>
      <xdr:row>23</xdr:row>
      <xdr:rowOff>101731</xdr:rowOff>
    </xdr:to>
    <xdr:sp macro="" textlink="">
      <xdr:nvSpPr>
        <xdr:cNvPr id="98" name="Rounded Rectangle 97">
          <a:extLst>
            <a:ext uri="{FF2B5EF4-FFF2-40B4-BE49-F238E27FC236}">
              <a16:creationId xmlns:a16="http://schemas.microsoft.com/office/drawing/2014/main" id="{5B6D0083-C401-6A41-981E-8018651377AA}"/>
            </a:ext>
          </a:extLst>
        </xdr:cNvPr>
        <xdr:cNvSpPr/>
      </xdr:nvSpPr>
      <xdr:spPr>
        <a:xfrm>
          <a:off x="30988000" y="5342467"/>
          <a:ext cx="2864619" cy="880664"/>
        </a:xfrm>
        <a:prstGeom prst="roundRect">
          <a:avLst/>
        </a:prstGeom>
        <a:solidFill>
          <a:schemeClr val="accent5">
            <a:lumMod val="40000"/>
            <a:lumOff val="60000"/>
          </a:scheme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Note: Unitilized volume is 80% of the total volume of the equipment</a:t>
          </a:r>
        </a:p>
      </xdr:txBody>
    </xdr:sp>
    <xdr:clientData/>
  </xdr:twoCellAnchor>
  <xdr:twoCellAnchor editAs="oneCell">
    <xdr:from>
      <xdr:col>5</xdr:col>
      <xdr:colOff>1554428</xdr:colOff>
      <xdr:row>33</xdr:row>
      <xdr:rowOff>57084</xdr:rowOff>
    </xdr:from>
    <xdr:to>
      <xdr:col>10</xdr:col>
      <xdr:colOff>4697</xdr:colOff>
      <xdr:row>55</xdr:row>
      <xdr:rowOff>37519</xdr:rowOff>
    </xdr:to>
    <xdr:pic>
      <xdr:nvPicPr>
        <xdr:cNvPr id="102" name="Picture 101">
          <a:extLst>
            <a:ext uri="{FF2B5EF4-FFF2-40B4-BE49-F238E27FC236}">
              <a16:creationId xmlns:a16="http://schemas.microsoft.com/office/drawing/2014/main" id="{B1B7E607-C34A-9CA1-CCDB-37B05400C2A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4034295" y="9031751"/>
          <a:ext cx="5731602" cy="62594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2</xdr:col>
      <xdr:colOff>888320</xdr:colOff>
      <xdr:row>12</xdr:row>
      <xdr:rowOff>96539</xdr:rowOff>
    </xdr:from>
    <xdr:to>
      <xdr:col>3</xdr:col>
      <xdr:colOff>1731513</xdr:colOff>
      <xdr:row>14</xdr:row>
      <xdr:rowOff>126369</xdr:rowOff>
    </xdr:to>
    <xdr:sp macro="" textlink="">
      <xdr:nvSpPr>
        <xdr:cNvPr id="2" name="Rounded Rectangle 1">
          <a:extLst>
            <a:ext uri="{FF2B5EF4-FFF2-40B4-BE49-F238E27FC236}">
              <a16:creationId xmlns:a16="http://schemas.microsoft.com/office/drawing/2014/main" id="{DB6147E1-A3A4-8541-858C-8911A32C47D7}"/>
            </a:ext>
          </a:extLst>
        </xdr:cNvPr>
        <xdr:cNvSpPr/>
      </xdr:nvSpPr>
      <xdr:spPr>
        <a:xfrm>
          <a:off x="6654120" y="3220739"/>
          <a:ext cx="2913293" cy="664830"/>
        </a:xfrm>
        <a:prstGeom prst="roundRect">
          <a:avLst>
            <a:gd name="adj" fmla="val 46754"/>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&lt; Enter Process Name</a:t>
          </a:r>
        </a:p>
      </xdr:txBody>
    </xdr:sp>
    <xdr:clientData/>
  </xdr:twoCellAnchor>
  <xdr:twoCellAnchor>
    <xdr:from>
      <xdr:col>0</xdr:col>
      <xdr:colOff>272199</xdr:colOff>
      <xdr:row>0</xdr:row>
      <xdr:rowOff>2</xdr:rowOff>
    </xdr:from>
    <xdr:to>
      <xdr:col>14</xdr:col>
      <xdr:colOff>12701</xdr:colOff>
      <xdr:row>4</xdr:row>
      <xdr:rowOff>0</xdr:rowOff>
    </xdr:to>
    <xdr:sp macro="" textlink="">
      <xdr:nvSpPr>
        <xdr:cNvPr id="3" name="Title">
          <a:extLst>
            <a:ext uri="{FF2B5EF4-FFF2-40B4-BE49-F238E27FC236}">
              <a16:creationId xmlns:a16="http://schemas.microsoft.com/office/drawing/2014/main" id="{1B28637F-9A99-FF4D-B4E7-46B0F881C5F9}"/>
            </a:ext>
          </a:extLst>
        </xdr:cNvPr>
        <xdr:cNvSpPr/>
      </xdr:nvSpPr>
      <xdr:spPr>
        <a:xfrm>
          <a:off x="272199" y="2"/>
          <a:ext cx="22765602" cy="1092198"/>
        </a:xfrm>
        <a:prstGeom prst="rect">
          <a:avLst/>
        </a:prstGeom>
        <a:solidFill>
          <a:srgbClr val="004F4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4000"/>
        </a:p>
      </xdr:txBody>
    </xdr:sp>
    <xdr:clientData/>
  </xdr:twoCellAnchor>
  <xdr:twoCellAnchor>
    <xdr:from>
      <xdr:col>0</xdr:col>
      <xdr:colOff>0</xdr:colOff>
      <xdr:row>0</xdr:row>
      <xdr:rowOff>0</xdr:rowOff>
    </xdr:from>
    <xdr:to>
      <xdr:col>0</xdr:col>
      <xdr:colOff>304800</xdr:colOff>
      <xdr:row>4</xdr:row>
      <xdr:rowOff>0</xdr:rowOff>
    </xdr:to>
    <xdr:sp macro="" textlink="">
      <xdr:nvSpPr>
        <xdr:cNvPr id="4" name="_Yellow">
          <a:extLst>
            <a:ext uri="{FF2B5EF4-FFF2-40B4-BE49-F238E27FC236}">
              <a16:creationId xmlns:a16="http://schemas.microsoft.com/office/drawing/2014/main" id="{56BAA69E-2DD1-C044-847E-32348E807B8B}"/>
            </a:ext>
          </a:extLst>
        </xdr:cNvPr>
        <xdr:cNvSpPr/>
      </xdr:nvSpPr>
      <xdr:spPr>
        <a:xfrm>
          <a:off x="0" y="0"/>
          <a:ext cx="304800" cy="1092200"/>
        </a:xfrm>
        <a:prstGeom prst="rect">
          <a:avLst/>
        </a:prstGeom>
        <a:solidFill>
          <a:srgbClr val="FFCD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editAs="oneCell">
    <xdr:from>
      <xdr:col>12</xdr:col>
      <xdr:colOff>429694</xdr:colOff>
      <xdr:row>0</xdr:row>
      <xdr:rowOff>0</xdr:rowOff>
    </xdr:from>
    <xdr:to>
      <xdr:col>14</xdr:col>
      <xdr:colOff>32784</xdr:colOff>
      <xdr:row>4</xdr:row>
      <xdr:rowOff>54738</xdr:rowOff>
    </xdr:to>
    <xdr:pic>
      <xdr:nvPicPr>
        <xdr:cNvPr id="5" name="Clarkson Logo" descr="A logo with white text and black background&#10;&#10;Description automatically generated">
          <a:extLst>
            <a:ext uri="{FF2B5EF4-FFF2-40B4-BE49-F238E27FC236}">
              <a16:creationId xmlns:a16="http://schemas.microsoft.com/office/drawing/2014/main" id="{CD513FDC-9389-AE44-8F4C-6FDBB1938257}"/>
            </a:ext>
          </a:extLst>
        </xdr:cNvPr>
        <xdr:cNvPicPr>
          <a:picLocks noChangeAspect="1"/>
        </xdr:cNvPicPr>
      </xdr:nvPicPr>
      <xdr:blipFill>
        <a:blip xmlns:r="http://schemas.openxmlformats.org/officeDocument/2006/relationships" r:embed="rId1">
          <a:alphaModFix amt="50000"/>
        </a:blip>
        <a:stretch>
          <a:fillRect/>
        </a:stretch>
      </xdr:blipFill>
      <xdr:spPr>
        <a:xfrm>
          <a:off x="21803794" y="0"/>
          <a:ext cx="1254090" cy="1146938"/>
        </a:xfrm>
        <a:prstGeom prst="rect">
          <a:avLst/>
        </a:prstGeom>
      </xdr:spPr>
    </xdr:pic>
    <xdr:clientData/>
  </xdr:twoCellAnchor>
  <xdr:twoCellAnchor>
    <xdr:from>
      <xdr:col>0</xdr:col>
      <xdr:colOff>490909</xdr:colOff>
      <xdr:row>0</xdr:row>
      <xdr:rowOff>189722</xdr:rowOff>
    </xdr:from>
    <xdr:to>
      <xdr:col>13</xdr:col>
      <xdr:colOff>479581</xdr:colOff>
      <xdr:row>3</xdr:row>
      <xdr:rowOff>168759</xdr:rowOff>
    </xdr:to>
    <xdr:sp macro="" textlink="">
      <xdr:nvSpPr>
        <xdr:cNvPr id="6" name="CO2 eq Framework">
          <a:extLst>
            <a:ext uri="{FF2B5EF4-FFF2-40B4-BE49-F238E27FC236}">
              <a16:creationId xmlns:a16="http://schemas.microsoft.com/office/drawing/2014/main" id="{E44C6724-07A2-EF45-B591-DBD3FA6D6B29}"/>
            </a:ext>
          </a:extLst>
        </xdr:cNvPr>
        <xdr:cNvSpPr txBox="1"/>
      </xdr:nvSpPr>
      <xdr:spPr>
        <a:xfrm>
          <a:off x="490909" y="189722"/>
          <a:ext cx="22188272" cy="741037"/>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4400">
              <a:solidFill>
                <a:schemeClr val="bg1"/>
              </a:solidFill>
              <a:latin typeface="Arial" panose="020B0604020202020204" pitchFamily="34" charset="0"/>
              <a:cs typeface="Arial" panose="020B0604020202020204" pitchFamily="34" charset="0"/>
            </a:rPr>
            <a:t>Ceria Particle Synthesis Inventory Data Entry</a:t>
          </a:r>
        </a:p>
      </xdr:txBody>
    </xdr:sp>
    <xdr:clientData/>
  </xdr:twoCellAnchor>
  <xdr:twoCellAnchor>
    <xdr:from>
      <xdr:col>0</xdr:col>
      <xdr:colOff>53287</xdr:colOff>
      <xdr:row>8</xdr:row>
      <xdr:rowOff>146094</xdr:rowOff>
    </xdr:from>
    <xdr:to>
      <xdr:col>3</xdr:col>
      <xdr:colOff>1110140</xdr:colOff>
      <xdr:row>11</xdr:row>
      <xdr:rowOff>228600</xdr:rowOff>
    </xdr:to>
    <xdr:sp macro="" textlink="">
      <xdr:nvSpPr>
        <xdr:cNvPr id="7" name="Rounded Rectangle 6">
          <a:extLst>
            <a:ext uri="{FF2B5EF4-FFF2-40B4-BE49-F238E27FC236}">
              <a16:creationId xmlns:a16="http://schemas.microsoft.com/office/drawing/2014/main" id="{FA27AE8C-A918-ED44-A7D2-CAB77410350A}"/>
            </a:ext>
          </a:extLst>
        </xdr:cNvPr>
        <xdr:cNvSpPr/>
      </xdr:nvSpPr>
      <xdr:spPr>
        <a:xfrm>
          <a:off x="53287" y="2254294"/>
          <a:ext cx="8892753" cy="844506"/>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Process Information</a:t>
          </a:r>
        </a:p>
      </xdr:txBody>
    </xdr:sp>
    <xdr:clientData/>
  </xdr:twoCellAnchor>
  <xdr:twoCellAnchor>
    <xdr:from>
      <xdr:col>0</xdr:col>
      <xdr:colOff>110321</xdr:colOff>
      <xdr:row>4</xdr:row>
      <xdr:rowOff>97691</xdr:rowOff>
    </xdr:from>
    <xdr:to>
      <xdr:col>0</xdr:col>
      <xdr:colOff>2944702</xdr:colOff>
      <xdr:row>6</xdr:row>
      <xdr:rowOff>108260</xdr:rowOff>
    </xdr:to>
    <xdr:sp macro="" textlink="">
      <xdr:nvSpPr>
        <xdr:cNvPr id="8" name="Rounded Rectangle 7" descr="Navigation button for Start worksheet">
          <a:hlinkClick xmlns:r="http://schemas.openxmlformats.org/officeDocument/2006/relationships" r:id="rId2"/>
          <a:extLst>
            <a:ext uri="{FF2B5EF4-FFF2-40B4-BE49-F238E27FC236}">
              <a16:creationId xmlns:a16="http://schemas.microsoft.com/office/drawing/2014/main" id="{7FC2E099-CFAD-BA43-BDD6-DC653B187CE3}"/>
            </a:ext>
          </a:extLst>
        </xdr:cNvPr>
        <xdr:cNvSpPr/>
      </xdr:nvSpPr>
      <xdr:spPr>
        <a:xfrm>
          <a:off x="110321" y="1189891"/>
          <a:ext cx="2834381" cy="518569"/>
        </a:xfrm>
        <a:prstGeom prst="roundRect">
          <a:avLst>
            <a:gd name="adj" fmla="val 5000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&lt; Start</a:t>
          </a:r>
        </a:p>
      </xdr:txBody>
    </xdr:sp>
    <xdr:clientData/>
  </xdr:twoCellAnchor>
  <xdr:twoCellAnchor>
    <xdr:from>
      <xdr:col>10</xdr:col>
      <xdr:colOff>586612</xdr:colOff>
      <xdr:row>4</xdr:row>
      <xdr:rowOff>130445</xdr:rowOff>
    </xdr:from>
    <xdr:to>
      <xdr:col>13</xdr:col>
      <xdr:colOff>763080</xdr:colOff>
      <xdr:row>6</xdr:row>
      <xdr:rowOff>141014</xdr:rowOff>
    </xdr:to>
    <xdr:sp macro="" textlink="">
      <xdr:nvSpPr>
        <xdr:cNvPr id="9" name="Rounded Rectangle 8" descr="Navigation button for Inventory pick list worksheet">
          <a:hlinkClick xmlns:r="http://schemas.openxmlformats.org/officeDocument/2006/relationships" r:id="rId3"/>
          <a:extLst>
            <a:ext uri="{FF2B5EF4-FFF2-40B4-BE49-F238E27FC236}">
              <a16:creationId xmlns:a16="http://schemas.microsoft.com/office/drawing/2014/main" id="{DA8580C2-DBC0-EB4B-9A8F-9390207E2C7B}"/>
            </a:ext>
          </a:extLst>
        </xdr:cNvPr>
        <xdr:cNvSpPr/>
      </xdr:nvSpPr>
      <xdr:spPr>
        <a:xfrm>
          <a:off x="20309712" y="1222645"/>
          <a:ext cx="2652968" cy="518569"/>
        </a:xfrm>
        <a:prstGeom prst="roundRect">
          <a:avLst>
            <a:gd name="adj" fmla="val 5000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Process Overview</a:t>
          </a:r>
        </a:p>
      </xdr:txBody>
    </xdr:sp>
    <xdr:clientData/>
  </xdr:twoCellAnchor>
  <xdr:twoCellAnchor>
    <xdr:from>
      <xdr:col>0</xdr:col>
      <xdr:colOff>53287</xdr:colOff>
      <xdr:row>15</xdr:row>
      <xdr:rowOff>262608</xdr:rowOff>
    </xdr:from>
    <xdr:to>
      <xdr:col>2</xdr:col>
      <xdr:colOff>1223395</xdr:colOff>
      <xdr:row>19</xdr:row>
      <xdr:rowOff>3612</xdr:rowOff>
    </xdr:to>
    <xdr:sp macro="" textlink="">
      <xdr:nvSpPr>
        <xdr:cNvPr id="10" name="Rounded Rectangle 9">
          <a:extLst>
            <a:ext uri="{FF2B5EF4-FFF2-40B4-BE49-F238E27FC236}">
              <a16:creationId xmlns:a16="http://schemas.microsoft.com/office/drawing/2014/main" id="{B3A4A2A7-C8ED-8942-9AD9-76222DE7E461}"/>
            </a:ext>
          </a:extLst>
        </xdr:cNvPr>
        <xdr:cNvSpPr/>
      </xdr:nvSpPr>
      <xdr:spPr>
        <a:xfrm>
          <a:off x="53287" y="4263108"/>
          <a:ext cx="6935908" cy="845904"/>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20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Input Materials</a:t>
          </a:r>
        </a:p>
      </xdr:txBody>
    </xdr:sp>
    <xdr:clientData/>
  </xdr:twoCellAnchor>
  <xdr:twoCellAnchor>
    <xdr:from>
      <xdr:col>0</xdr:col>
      <xdr:colOff>53287</xdr:colOff>
      <xdr:row>19</xdr:row>
      <xdr:rowOff>138636</xdr:rowOff>
    </xdr:from>
    <xdr:to>
      <xdr:col>1</xdr:col>
      <xdr:colOff>1584588</xdr:colOff>
      <xdr:row>22</xdr:row>
      <xdr:rowOff>203199</xdr:rowOff>
    </xdr:to>
    <xdr:sp macro="" textlink="">
      <xdr:nvSpPr>
        <xdr:cNvPr id="11" name="Rounded Rectangle 10">
          <a:hlinkClick xmlns:r="http://schemas.openxmlformats.org/officeDocument/2006/relationships" r:id="rId4"/>
          <a:extLst>
            <a:ext uri="{FF2B5EF4-FFF2-40B4-BE49-F238E27FC236}">
              <a16:creationId xmlns:a16="http://schemas.microsoft.com/office/drawing/2014/main" id="{419C72CD-0B5E-384C-89CD-D454C283D9E4}"/>
            </a:ext>
          </a:extLst>
        </xdr:cNvPr>
        <xdr:cNvSpPr/>
      </xdr:nvSpPr>
      <xdr:spPr>
        <a:xfrm>
          <a:off x="53287" y="5244036"/>
          <a:ext cx="5201601" cy="826563"/>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1.1 Precursor Materials(Click here add additional chemicals)</a:t>
          </a:r>
        </a:p>
      </xdr:txBody>
    </xdr:sp>
    <xdr:clientData/>
  </xdr:twoCellAnchor>
  <xdr:twoCellAnchor>
    <xdr:from>
      <xdr:col>2</xdr:col>
      <xdr:colOff>1582625</xdr:colOff>
      <xdr:row>22</xdr:row>
      <xdr:rowOff>254117</xdr:rowOff>
    </xdr:from>
    <xdr:to>
      <xdr:col>4</xdr:col>
      <xdr:colOff>114418</xdr:colOff>
      <xdr:row>26</xdr:row>
      <xdr:rowOff>141797</xdr:rowOff>
    </xdr:to>
    <xdr:sp macro="" textlink="">
      <xdr:nvSpPr>
        <xdr:cNvPr id="12" name="Rounded Rectangle 11">
          <a:extLst>
            <a:ext uri="{FF2B5EF4-FFF2-40B4-BE49-F238E27FC236}">
              <a16:creationId xmlns:a16="http://schemas.microsoft.com/office/drawing/2014/main" id="{DCC5FEBC-655F-0D49-841C-48322E77DBD9}"/>
            </a:ext>
          </a:extLst>
        </xdr:cNvPr>
        <xdr:cNvSpPr/>
      </xdr:nvSpPr>
      <xdr:spPr>
        <a:xfrm>
          <a:off x="7348425" y="6121517"/>
          <a:ext cx="2913293" cy="903680"/>
        </a:xfrm>
        <a:prstGeom prst="roundRect">
          <a:avLst>
            <a:gd name="adj" fmla="val 46754"/>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Enter Amount of Precursor Used in this process </a:t>
          </a:r>
          <a:r>
            <a:rPr lang="en-US" sz="1400" b="0" i="0" u="none" strike="noStrike">
              <a:effectLst/>
              <a:latin typeface="Arial" panose="020B0604020202020204" pitchFamily="34" charset="0"/>
              <a:ea typeface="+mn-ea"/>
              <a:cs typeface="Arial" panose="020B0604020202020204" pitchFamily="34" charset="0"/>
            </a:rPr>
            <a:t>↓</a:t>
          </a:r>
          <a:endPar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endParaRPr>
        </a:p>
      </xdr:txBody>
    </xdr:sp>
    <xdr:clientData/>
  </xdr:twoCellAnchor>
  <xdr:twoCellAnchor>
    <xdr:from>
      <xdr:col>7</xdr:col>
      <xdr:colOff>187538</xdr:colOff>
      <xdr:row>27</xdr:row>
      <xdr:rowOff>37947</xdr:rowOff>
    </xdr:from>
    <xdr:to>
      <xdr:col>10</xdr:col>
      <xdr:colOff>517339</xdr:colOff>
      <xdr:row>29</xdr:row>
      <xdr:rowOff>204822</xdr:rowOff>
    </xdr:to>
    <xdr:sp macro="" textlink="">
      <xdr:nvSpPr>
        <xdr:cNvPr id="13" name="Rounded Rectangle 12">
          <a:hlinkClick xmlns:r="http://schemas.openxmlformats.org/officeDocument/2006/relationships" r:id="rId4"/>
          <a:extLst>
            <a:ext uri="{FF2B5EF4-FFF2-40B4-BE49-F238E27FC236}">
              <a16:creationId xmlns:a16="http://schemas.microsoft.com/office/drawing/2014/main" id="{7E92221C-7D7B-2C43-81D8-C8D3C26328ED}"/>
            </a:ext>
          </a:extLst>
        </xdr:cNvPr>
        <xdr:cNvSpPr/>
      </xdr:nvSpPr>
      <xdr:spPr>
        <a:xfrm>
          <a:off x="17294438" y="7175347"/>
          <a:ext cx="2946001" cy="954275"/>
        </a:xfrm>
        <a:prstGeom prst="roundRect">
          <a:avLst>
            <a:gd name="adj" fmla="val 24141"/>
          </a:avLst>
        </a:prstGeom>
        <a:solidFill>
          <a:schemeClr val="accent5">
            <a:lumMod val="40000"/>
            <a:lumOff val="60000"/>
          </a:scheme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Theoretical Amount of Product obtained is calcuated based on Molar mass and ratios</a:t>
          </a:r>
        </a:p>
      </xdr:txBody>
    </xdr:sp>
    <xdr:clientData/>
  </xdr:twoCellAnchor>
  <xdr:twoCellAnchor>
    <xdr:from>
      <xdr:col>0</xdr:col>
      <xdr:colOff>53287</xdr:colOff>
      <xdr:row>31</xdr:row>
      <xdr:rowOff>240237</xdr:rowOff>
    </xdr:from>
    <xdr:to>
      <xdr:col>0</xdr:col>
      <xdr:colOff>2870200</xdr:colOff>
      <xdr:row>34</xdr:row>
      <xdr:rowOff>12817</xdr:rowOff>
    </xdr:to>
    <xdr:sp macro="" textlink="">
      <xdr:nvSpPr>
        <xdr:cNvPr id="14" name="Rounded Rectangle 13">
          <a:extLst>
            <a:ext uri="{FF2B5EF4-FFF2-40B4-BE49-F238E27FC236}">
              <a16:creationId xmlns:a16="http://schemas.microsoft.com/office/drawing/2014/main" id="{4319B37A-D72E-284A-B971-B4D872223F7B}"/>
            </a:ext>
          </a:extLst>
        </xdr:cNvPr>
        <xdr:cNvSpPr/>
      </xdr:nvSpPr>
      <xdr:spPr>
        <a:xfrm>
          <a:off x="53287" y="8673037"/>
          <a:ext cx="2816913" cy="534580"/>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1.2 Solvents</a:t>
          </a:r>
        </a:p>
      </xdr:txBody>
    </xdr:sp>
    <xdr:clientData/>
  </xdr:twoCellAnchor>
  <xdr:twoCellAnchor>
    <xdr:from>
      <xdr:col>2</xdr:col>
      <xdr:colOff>387723</xdr:colOff>
      <xdr:row>12</xdr:row>
      <xdr:rowOff>228600</xdr:rowOff>
    </xdr:from>
    <xdr:to>
      <xdr:col>2</xdr:col>
      <xdr:colOff>976939</xdr:colOff>
      <xdr:row>14</xdr:row>
      <xdr:rowOff>46736</xdr:rowOff>
    </xdr:to>
    <xdr:sp macro="" textlink="">
      <xdr:nvSpPr>
        <xdr:cNvPr id="15" name="Text Placeholder 1248">
          <a:extLst>
            <a:ext uri="{FF2B5EF4-FFF2-40B4-BE49-F238E27FC236}">
              <a16:creationId xmlns:a16="http://schemas.microsoft.com/office/drawing/2014/main" id="{E01D4CB9-8FB9-7F4A-833A-89D3D8F563AC}"/>
            </a:ext>
          </a:extLst>
        </xdr:cNvPr>
        <xdr:cNvSpPr>
          <a:spLocks noGrp="1"/>
        </xdr:cNvSpPr>
      </xdr:nvSpPr>
      <xdr:spPr>
        <a:xfrm>
          <a:off x="6153523" y="3352800"/>
          <a:ext cx="589216" cy="453136"/>
        </a:xfrm>
        <a:prstGeom prst="ellipse">
          <a:avLst/>
        </a:prstGeom>
        <a:solidFill>
          <a:srgbClr val="FFC000">
            <a:lumMod val="60000"/>
            <a:lumOff val="40000"/>
          </a:srgbClr>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r>
            <a:rPr lang="en-US">
              <a:latin typeface="Arial" panose="020B0604020202020204" pitchFamily="34" charset="0"/>
              <a:cs typeface="Arial" panose="020B0604020202020204" pitchFamily="34" charset="0"/>
            </a:rPr>
            <a:t>1</a:t>
          </a:r>
        </a:p>
      </xdr:txBody>
    </xdr:sp>
    <xdr:clientData/>
  </xdr:twoCellAnchor>
  <xdr:twoCellAnchor>
    <xdr:from>
      <xdr:col>4</xdr:col>
      <xdr:colOff>1995714</xdr:colOff>
      <xdr:row>7</xdr:row>
      <xdr:rowOff>165100</xdr:rowOff>
    </xdr:from>
    <xdr:to>
      <xdr:col>5</xdr:col>
      <xdr:colOff>262636</xdr:colOff>
      <xdr:row>9</xdr:row>
      <xdr:rowOff>237236</xdr:rowOff>
    </xdr:to>
    <xdr:sp macro="" textlink="">
      <xdr:nvSpPr>
        <xdr:cNvPr id="16" name="Text Placeholder 1248">
          <a:extLst>
            <a:ext uri="{FF2B5EF4-FFF2-40B4-BE49-F238E27FC236}">
              <a16:creationId xmlns:a16="http://schemas.microsoft.com/office/drawing/2014/main" id="{E1F46714-87D0-AF4A-AECB-804F498981EC}"/>
            </a:ext>
          </a:extLst>
        </xdr:cNvPr>
        <xdr:cNvSpPr>
          <a:spLocks noGrp="1"/>
        </xdr:cNvSpPr>
      </xdr:nvSpPr>
      <xdr:spPr>
        <a:xfrm>
          <a:off x="12143014" y="2019300"/>
          <a:ext cx="578322" cy="580136"/>
        </a:xfrm>
        <a:prstGeom prst="ellipse">
          <a:avLst/>
        </a:prstGeom>
        <a:solidFill>
          <a:srgbClr val="FFC000">
            <a:lumMod val="60000"/>
            <a:lumOff val="40000"/>
          </a:srgbClr>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r>
            <a:rPr lang="en-US"/>
            <a:t>#</a:t>
          </a:r>
        </a:p>
      </xdr:txBody>
    </xdr:sp>
    <xdr:clientData/>
  </xdr:twoCellAnchor>
  <xdr:twoCellAnchor>
    <xdr:from>
      <xdr:col>4</xdr:col>
      <xdr:colOff>1995714</xdr:colOff>
      <xdr:row>10</xdr:row>
      <xdr:rowOff>139700</xdr:rowOff>
    </xdr:from>
    <xdr:to>
      <xdr:col>5</xdr:col>
      <xdr:colOff>262636</xdr:colOff>
      <xdr:row>12</xdr:row>
      <xdr:rowOff>211836</xdr:rowOff>
    </xdr:to>
    <xdr:sp macro="" textlink="">
      <xdr:nvSpPr>
        <xdr:cNvPr id="17" name="Text Placeholder 1248">
          <a:extLst>
            <a:ext uri="{FF2B5EF4-FFF2-40B4-BE49-F238E27FC236}">
              <a16:creationId xmlns:a16="http://schemas.microsoft.com/office/drawing/2014/main" id="{A6942A54-B596-4B49-9BA8-C5310C2C9020}"/>
            </a:ext>
          </a:extLst>
        </xdr:cNvPr>
        <xdr:cNvSpPr>
          <a:spLocks noGrp="1"/>
        </xdr:cNvSpPr>
      </xdr:nvSpPr>
      <xdr:spPr>
        <a:xfrm>
          <a:off x="12143014" y="2755900"/>
          <a:ext cx="578322" cy="580136"/>
        </a:xfrm>
        <a:prstGeom prst="ellipse">
          <a:avLst/>
        </a:prstGeom>
        <a:solidFill>
          <a:srgbClr val="60CCF3"/>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r>
            <a:rPr lang="en-US"/>
            <a:t>#</a:t>
          </a:r>
        </a:p>
      </xdr:txBody>
    </xdr:sp>
    <xdr:clientData/>
  </xdr:twoCellAnchor>
  <xdr:twoCellAnchor>
    <xdr:from>
      <xdr:col>5</xdr:col>
      <xdr:colOff>408887</xdr:colOff>
      <xdr:row>7</xdr:row>
      <xdr:rowOff>165100</xdr:rowOff>
    </xdr:from>
    <xdr:to>
      <xdr:col>6</xdr:col>
      <xdr:colOff>914400</xdr:colOff>
      <xdr:row>9</xdr:row>
      <xdr:rowOff>217080</xdr:rowOff>
    </xdr:to>
    <xdr:sp macro="" textlink="">
      <xdr:nvSpPr>
        <xdr:cNvPr id="18" name="Rounded Rectangle 17">
          <a:extLst>
            <a:ext uri="{FF2B5EF4-FFF2-40B4-BE49-F238E27FC236}">
              <a16:creationId xmlns:a16="http://schemas.microsoft.com/office/drawing/2014/main" id="{6DCE6604-0C4E-4749-98B0-077D50C8E80C}"/>
            </a:ext>
          </a:extLst>
        </xdr:cNvPr>
        <xdr:cNvSpPr/>
      </xdr:nvSpPr>
      <xdr:spPr>
        <a:xfrm>
          <a:off x="12867587" y="2019300"/>
          <a:ext cx="2816913" cy="559980"/>
        </a:xfrm>
        <a:prstGeom prst="roundRect">
          <a:avLst>
            <a:gd name="adj" fmla="val 43110"/>
          </a:avLst>
        </a:prstGeom>
        <a:solidFill>
          <a:srgbClr val="FFC000">
            <a:lumMod val="60000"/>
            <a:lumOff val="40000"/>
          </a:srgbClr>
        </a:solidFill>
        <a:ln w="44450">
          <a:solidFill>
            <a:sysClr val="windowText" lastClr="000000"/>
          </a:solidFill>
        </a:ln>
      </xdr:spPr>
      <xdr:txBody>
        <a:bodyPr vert="horz" wrap="square" lIns="0" tIns="0" rIns="0" bIns="0" rtlCol="0" anchor="ctr">
          <a:noAutofit/>
        </a:bodyPr>
        <a:lstStyle/>
        <a:p>
          <a:pPr marL="0" marR="0" lvl="0" indent="0" algn="ctr" defTabSz="914400" rtl="0" eaLnBrk="1" fontAlgn="auto" latinLnBrk="0" hangingPunct="1">
            <a:lnSpc>
              <a:spcPct val="100000"/>
            </a:lnSpc>
            <a:spcBef>
              <a:spcPts val="0"/>
            </a:spcBef>
            <a:spcAft>
              <a:spcPts val="0"/>
            </a:spcAft>
            <a:buClrTx/>
            <a:buSzTx/>
            <a:buFont typeface="Arial" panose="020B0604020202020204" pitchFamily="34" charset="0"/>
            <a:buNone/>
            <a:tabLst/>
            <a:defRPr/>
          </a:pPr>
          <a:r>
            <a:rPr lang="en-US" sz="2800" b="1" kern="1200">
              <a:ln w="0">
                <a:noFill/>
              </a:ln>
              <a:solidFill>
                <a:sysClr val="windowText" lastClr="000000"/>
              </a:solidFill>
              <a:latin typeface="Tw Cen MT"/>
              <a:ea typeface="+mn-ea"/>
              <a:cs typeface="+mn-cs"/>
            </a:rPr>
            <a:t>Required</a:t>
          </a:r>
        </a:p>
      </xdr:txBody>
    </xdr:sp>
    <xdr:clientData/>
  </xdr:twoCellAnchor>
  <xdr:twoCellAnchor>
    <xdr:from>
      <xdr:col>5</xdr:col>
      <xdr:colOff>408887</xdr:colOff>
      <xdr:row>10</xdr:row>
      <xdr:rowOff>190500</xdr:rowOff>
    </xdr:from>
    <xdr:to>
      <xdr:col>6</xdr:col>
      <xdr:colOff>914400</xdr:colOff>
      <xdr:row>12</xdr:row>
      <xdr:rowOff>242480</xdr:rowOff>
    </xdr:to>
    <xdr:sp macro="" textlink="">
      <xdr:nvSpPr>
        <xdr:cNvPr id="19" name="Rounded Rectangle 18">
          <a:extLst>
            <a:ext uri="{FF2B5EF4-FFF2-40B4-BE49-F238E27FC236}">
              <a16:creationId xmlns:a16="http://schemas.microsoft.com/office/drawing/2014/main" id="{9F615AF6-6CDE-9C4F-9784-31F951BD6F07}"/>
            </a:ext>
          </a:extLst>
        </xdr:cNvPr>
        <xdr:cNvSpPr/>
      </xdr:nvSpPr>
      <xdr:spPr>
        <a:xfrm>
          <a:off x="12867587" y="2806700"/>
          <a:ext cx="2816913" cy="559980"/>
        </a:xfrm>
        <a:prstGeom prst="roundRect">
          <a:avLst>
            <a:gd name="adj" fmla="val 43110"/>
          </a:avLst>
        </a:prstGeom>
        <a:solidFill>
          <a:srgbClr val="60CCF3"/>
        </a:solidFill>
        <a:ln w="44450">
          <a:solidFill>
            <a:sysClr val="windowText" lastClr="000000"/>
          </a:solidFill>
        </a:ln>
      </xdr:spPr>
      <xdr:txBody>
        <a:bodyPr vert="horz" wrap="square" lIns="0" tIns="0" rIns="0" bIns="0" rtlCol="0" anchor="ctr">
          <a:noAutofit/>
        </a:bodyPr>
        <a:lstStyle/>
        <a:p>
          <a:pPr marL="0" marR="0" lvl="0" indent="0" algn="ctr" defTabSz="914400" rtl="0" eaLnBrk="1" fontAlgn="auto" latinLnBrk="0" hangingPunct="1">
            <a:lnSpc>
              <a:spcPct val="100000"/>
            </a:lnSpc>
            <a:spcBef>
              <a:spcPts val="0"/>
            </a:spcBef>
            <a:spcAft>
              <a:spcPts val="0"/>
            </a:spcAft>
            <a:buClrTx/>
            <a:buSzTx/>
            <a:buFont typeface="Arial" panose="020B0604020202020204" pitchFamily="34" charset="0"/>
            <a:buNone/>
            <a:tabLst/>
            <a:defRPr/>
          </a:pPr>
          <a:r>
            <a:rPr lang="en-US" sz="2800" b="1" kern="1200">
              <a:ln w="0">
                <a:noFill/>
              </a:ln>
              <a:solidFill>
                <a:sysClr val="windowText" lastClr="000000"/>
              </a:solidFill>
              <a:latin typeface="Tw Cen MT"/>
              <a:ea typeface="+mn-ea"/>
              <a:cs typeface="+mn-cs"/>
            </a:rPr>
            <a:t>Optional</a:t>
          </a:r>
        </a:p>
      </xdr:txBody>
    </xdr:sp>
    <xdr:clientData/>
  </xdr:twoCellAnchor>
  <xdr:twoCellAnchor>
    <xdr:from>
      <xdr:col>0</xdr:col>
      <xdr:colOff>3500325</xdr:colOff>
      <xdr:row>22</xdr:row>
      <xdr:rowOff>254117</xdr:rowOff>
    </xdr:from>
    <xdr:to>
      <xdr:col>2</xdr:col>
      <xdr:colOff>190618</xdr:colOff>
      <xdr:row>26</xdr:row>
      <xdr:rowOff>141797</xdr:rowOff>
    </xdr:to>
    <xdr:sp macro="" textlink="">
      <xdr:nvSpPr>
        <xdr:cNvPr id="20" name="Rounded Rectangle 19">
          <a:extLst>
            <a:ext uri="{FF2B5EF4-FFF2-40B4-BE49-F238E27FC236}">
              <a16:creationId xmlns:a16="http://schemas.microsoft.com/office/drawing/2014/main" id="{66878EB2-6F45-BA4F-994D-6276828B1162}"/>
            </a:ext>
          </a:extLst>
        </xdr:cNvPr>
        <xdr:cNvSpPr/>
      </xdr:nvSpPr>
      <xdr:spPr>
        <a:xfrm>
          <a:off x="3500325" y="6121517"/>
          <a:ext cx="2456093" cy="903680"/>
        </a:xfrm>
        <a:prstGeom prst="roundRect">
          <a:avLst>
            <a:gd name="adj" fmla="val 46754"/>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Choose from known precursors from drop down menu</a:t>
          </a:r>
        </a:p>
      </xdr:txBody>
    </xdr:sp>
    <xdr:clientData/>
  </xdr:twoCellAnchor>
  <xdr:twoCellAnchor>
    <xdr:from>
      <xdr:col>0</xdr:col>
      <xdr:colOff>3233697</xdr:colOff>
      <xdr:row>23</xdr:row>
      <xdr:rowOff>190500</xdr:rowOff>
    </xdr:from>
    <xdr:to>
      <xdr:col>1</xdr:col>
      <xdr:colOff>135636</xdr:colOff>
      <xdr:row>25</xdr:row>
      <xdr:rowOff>249936</xdr:rowOff>
    </xdr:to>
    <xdr:sp macro="" textlink="">
      <xdr:nvSpPr>
        <xdr:cNvPr id="21" name="Text Placeholder 1248">
          <a:extLst>
            <a:ext uri="{FF2B5EF4-FFF2-40B4-BE49-F238E27FC236}">
              <a16:creationId xmlns:a16="http://schemas.microsoft.com/office/drawing/2014/main" id="{572136A0-CD95-D043-A867-F20B9E58E058}"/>
            </a:ext>
          </a:extLst>
        </xdr:cNvPr>
        <xdr:cNvSpPr>
          <a:spLocks noGrp="1"/>
        </xdr:cNvSpPr>
      </xdr:nvSpPr>
      <xdr:spPr>
        <a:xfrm>
          <a:off x="3233697" y="6311900"/>
          <a:ext cx="572239" cy="567436"/>
        </a:xfrm>
        <a:prstGeom prst="ellipse">
          <a:avLst/>
        </a:prstGeom>
        <a:solidFill>
          <a:srgbClr val="60CCF3"/>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r>
            <a:rPr lang="en-US">
              <a:latin typeface="Arial" panose="020B0604020202020204" pitchFamily="34" charset="0"/>
              <a:cs typeface="Arial" panose="020B0604020202020204" pitchFamily="34" charset="0"/>
            </a:rPr>
            <a:t>2</a:t>
          </a:r>
        </a:p>
      </xdr:txBody>
    </xdr:sp>
    <xdr:clientData/>
  </xdr:twoCellAnchor>
  <xdr:twoCellAnchor>
    <xdr:from>
      <xdr:col>2</xdr:col>
      <xdr:colOff>1248656</xdr:colOff>
      <xdr:row>23</xdr:row>
      <xdr:rowOff>190500</xdr:rowOff>
    </xdr:from>
    <xdr:to>
      <xdr:col>2</xdr:col>
      <xdr:colOff>1816100</xdr:colOff>
      <xdr:row>25</xdr:row>
      <xdr:rowOff>249936</xdr:rowOff>
    </xdr:to>
    <xdr:sp macro="" textlink="">
      <xdr:nvSpPr>
        <xdr:cNvPr id="22" name="Text Placeholder 1248">
          <a:extLst>
            <a:ext uri="{FF2B5EF4-FFF2-40B4-BE49-F238E27FC236}">
              <a16:creationId xmlns:a16="http://schemas.microsoft.com/office/drawing/2014/main" id="{6B8B0CC3-113C-F346-B941-B47888DF8650}"/>
            </a:ext>
          </a:extLst>
        </xdr:cNvPr>
        <xdr:cNvSpPr>
          <a:spLocks noGrp="1"/>
        </xdr:cNvSpPr>
      </xdr:nvSpPr>
      <xdr:spPr>
        <a:xfrm>
          <a:off x="7014456" y="6311900"/>
          <a:ext cx="567444" cy="567436"/>
        </a:xfrm>
        <a:prstGeom prst="ellipse">
          <a:avLst/>
        </a:prstGeom>
        <a:solidFill>
          <a:srgbClr val="60CCF3"/>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r>
            <a:rPr lang="en-US">
              <a:latin typeface="Arial" panose="020B0604020202020204" pitchFamily="34" charset="0"/>
              <a:cs typeface="Arial" panose="020B0604020202020204" pitchFamily="34" charset="0"/>
            </a:rPr>
            <a:t>3</a:t>
          </a:r>
        </a:p>
      </xdr:txBody>
    </xdr:sp>
    <xdr:clientData/>
  </xdr:twoCellAnchor>
  <xdr:twoCellAnchor>
    <xdr:from>
      <xdr:col>1</xdr:col>
      <xdr:colOff>2804</xdr:colOff>
      <xdr:row>33</xdr:row>
      <xdr:rowOff>232402</xdr:rowOff>
    </xdr:from>
    <xdr:to>
      <xdr:col>1</xdr:col>
      <xdr:colOff>1727791</xdr:colOff>
      <xdr:row>35</xdr:row>
      <xdr:rowOff>207800</xdr:rowOff>
    </xdr:to>
    <xdr:sp macro="" textlink="">
      <xdr:nvSpPr>
        <xdr:cNvPr id="23" name="Rounded Rectangle 22">
          <a:extLst>
            <a:ext uri="{FF2B5EF4-FFF2-40B4-BE49-F238E27FC236}">
              <a16:creationId xmlns:a16="http://schemas.microsoft.com/office/drawing/2014/main" id="{C678A9AB-0605-6641-A04D-AA30A0E20A1B}"/>
            </a:ext>
          </a:extLst>
        </xdr:cNvPr>
        <xdr:cNvSpPr/>
      </xdr:nvSpPr>
      <xdr:spPr>
        <a:xfrm>
          <a:off x="3673104" y="9173202"/>
          <a:ext cx="1724987" cy="483398"/>
        </a:xfrm>
        <a:prstGeom prst="roundRect">
          <a:avLst>
            <a:gd name="adj" fmla="val 46754"/>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Choose Solvent</a:t>
          </a:r>
        </a:p>
      </xdr:txBody>
    </xdr:sp>
    <xdr:clientData/>
  </xdr:twoCellAnchor>
  <xdr:twoCellAnchor>
    <xdr:from>
      <xdr:col>0</xdr:col>
      <xdr:colOff>3293533</xdr:colOff>
      <xdr:row>33</xdr:row>
      <xdr:rowOff>190383</xdr:rowOff>
    </xdr:from>
    <xdr:to>
      <xdr:col>1</xdr:col>
      <xdr:colOff>211836</xdr:colOff>
      <xdr:row>35</xdr:row>
      <xdr:rowOff>249819</xdr:rowOff>
    </xdr:to>
    <xdr:sp macro="" textlink="">
      <xdr:nvSpPr>
        <xdr:cNvPr id="24" name="Text Placeholder 1248">
          <a:extLst>
            <a:ext uri="{FF2B5EF4-FFF2-40B4-BE49-F238E27FC236}">
              <a16:creationId xmlns:a16="http://schemas.microsoft.com/office/drawing/2014/main" id="{F14B7E9F-6E19-6541-B47B-58547BF77252}"/>
            </a:ext>
          </a:extLst>
        </xdr:cNvPr>
        <xdr:cNvSpPr>
          <a:spLocks noGrp="1"/>
        </xdr:cNvSpPr>
      </xdr:nvSpPr>
      <xdr:spPr>
        <a:xfrm>
          <a:off x="3293533" y="9131183"/>
          <a:ext cx="588603" cy="567436"/>
        </a:xfrm>
        <a:prstGeom prst="ellipse">
          <a:avLst/>
        </a:prstGeom>
        <a:solidFill>
          <a:srgbClr val="60CCF3"/>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r>
            <a:rPr lang="en-US">
              <a:latin typeface="Arial" panose="020B0604020202020204" pitchFamily="34" charset="0"/>
              <a:cs typeface="Arial" panose="020B0604020202020204" pitchFamily="34" charset="0"/>
            </a:rPr>
            <a:t>4</a:t>
          </a:r>
        </a:p>
      </xdr:txBody>
    </xdr:sp>
    <xdr:clientData/>
  </xdr:twoCellAnchor>
  <xdr:twoCellAnchor>
    <xdr:from>
      <xdr:col>2</xdr:col>
      <xdr:colOff>334184</xdr:colOff>
      <xdr:row>33</xdr:row>
      <xdr:rowOff>216011</xdr:rowOff>
    </xdr:from>
    <xdr:to>
      <xdr:col>3</xdr:col>
      <xdr:colOff>317500</xdr:colOff>
      <xdr:row>35</xdr:row>
      <xdr:rowOff>192591</xdr:rowOff>
    </xdr:to>
    <xdr:sp macro="" textlink="">
      <xdr:nvSpPr>
        <xdr:cNvPr id="25" name="Rounded Rectangle 24">
          <a:extLst>
            <a:ext uri="{FF2B5EF4-FFF2-40B4-BE49-F238E27FC236}">
              <a16:creationId xmlns:a16="http://schemas.microsoft.com/office/drawing/2014/main" id="{3588BA2A-FB99-DD40-84D1-519B6546836C}"/>
            </a:ext>
          </a:extLst>
        </xdr:cNvPr>
        <xdr:cNvSpPr/>
      </xdr:nvSpPr>
      <xdr:spPr>
        <a:xfrm>
          <a:off x="6099984" y="9156811"/>
          <a:ext cx="2053416" cy="484580"/>
        </a:xfrm>
        <a:prstGeom prst="roundRect">
          <a:avLst>
            <a:gd name="adj" fmla="val 46754"/>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Enter Solvent</a:t>
          </a:r>
        </a:p>
      </xdr:txBody>
    </xdr:sp>
    <xdr:clientData/>
  </xdr:twoCellAnchor>
  <xdr:twoCellAnchor>
    <xdr:from>
      <xdr:col>1</xdr:col>
      <xdr:colOff>1998920</xdr:colOff>
      <xdr:row>33</xdr:row>
      <xdr:rowOff>168233</xdr:rowOff>
    </xdr:from>
    <xdr:to>
      <xdr:col>2</xdr:col>
      <xdr:colOff>529630</xdr:colOff>
      <xdr:row>35</xdr:row>
      <xdr:rowOff>240369</xdr:rowOff>
    </xdr:to>
    <xdr:sp macro="" textlink="">
      <xdr:nvSpPr>
        <xdr:cNvPr id="26" name="Text Placeholder 1248">
          <a:extLst>
            <a:ext uri="{FF2B5EF4-FFF2-40B4-BE49-F238E27FC236}">
              <a16:creationId xmlns:a16="http://schemas.microsoft.com/office/drawing/2014/main" id="{2A432932-EA2C-8449-BE3A-9C7EE44029ED}"/>
            </a:ext>
          </a:extLst>
        </xdr:cNvPr>
        <xdr:cNvSpPr>
          <a:spLocks noGrp="1"/>
        </xdr:cNvSpPr>
      </xdr:nvSpPr>
      <xdr:spPr>
        <a:xfrm>
          <a:off x="5669220" y="9109033"/>
          <a:ext cx="626210" cy="580136"/>
        </a:xfrm>
        <a:prstGeom prst="ellipse">
          <a:avLst/>
        </a:prstGeom>
        <a:solidFill>
          <a:srgbClr val="60CCF3"/>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r>
            <a:rPr lang="en-US">
              <a:latin typeface="Arial" panose="020B0604020202020204" pitchFamily="34" charset="0"/>
              <a:cs typeface="Arial" panose="020B0604020202020204" pitchFamily="34" charset="0"/>
            </a:rPr>
            <a:t>5</a:t>
          </a:r>
        </a:p>
      </xdr:txBody>
    </xdr:sp>
    <xdr:clientData/>
  </xdr:twoCellAnchor>
  <xdr:twoCellAnchor>
    <xdr:from>
      <xdr:col>0</xdr:col>
      <xdr:colOff>53287</xdr:colOff>
      <xdr:row>41</xdr:row>
      <xdr:rowOff>11637</xdr:rowOff>
    </xdr:from>
    <xdr:to>
      <xdr:col>0</xdr:col>
      <xdr:colOff>2870200</xdr:colOff>
      <xdr:row>43</xdr:row>
      <xdr:rowOff>63617</xdr:rowOff>
    </xdr:to>
    <xdr:sp macro="" textlink="">
      <xdr:nvSpPr>
        <xdr:cNvPr id="27" name="Rounded Rectangle 26">
          <a:extLst>
            <a:ext uri="{FF2B5EF4-FFF2-40B4-BE49-F238E27FC236}">
              <a16:creationId xmlns:a16="http://schemas.microsoft.com/office/drawing/2014/main" id="{9F5AA852-1001-0042-B02C-6E76CBD71194}"/>
            </a:ext>
          </a:extLst>
        </xdr:cNvPr>
        <xdr:cNvSpPr/>
      </xdr:nvSpPr>
      <xdr:spPr>
        <a:xfrm>
          <a:off x="53287" y="11022537"/>
          <a:ext cx="2816913" cy="559980"/>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1.3 Water</a:t>
          </a:r>
        </a:p>
      </xdr:txBody>
    </xdr:sp>
    <xdr:clientData/>
  </xdr:twoCellAnchor>
  <xdr:twoCellAnchor>
    <xdr:from>
      <xdr:col>1</xdr:col>
      <xdr:colOff>84026</xdr:colOff>
      <xdr:row>43</xdr:row>
      <xdr:rowOff>85761</xdr:rowOff>
    </xdr:from>
    <xdr:to>
      <xdr:col>1</xdr:col>
      <xdr:colOff>1557966</xdr:colOff>
      <xdr:row>45</xdr:row>
      <xdr:rowOff>62341</xdr:rowOff>
    </xdr:to>
    <xdr:sp macro="" textlink="">
      <xdr:nvSpPr>
        <xdr:cNvPr id="28" name="Rounded Rectangle 27">
          <a:extLst>
            <a:ext uri="{FF2B5EF4-FFF2-40B4-BE49-F238E27FC236}">
              <a16:creationId xmlns:a16="http://schemas.microsoft.com/office/drawing/2014/main" id="{89485D24-7BA0-BD40-8630-52FBE00EA671}"/>
            </a:ext>
          </a:extLst>
        </xdr:cNvPr>
        <xdr:cNvSpPr/>
      </xdr:nvSpPr>
      <xdr:spPr>
        <a:xfrm>
          <a:off x="3754326" y="11604661"/>
          <a:ext cx="1473940" cy="662380"/>
        </a:xfrm>
        <a:prstGeom prst="roundRect">
          <a:avLst>
            <a:gd name="adj" fmla="val 46754"/>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Choose Type</a:t>
          </a:r>
        </a:p>
      </xdr:txBody>
    </xdr:sp>
    <xdr:clientData/>
  </xdr:twoCellAnchor>
  <xdr:twoCellAnchor>
    <xdr:from>
      <xdr:col>0</xdr:col>
      <xdr:colOff>3274533</xdr:colOff>
      <xdr:row>43</xdr:row>
      <xdr:rowOff>94651</xdr:rowOff>
    </xdr:from>
    <xdr:to>
      <xdr:col>1</xdr:col>
      <xdr:colOff>200000</xdr:colOff>
      <xdr:row>45</xdr:row>
      <xdr:rowOff>6668</xdr:rowOff>
    </xdr:to>
    <xdr:sp macro="" textlink="">
      <xdr:nvSpPr>
        <xdr:cNvPr id="29" name="Text Placeholder 1248">
          <a:extLst>
            <a:ext uri="{FF2B5EF4-FFF2-40B4-BE49-F238E27FC236}">
              <a16:creationId xmlns:a16="http://schemas.microsoft.com/office/drawing/2014/main" id="{DB6E4F51-31F4-3B4C-A269-C10D103BC04C}"/>
            </a:ext>
          </a:extLst>
        </xdr:cNvPr>
        <xdr:cNvSpPr>
          <a:spLocks noGrp="1"/>
        </xdr:cNvSpPr>
      </xdr:nvSpPr>
      <xdr:spPr>
        <a:xfrm>
          <a:off x="3274533" y="11613551"/>
          <a:ext cx="595767" cy="597817"/>
        </a:xfrm>
        <a:prstGeom prst="ellipse">
          <a:avLst/>
        </a:prstGeom>
        <a:solidFill>
          <a:srgbClr val="60CCF3"/>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r>
            <a:rPr lang="en-US">
              <a:latin typeface="Arial" panose="020B0604020202020204" pitchFamily="34" charset="0"/>
              <a:cs typeface="Arial" panose="020B0604020202020204" pitchFamily="34" charset="0"/>
            </a:rPr>
            <a:t>6</a:t>
          </a:r>
        </a:p>
      </xdr:txBody>
    </xdr:sp>
    <xdr:clientData/>
  </xdr:twoCellAnchor>
  <xdr:twoCellAnchor>
    <xdr:from>
      <xdr:col>2</xdr:col>
      <xdr:colOff>228895</xdr:colOff>
      <xdr:row>43</xdr:row>
      <xdr:rowOff>93145</xdr:rowOff>
    </xdr:from>
    <xdr:to>
      <xdr:col>3</xdr:col>
      <xdr:colOff>114300</xdr:colOff>
      <xdr:row>45</xdr:row>
      <xdr:rowOff>69725</xdr:rowOff>
    </xdr:to>
    <xdr:sp macro="" textlink="">
      <xdr:nvSpPr>
        <xdr:cNvPr id="30" name="Rounded Rectangle 29">
          <a:extLst>
            <a:ext uri="{FF2B5EF4-FFF2-40B4-BE49-F238E27FC236}">
              <a16:creationId xmlns:a16="http://schemas.microsoft.com/office/drawing/2014/main" id="{3C1F521B-B1D2-3342-A438-8DF3D5079AFA}"/>
            </a:ext>
          </a:extLst>
        </xdr:cNvPr>
        <xdr:cNvSpPr/>
      </xdr:nvSpPr>
      <xdr:spPr>
        <a:xfrm>
          <a:off x="5994695" y="11612045"/>
          <a:ext cx="1955505" cy="662380"/>
        </a:xfrm>
        <a:prstGeom prst="roundRect">
          <a:avLst>
            <a:gd name="adj" fmla="val 46754"/>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Enter Quantity</a:t>
          </a:r>
        </a:p>
      </xdr:txBody>
    </xdr:sp>
    <xdr:clientData/>
  </xdr:twoCellAnchor>
  <xdr:twoCellAnchor>
    <xdr:from>
      <xdr:col>1</xdr:col>
      <xdr:colOff>1799560</xdr:colOff>
      <xdr:row>43</xdr:row>
      <xdr:rowOff>45367</xdr:rowOff>
    </xdr:from>
    <xdr:to>
      <xdr:col>2</xdr:col>
      <xdr:colOff>350000</xdr:colOff>
      <xdr:row>45</xdr:row>
      <xdr:rowOff>13333</xdr:rowOff>
    </xdr:to>
    <xdr:sp macro="" textlink="">
      <xdr:nvSpPr>
        <xdr:cNvPr id="31" name="Text Placeholder 1248">
          <a:extLst>
            <a:ext uri="{FF2B5EF4-FFF2-40B4-BE49-F238E27FC236}">
              <a16:creationId xmlns:a16="http://schemas.microsoft.com/office/drawing/2014/main" id="{73BC33B4-E5EE-D74F-A0AA-9D9208C7BCC1}"/>
            </a:ext>
          </a:extLst>
        </xdr:cNvPr>
        <xdr:cNvSpPr>
          <a:spLocks noGrp="1"/>
        </xdr:cNvSpPr>
      </xdr:nvSpPr>
      <xdr:spPr>
        <a:xfrm>
          <a:off x="5469860" y="11564267"/>
          <a:ext cx="645940" cy="653766"/>
        </a:xfrm>
        <a:prstGeom prst="ellipse">
          <a:avLst/>
        </a:prstGeom>
        <a:solidFill>
          <a:srgbClr val="60CCF3"/>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r>
            <a:rPr lang="en-US">
              <a:latin typeface="Arial" panose="020B0604020202020204" pitchFamily="34" charset="0"/>
              <a:cs typeface="Arial" panose="020B0604020202020204" pitchFamily="34" charset="0"/>
            </a:rPr>
            <a:t>7</a:t>
          </a:r>
        </a:p>
      </xdr:txBody>
    </xdr:sp>
    <xdr:clientData/>
  </xdr:twoCellAnchor>
  <xdr:twoCellAnchor>
    <xdr:from>
      <xdr:col>0</xdr:col>
      <xdr:colOff>53287</xdr:colOff>
      <xdr:row>51</xdr:row>
      <xdr:rowOff>209595</xdr:rowOff>
    </xdr:from>
    <xdr:to>
      <xdr:col>3</xdr:col>
      <xdr:colOff>1110140</xdr:colOff>
      <xdr:row>54</xdr:row>
      <xdr:rowOff>84666</xdr:rowOff>
    </xdr:to>
    <xdr:sp macro="" textlink="">
      <xdr:nvSpPr>
        <xdr:cNvPr id="32" name="Rounded Rectangle 31">
          <a:extLst>
            <a:ext uri="{FF2B5EF4-FFF2-40B4-BE49-F238E27FC236}">
              <a16:creationId xmlns:a16="http://schemas.microsoft.com/office/drawing/2014/main" id="{9EF72920-37D8-B149-821C-11B1F7873B50}"/>
            </a:ext>
          </a:extLst>
        </xdr:cNvPr>
        <xdr:cNvSpPr/>
      </xdr:nvSpPr>
      <xdr:spPr>
        <a:xfrm>
          <a:off x="53287" y="14141495"/>
          <a:ext cx="8892753" cy="637071"/>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20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Process Time Information</a:t>
          </a:r>
        </a:p>
      </xdr:txBody>
    </xdr:sp>
    <xdr:clientData/>
  </xdr:twoCellAnchor>
  <xdr:twoCellAnchor>
    <xdr:from>
      <xdr:col>1</xdr:col>
      <xdr:colOff>84025</xdr:colOff>
      <xdr:row>55</xdr:row>
      <xdr:rowOff>127000</xdr:rowOff>
    </xdr:from>
    <xdr:to>
      <xdr:col>1</xdr:col>
      <xdr:colOff>2015066</xdr:colOff>
      <xdr:row>58</xdr:row>
      <xdr:rowOff>104674</xdr:rowOff>
    </xdr:to>
    <xdr:sp macro="" textlink="">
      <xdr:nvSpPr>
        <xdr:cNvPr id="33" name="Rounded Rectangle 32">
          <a:extLst>
            <a:ext uri="{FF2B5EF4-FFF2-40B4-BE49-F238E27FC236}">
              <a16:creationId xmlns:a16="http://schemas.microsoft.com/office/drawing/2014/main" id="{9D8F6B2B-C0E4-1B41-A4F2-49CA4F08B782}"/>
            </a:ext>
          </a:extLst>
        </xdr:cNvPr>
        <xdr:cNvSpPr/>
      </xdr:nvSpPr>
      <xdr:spPr>
        <a:xfrm>
          <a:off x="3754325" y="15074900"/>
          <a:ext cx="1931041" cy="739674"/>
        </a:xfrm>
        <a:prstGeom prst="roundRect">
          <a:avLst>
            <a:gd name="adj" fmla="val 46754"/>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Replace with your Process Time</a:t>
          </a:r>
        </a:p>
      </xdr:txBody>
    </xdr:sp>
    <xdr:clientData/>
  </xdr:twoCellAnchor>
  <xdr:twoCellAnchor>
    <xdr:from>
      <xdr:col>0</xdr:col>
      <xdr:colOff>3124200</xdr:colOff>
      <xdr:row>55</xdr:row>
      <xdr:rowOff>177682</xdr:rowOff>
    </xdr:from>
    <xdr:to>
      <xdr:col>1</xdr:col>
      <xdr:colOff>84836</xdr:colOff>
      <xdr:row>58</xdr:row>
      <xdr:rowOff>12752</xdr:rowOff>
    </xdr:to>
    <xdr:sp macro="" textlink="">
      <xdr:nvSpPr>
        <xdr:cNvPr id="34" name="Text Placeholder 1248">
          <a:extLst>
            <a:ext uri="{FF2B5EF4-FFF2-40B4-BE49-F238E27FC236}">
              <a16:creationId xmlns:a16="http://schemas.microsoft.com/office/drawing/2014/main" id="{B9EDD4D1-93B0-BA40-ACAD-52B55809B2FA}"/>
            </a:ext>
          </a:extLst>
        </xdr:cNvPr>
        <xdr:cNvSpPr>
          <a:spLocks noGrp="1"/>
        </xdr:cNvSpPr>
      </xdr:nvSpPr>
      <xdr:spPr>
        <a:xfrm>
          <a:off x="3124200" y="15125582"/>
          <a:ext cx="630936" cy="597070"/>
        </a:xfrm>
        <a:prstGeom prst="ellipse">
          <a:avLst/>
        </a:prstGeom>
        <a:solidFill>
          <a:srgbClr val="FFC000">
            <a:lumMod val="60000"/>
            <a:lumOff val="40000"/>
          </a:srgbClr>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pPr marL="0" indent="0" algn="ctr" defTabSz="914400" rtl="0" eaLnBrk="1" latinLnBrk="0" hangingPunct="1">
            <a:lnSpc>
              <a:spcPct val="100000"/>
            </a:lnSpc>
            <a:spcBef>
              <a:spcPts val="0"/>
            </a:spcBef>
            <a:buFont typeface="Arial" panose="020B0604020202020204" pitchFamily="34" charset="0"/>
            <a:buNone/>
          </a:pPr>
          <a:r>
            <a:rPr lang="en-US" sz="2800" b="1" kern="1200">
              <a:ln w="0">
                <a:noFill/>
              </a:ln>
              <a:solidFill>
                <a:sysClr val="windowText" lastClr="000000"/>
              </a:solidFill>
              <a:latin typeface="Arial" panose="020B0604020202020204" pitchFamily="34" charset="0"/>
              <a:ea typeface="+mn-ea"/>
              <a:cs typeface="Arial" panose="020B0604020202020204" pitchFamily="34" charset="0"/>
            </a:rPr>
            <a:t>8</a:t>
          </a:r>
        </a:p>
      </xdr:txBody>
    </xdr:sp>
    <xdr:clientData/>
  </xdr:twoCellAnchor>
  <xdr:twoCellAnchor>
    <xdr:from>
      <xdr:col>0</xdr:col>
      <xdr:colOff>53287</xdr:colOff>
      <xdr:row>65</xdr:row>
      <xdr:rowOff>135467</xdr:rowOff>
    </xdr:from>
    <xdr:to>
      <xdr:col>3</xdr:col>
      <xdr:colOff>1110140</xdr:colOff>
      <xdr:row>68</xdr:row>
      <xdr:rowOff>12701</xdr:rowOff>
    </xdr:to>
    <xdr:sp macro="" textlink="">
      <xdr:nvSpPr>
        <xdr:cNvPr id="35" name="Rounded Rectangle 34">
          <a:extLst>
            <a:ext uri="{FF2B5EF4-FFF2-40B4-BE49-F238E27FC236}">
              <a16:creationId xmlns:a16="http://schemas.microsoft.com/office/drawing/2014/main" id="{F87DAEB5-8D31-C040-9D2B-2E9E2DB81A1D}"/>
            </a:ext>
          </a:extLst>
        </xdr:cNvPr>
        <xdr:cNvSpPr/>
      </xdr:nvSpPr>
      <xdr:spPr>
        <a:xfrm>
          <a:off x="53287" y="17826567"/>
          <a:ext cx="8892753" cy="639234"/>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Equipment Power Information</a:t>
          </a:r>
        </a:p>
      </xdr:txBody>
    </xdr:sp>
    <xdr:clientData/>
  </xdr:twoCellAnchor>
  <xdr:twoCellAnchor>
    <xdr:from>
      <xdr:col>2</xdr:col>
      <xdr:colOff>833868</xdr:colOff>
      <xdr:row>61</xdr:row>
      <xdr:rowOff>220998</xdr:rowOff>
    </xdr:from>
    <xdr:to>
      <xdr:col>3</xdr:col>
      <xdr:colOff>1684866</xdr:colOff>
      <xdr:row>64</xdr:row>
      <xdr:rowOff>34731</xdr:rowOff>
    </xdr:to>
    <xdr:sp macro="" textlink="">
      <xdr:nvSpPr>
        <xdr:cNvPr id="36" name="Rounded Rectangle 35">
          <a:extLst>
            <a:ext uri="{FF2B5EF4-FFF2-40B4-BE49-F238E27FC236}">
              <a16:creationId xmlns:a16="http://schemas.microsoft.com/office/drawing/2014/main" id="{8F22F694-AF4F-2B46-9B64-A4CE6ADA7981}"/>
            </a:ext>
          </a:extLst>
        </xdr:cNvPr>
        <xdr:cNvSpPr/>
      </xdr:nvSpPr>
      <xdr:spPr>
        <a:xfrm>
          <a:off x="6599668" y="16756398"/>
          <a:ext cx="2921098" cy="715433"/>
        </a:xfrm>
        <a:prstGeom prst="roundRect">
          <a:avLst>
            <a:gd name="adj" fmla="val 46754"/>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Enter additional time information</a:t>
          </a:r>
        </a:p>
      </xdr:txBody>
    </xdr:sp>
    <xdr:clientData/>
  </xdr:twoCellAnchor>
  <xdr:twoCellAnchor>
    <xdr:from>
      <xdr:col>2</xdr:col>
      <xdr:colOff>368300</xdr:colOff>
      <xdr:row>61</xdr:row>
      <xdr:rowOff>244196</xdr:rowOff>
    </xdr:from>
    <xdr:to>
      <xdr:col>2</xdr:col>
      <xdr:colOff>998744</xdr:colOff>
      <xdr:row>63</xdr:row>
      <xdr:rowOff>214733</xdr:rowOff>
    </xdr:to>
    <xdr:sp macro="" textlink="">
      <xdr:nvSpPr>
        <xdr:cNvPr id="37" name="Text Placeholder 1248">
          <a:extLst>
            <a:ext uri="{FF2B5EF4-FFF2-40B4-BE49-F238E27FC236}">
              <a16:creationId xmlns:a16="http://schemas.microsoft.com/office/drawing/2014/main" id="{4FA5B817-2595-F54B-98AE-D1ABFB300CDF}"/>
            </a:ext>
          </a:extLst>
        </xdr:cNvPr>
        <xdr:cNvSpPr>
          <a:spLocks noGrp="1"/>
        </xdr:cNvSpPr>
      </xdr:nvSpPr>
      <xdr:spPr>
        <a:xfrm>
          <a:off x="6134100" y="16779596"/>
          <a:ext cx="630444" cy="618237"/>
        </a:xfrm>
        <a:prstGeom prst="ellipse">
          <a:avLst/>
        </a:prstGeom>
        <a:solidFill>
          <a:srgbClr val="60CCF3"/>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r>
            <a:rPr lang="en-US">
              <a:latin typeface="Arial" panose="020B0604020202020204" pitchFamily="34" charset="0"/>
              <a:cs typeface="Arial" panose="020B0604020202020204" pitchFamily="34" charset="0"/>
            </a:rPr>
            <a:t>9</a:t>
          </a:r>
        </a:p>
      </xdr:txBody>
    </xdr:sp>
    <xdr:clientData/>
  </xdr:twoCellAnchor>
  <xdr:twoCellAnchor>
    <xdr:from>
      <xdr:col>3</xdr:col>
      <xdr:colOff>1698428</xdr:colOff>
      <xdr:row>66</xdr:row>
      <xdr:rowOff>89252</xdr:rowOff>
    </xdr:from>
    <xdr:to>
      <xdr:col>4</xdr:col>
      <xdr:colOff>1845056</xdr:colOff>
      <xdr:row>69</xdr:row>
      <xdr:rowOff>39590</xdr:rowOff>
    </xdr:to>
    <xdr:sp macro="" textlink="">
      <xdr:nvSpPr>
        <xdr:cNvPr id="38" name="Rounded Rectangle 37">
          <a:extLst>
            <a:ext uri="{FF2B5EF4-FFF2-40B4-BE49-F238E27FC236}">
              <a16:creationId xmlns:a16="http://schemas.microsoft.com/office/drawing/2014/main" id="{23A180FC-57D4-2341-904B-9429050960CE}"/>
            </a:ext>
          </a:extLst>
        </xdr:cNvPr>
        <xdr:cNvSpPr/>
      </xdr:nvSpPr>
      <xdr:spPr>
        <a:xfrm>
          <a:off x="9534328" y="18034352"/>
          <a:ext cx="2458028" cy="712338"/>
        </a:xfrm>
        <a:prstGeom prst="roundRect">
          <a:avLst>
            <a:gd name="adj" fmla="val 46754"/>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Replace with your Power Rating information</a:t>
          </a:r>
        </a:p>
      </xdr:txBody>
    </xdr:sp>
    <xdr:clientData/>
  </xdr:twoCellAnchor>
  <xdr:twoCellAnchor>
    <xdr:from>
      <xdr:col>3</xdr:col>
      <xdr:colOff>1232860</xdr:colOff>
      <xdr:row>66</xdr:row>
      <xdr:rowOff>137850</xdr:rowOff>
    </xdr:from>
    <xdr:to>
      <xdr:col>3</xdr:col>
      <xdr:colOff>1863304</xdr:colOff>
      <xdr:row>68</xdr:row>
      <xdr:rowOff>244992</xdr:rowOff>
    </xdr:to>
    <xdr:sp macro="" textlink="">
      <xdr:nvSpPr>
        <xdr:cNvPr id="39" name="Text Placeholder 1248">
          <a:extLst>
            <a:ext uri="{FF2B5EF4-FFF2-40B4-BE49-F238E27FC236}">
              <a16:creationId xmlns:a16="http://schemas.microsoft.com/office/drawing/2014/main" id="{FDF34C17-7AA8-234F-800D-DF279A152644}"/>
            </a:ext>
          </a:extLst>
        </xdr:cNvPr>
        <xdr:cNvSpPr>
          <a:spLocks noGrp="1"/>
        </xdr:cNvSpPr>
      </xdr:nvSpPr>
      <xdr:spPr>
        <a:xfrm>
          <a:off x="9068760" y="18082950"/>
          <a:ext cx="630444" cy="615142"/>
        </a:xfrm>
        <a:prstGeom prst="ellipse">
          <a:avLst/>
        </a:prstGeom>
        <a:solidFill>
          <a:srgbClr val="FFC000">
            <a:lumMod val="60000"/>
            <a:lumOff val="40000"/>
          </a:srgbClr>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pPr marL="0" indent="0" algn="ctr" defTabSz="914400" rtl="0" eaLnBrk="1" latinLnBrk="0" hangingPunct="1">
            <a:lnSpc>
              <a:spcPct val="100000"/>
            </a:lnSpc>
            <a:spcBef>
              <a:spcPts val="0"/>
            </a:spcBef>
            <a:buFont typeface="Arial" panose="020B0604020202020204" pitchFamily="34" charset="0"/>
            <a:buNone/>
          </a:pPr>
          <a:r>
            <a:rPr lang="en-US" sz="2800" b="1" kern="1200">
              <a:ln w="0">
                <a:noFill/>
              </a:ln>
              <a:solidFill>
                <a:sysClr val="windowText" lastClr="000000"/>
              </a:solidFill>
              <a:latin typeface="Arial" panose="020B0604020202020204" pitchFamily="34" charset="0"/>
              <a:ea typeface="+mn-ea"/>
              <a:cs typeface="Arial" panose="020B0604020202020204" pitchFamily="34" charset="0"/>
            </a:rPr>
            <a:t>10</a:t>
          </a:r>
        </a:p>
      </xdr:txBody>
    </xdr:sp>
    <xdr:clientData/>
  </xdr:twoCellAnchor>
  <xdr:twoCellAnchor>
    <xdr:from>
      <xdr:col>0</xdr:col>
      <xdr:colOff>53287</xdr:colOff>
      <xdr:row>76</xdr:row>
      <xdr:rowOff>220845</xdr:rowOff>
    </xdr:from>
    <xdr:to>
      <xdr:col>3</xdr:col>
      <xdr:colOff>1110140</xdr:colOff>
      <xdr:row>79</xdr:row>
      <xdr:rowOff>98079</xdr:rowOff>
    </xdr:to>
    <xdr:sp macro="" textlink="">
      <xdr:nvSpPr>
        <xdr:cNvPr id="40" name="Rounded Rectangle 39">
          <a:extLst>
            <a:ext uri="{FF2B5EF4-FFF2-40B4-BE49-F238E27FC236}">
              <a16:creationId xmlns:a16="http://schemas.microsoft.com/office/drawing/2014/main" id="{CF999430-FCEB-4547-8CC2-C7C5BBDFB554}"/>
            </a:ext>
          </a:extLst>
        </xdr:cNvPr>
        <xdr:cNvSpPr/>
      </xdr:nvSpPr>
      <xdr:spPr>
        <a:xfrm>
          <a:off x="53287" y="20705945"/>
          <a:ext cx="8892753" cy="639234"/>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Process Conditions</a:t>
          </a:r>
        </a:p>
      </xdr:txBody>
    </xdr:sp>
    <xdr:clientData/>
  </xdr:twoCellAnchor>
  <xdr:twoCellAnchor>
    <xdr:from>
      <xdr:col>0</xdr:col>
      <xdr:colOff>53287</xdr:colOff>
      <xdr:row>85</xdr:row>
      <xdr:rowOff>93845</xdr:rowOff>
    </xdr:from>
    <xdr:to>
      <xdr:col>3</xdr:col>
      <xdr:colOff>1110140</xdr:colOff>
      <xdr:row>88</xdr:row>
      <xdr:rowOff>9179</xdr:rowOff>
    </xdr:to>
    <xdr:sp macro="" textlink="">
      <xdr:nvSpPr>
        <xdr:cNvPr id="41" name="Rounded Rectangle 40">
          <a:extLst>
            <a:ext uri="{FF2B5EF4-FFF2-40B4-BE49-F238E27FC236}">
              <a16:creationId xmlns:a16="http://schemas.microsoft.com/office/drawing/2014/main" id="{93D25F4C-46A3-7A41-901D-96631F431AF9}"/>
            </a:ext>
          </a:extLst>
        </xdr:cNvPr>
        <xdr:cNvSpPr/>
      </xdr:nvSpPr>
      <xdr:spPr>
        <a:xfrm>
          <a:off x="53287" y="22864945"/>
          <a:ext cx="8892753" cy="639234"/>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Equipment Volume Utilization Calculation</a:t>
          </a:r>
        </a:p>
      </xdr:txBody>
    </xdr:sp>
    <xdr:clientData/>
  </xdr:twoCellAnchor>
  <xdr:twoCellAnchor>
    <xdr:from>
      <xdr:col>2</xdr:col>
      <xdr:colOff>115931</xdr:colOff>
      <xdr:row>88</xdr:row>
      <xdr:rowOff>63617</xdr:rowOff>
    </xdr:from>
    <xdr:to>
      <xdr:col>3</xdr:col>
      <xdr:colOff>1440927</xdr:colOff>
      <xdr:row>93</xdr:row>
      <xdr:rowOff>76200</xdr:rowOff>
    </xdr:to>
    <xdr:sp macro="" textlink="">
      <xdr:nvSpPr>
        <xdr:cNvPr id="42" name="Rounded Rectangle 41">
          <a:hlinkClick xmlns:r="http://schemas.openxmlformats.org/officeDocument/2006/relationships" r:id="rId5"/>
          <a:extLst>
            <a:ext uri="{FF2B5EF4-FFF2-40B4-BE49-F238E27FC236}">
              <a16:creationId xmlns:a16="http://schemas.microsoft.com/office/drawing/2014/main" id="{B240F3E3-80B1-6C42-B8AE-CEF360779538}"/>
            </a:ext>
          </a:extLst>
        </xdr:cNvPr>
        <xdr:cNvSpPr/>
      </xdr:nvSpPr>
      <xdr:spPr>
        <a:xfrm>
          <a:off x="5881731" y="23558617"/>
          <a:ext cx="3395096" cy="1168283"/>
        </a:xfrm>
        <a:prstGeom prst="roundRect">
          <a:avLst>
            <a:gd name="adj" fmla="val 24141"/>
          </a:avLst>
        </a:prstGeom>
        <a:solidFill>
          <a:schemeClr val="accent5">
            <a:lumMod val="40000"/>
            <a:lumOff val="60000"/>
          </a:scheme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Production volume is calculated based on all the </a:t>
          </a:r>
          <a:r>
            <a:rPr kumimoji="0" lang="en-US" sz="14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Input materials </a:t>
          </a: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entered above</a:t>
          </a:r>
          <a:b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b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(1L =~ 1Kg)</a:t>
          </a:r>
        </a:p>
      </xdr:txBody>
    </xdr:sp>
    <xdr:clientData/>
  </xdr:twoCellAnchor>
  <xdr:twoCellAnchor>
    <xdr:from>
      <xdr:col>4</xdr:col>
      <xdr:colOff>669728</xdr:colOff>
      <xdr:row>80</xdr:row>
      <xdr:rowOff>140052</xdr:rowOff>
    </xdr:from>
    <xdr:to>
      <xdr:col>5</xdr:col>
      <xdr:colOff>816356</xdr:colOff>
      <xdr:row>83</xdr:row>
      <xdr:rowOff>90390</xdr:rowOff>
    </xdr:to>
    <xdr:sp macro="" textlink="">
      <xdr:nvSpPr>
        <xdr:cNvPr id="43" name="Rounded Rectangle 42">
          <a:extLst>
            <a:ext uri="{FF2B5EF4-FFF2-40B4-BE49-F238E27FC236}">
              <a16:creationId xmlns:a16="http://schemas.microsoft.com/office/drawing/2014/main" id="{F2C352EB-F8D8-CA43-A8AA-838B5240BD5E}"/>
            </a:ext>
          </a:extLst>
        </xdr:cNvPr>
        <xdr:cNvSpPr/>
      </xdr:nvSpPr>
      <xdr:spPr>
        <a:xfrm>
          <a:off x="10817028" y="21641152"/>
          <a:ext cx="2458028" cy="712338"/>
        </a:xfrm>
        <a:prstGeom prst="roundRect">
          <a:avLst>
            <a:gd name="adj" fmla="val 46754"/>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Enter additional information</a:t>
          </a:r>
        </a:p>
      </xdr:txBody>
    </xdr:sp>
    <xdr:clientData/>
  </xdr:twoCellAnchor>
  <xdr:twoCellAnchor>
    <xdr:from>
      <xdr:col>4</xdr:col>
      <xdr:colOff>140660</xdr:colOff>
      <xdr:row>80</xdr:row>
      <xdr:rowOff>188650</xdr:rowOff>
    </xdr:from>
    <xdr:to>
      <xdr:col>4</xdr:col>
      <xdr:colOff>771104</xdr:colOff>
      <xdr:row>83</xdr:row>
      <xdr:rowOff>41792</xdr:rowOff>
    </xdr:to>
    <xdr:sp macro="" textlink="">
      <xdr:nvSpPr>
        <xdr:cNvPr id="44" name="Text Placeholder 1248">
          <a:extLst>
            <a:ext uri="{FF2B5EF4-FFF2-40B4-BE49-F238E27FC236}">
              <a16:creationId xmlns:a16="http://schemas.microsoft.com/office/drawing/2014/main" id="{0BE41C52-1BF7-704B-9FF6-B1EEC43B8EBE}"/>
            </a:ext>
          </a:extLst>
        </xdr:cNvPr>
        <xdr:cNvSpPr>
          <a:spLocks noGrp="1"/>
        </xdr:cNvSpPr>
      </xdr:nvSpPr>
      <xdr:spPr>
        <a:xfrm>
          <a:off x="10287960" y="21689750"/>
          <a:ext cx="630444" cy="615142"/>
        </a:xfrm>
        <a:prstGeom prst="ellipse">
          <a:avLst/>
        </a:prstGeom>
        <a:solidFill>
          <a:srgbClr val="60CCF3"/>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pPr marL="0" indent="0" algn="ctr" defTabSz="914400" rtl="0" eaLnBrk="1" latinLnBrk="0" hangingPunct="1">
            <a:lnSpc>
              <a:spcPct val="100000"/>
            </a:lnSpc>
            <a:spcBef>
              <a:spcPts val="0"/>
            </a:spcBef>
            <a:buFont typeface="Arial" panose="020B0604020202020204" pitchFamily="34" charset="0"/>
            <a:buNone/>
          </a:pPr>
          <a:r>
            <a:rPr lang="en-US" sz="2800" b="1" kern="1200">
              <a:ln w="0">
                <a:noFill/>
              </a:ln>
              <a:solidFill>
                <a:sysClr val="windowText" lastClr="000000"/>
              </a:solidFill>
              <a:latin typeface="Arial" panose="020B0604020202020204" pitchFamily="34" charset="0"/>
              <a:ea typeface="+mn-ea"/>
              <a:cs typeface="Arial" panose="020B0604020202020204" pitchFamily="34" charset="0"/>
            </a:rPr>
            <a:t>11</a:t>
          </a:r>
        </a:p>
      </xdr:txBody>
    </xdr:sp>
    <xdr:clientData/>
  </xdr:twoCellAnchor>
  <xdr:twoCellAnchor>
    <xdr:from>
      <xdr:col>2</xdr:col>
      <xdr:colOff>659568</xdr:colOff>
      <xdr:row>93</xdr:row>
      <xdr:rowOff>236572</xdr:rowOff>
    </xdr:from>
    <xdr:to>
      <xdr:col>3</xdr:col>
      <xdr:colOff>1504696</xdr:colOff>
      <xdr:row>96</xdr:row>
      <xdr:rowOff>174210</xdr:rowOff>
    </xdr:to>
    <xdr:sp macro="" textlink="">
      <xdr:nvSpPr>
        <xdr:cNvPr id="45" name="Rounded Rectangle 44">
          <a:extLst>
            <a:ext uri="{FF2B5EF4-FFF2-40B4-BE49-F238E27FC236}">
              <a16:creationId xmlns:a16="http://schemas.microsoft.com/office/drawing/2014/main" id="{B65FF75B-1643-454F-9601-58CDA2DC9D09}"/>
            </a:ext>
          </a:extLst>
        </xdr:cNvPr>
        <xdr:cNvSpPr/>
      </xdr:nvSpPr>
      <xdr:spPr>
        <a:xfrm>
          <a:off x="6425368" y="24887272"/>
          <a:ext cx="2915228" cy="712338"/>
        </a:xfrm>
        <a:prstGeom prst="roundRect">
          <a:avLst>
            <a:gd name="adj" fmla="val 46754"/>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Replace with your volume</a:t>
          </a:r>
        </a:p>
      </xdr:txBody>
    </xdr:sp>
    <xdr:clientData/>
  </xdr:twoCellAnchor>
  <xdr:twoCellAnchor>
    <xdr:from>
      <xdr:col>2</xdr:col>
      <xdr:colOff>130500</xdr:colOff>
      <xdr:row>94</xdr:row>
      <xdr:rowOff>71810</xdr:rowOff>
    </xdr:from>
    <xdr:to>
      <xdr:col>2</xdr:col>
      <xdr:colOff>760944</xdr:colOff>
      <xdr:row>96</xdr:row>
      <xdr:rowOff>166252</xdr:rowOff>
    </xdr:to>
    <xdr:sp macro="" textlink="">
      <xdr:nvSpPr>
        <xdr:cNvPr id="46" name="Text Placeholder 1248">
          <a:extLst>
            <a:ext uri="{FF2B5EF4-FFF2-40B4-BE49-F238E27FC236}">
              <a16:creationId xmlns:a16="http://schemas.microsoft.com/office/drawing/2014/main" id="{17A30E82-F1DF-9446-8EF8-1ECCA93479A2}"/>
            </a:ext>
          </a:extLst>
        </xdr:cNvPr>
        <xdr:cNvSpPr>
          <a:spLocks noGrp="1"/>
        </xdr:cNvSpPr>
      </xdr:nvSpPr>
      <xdr:spPr>
        <a:xfrm>
          <a:off x="5896300" y="24976510"/>
          <a:ext cx="630444" cy="615142"/>
        </a:xfrm>
        <a:prstGeom prst="ellipse">
          <a:avLst/>
        </a:prstGeom>
        <a:solidFill>
          <a:srgbClr val="60CCF3"/>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pPr marL="0" indent="0" algn="ctr" defTabSz="914400" rtl="0" eaLnBrk="1" latinLnBrk="0" hangingPunct="1">
            <a:lnSpc>
              <a:spcPct val="100000"/>
            </a:lnSpc>
            <a:spcBef>
              <a:spcPts val="0"/>
            </a:spcBef>
            <a:buFont typeface="Arial" panose="020B0604020202020204" pitchFamily="34" charset="0"/>
            <a:buNone/>
          </a:pPr>
          <a:r>
            <a:rPr lang="en-US" sz="2800" b="1" kern="1200">
              <a:ln w="0">
                <a:noFill/>
              </a:ln>
              <a:solidFill>
                <a:sysClr val="windowText" lastClr="000000"/>
              </a:solidFill>
              <a:latin typeface="Arial" panose="020B0604020202020204" pitchFamily="34" charset="0"/>
              <a:ea typeface="+mn-ea"/>
              <a:cs typeface="Arial" panose="020B0604020202020204" pitchFamily="34" charset="0"/>
            </a:rPr>
            <a:t>12</a:t>
          </a:r>
        </a:p>
      </xdr:txBody>
    </xdr:sp>
    <xdr:clientData/>
  </xdr:twoCellAnchor>
  <xdr:twoCellAnchor>
    <xdr:from>
      <xdr:col>2</xdr:col>
      <xdr:colOff>523137</xdr:colOff>
      <xdr:row>98</xdr:row>
      <xdr:rowOff>1612</xdr:rowOff>
    </xdr:from>
    <xdr:to>
      <xdr:col>4</xdr:col>
      <xdr:colOff>38906</xdr:colOff>
      <xdr:row>99</xdr:row>
      <xdr:rowOff>174776</xdr:rowOff>
    </xdr:to>
    <xdr:sp macro="" textlink="">
      <xdr:nvSpPr>
        <xdr:cNvPr id="47" name="Rounded Rectangle 46">
          <a:extLst>
            <a:ext uri="{FF2B5EF4-FFF2-40B4-BE49-F238E27FC236}">
              <a16:creationId xmlns:a16="http://schemas.microsoft.com/office/drawing/2014/main" id="{1D620EBE-F57C-A74D-A137-CDD6E3490C3F}"/>
            </a:ext>
          </a:extLst>
        </xdr:cNvPr>
        <xdr:cNvSpPr/>
      </xdr:nvSpPr>
      <xdr:spPr>
        <a:xfrm>
          <a:off x="6288937" y="25935012"/>
          <a:ext cx="3897269" cy="706564"/>
        </a:xfrm>
        <a:prstGeom prst="roundRect">
          <a:avLst>
            <a:gd name="adj" fmla="val 24141"/>
          </a:avLst>
        </a:prstGeom>
        <a:solidFill>
          <a:schemeClr val="accent5">
            <a:lumMod val="40000"/>
            <a:lumOff val="60000"/>
          </a:scheme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Volume Utilized fraction is ratio of </a:t>
          </a:r>
          <a:r>
            <a:rPr kumimoji="0" lang="en-US" sz="14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Production</a:t>
          </a: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 to </a:t>
          </a:r>
          <a:r>
            <a:rPr kumimoji="0" lang="en-US" sz="14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Equipment</a:t>
          </a: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 Volume</a:t>
          </a:r>
        </a:p>
      </xdr:txBody>
    </xdr:sp>
    <xdr:clientData/>
  </xdr:twoCellAnchor>
  <xdr:twoCellAnchor>
    <xdr:from>
      <xdr:col>2</xdr:col>
      <xdr:colOff>68756</xdr:colOff>
      <xdr:row>139</xdr:row>
      <xdr:rowOff>116377</xdr:rowOff>
    </xdr:from>
    <xdr:to>
      <xdr:col>3</xdr:col>
      <xdr:colOff>2235108</xdr:colOff>
      <xdr:row>141</xdr:row>
      <xdr:rowOff>247180</xdr:rowOff>
    </xdr:to>
    <xdr:sp macro="" textlink="">
      <xdr:nvSpPr>
        <xdr:cNvPr id="48" name="Rounded Rectangle 47">
          <a:extLst>
            <a:ext uri="{FF2B5EF4-FFF2-40B4-BE49-F238E27FC236}">
              <a16:creationId xmlns:a16="http://schemas.microsoft.com/office/drawing/2014/main" id="{294E3969-824C-9E4B-961D-AD533E62A146}"/>
            </a:ext>
          </a:extLst>
        </xdr:cNvPr>
        <xdr:cNvSpPr/>
      </xdr:nvSpPr>
      <xdr:spPr>
        <a:xfrm>
          <a:off x="5834556" y="37022577"/>
          <a:ext cx="4236452" cy="638803"/>
        </a:xfrm>
        <a:prstGeom prst="roundRect">
          <a:avLst>
            <a:gd name="adj" fmla="val 24141"/>
          </a:avLst>
        </a:prstGeom>
        <a:solidFill>
          <a:schemeClr val="accent5">
            <a:lumMod val="40000"/>
            <a:lumOff val="60000"/>
          </a:scheme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Calculated as the sum of Theoritical Yield from the 1.1 Precursor Materials Table</a:t>
          </a:r>
        </a:p>
      </xdr:txBody>
    </xdr:sp>
    <xdr:clientData/>
  </xdr:twoCellAnchor>
  <xdr:twoCellAnchor>
    <xdr:from>
      <xdr:col>0</xdr:col>
      <xdr:colOff>53287</xdr:colOff>
      <xdr:row>137</xdr:row>
      <xdr:rowOff>25399</xdr:rowOff>
    </xdr:from>
    <xdr:to>
      <xdr:col>3</xdr:col>
      <xdr:colOff>1110140</xdr:colOff>
      <xdr:row>139</xdr:row>
      <xdr:rowOff>85378</xdr:rowOff>
    </xdr:to>
    <xdr:sp macro="" textlink="">
      <xdr:nvSpPr>
        <xdr:cNvPr id="49" name="Rounded Rectangle 48">
          <a:extLst>
            <a:ext uri="{FF2B5EF4-FFF2-40B4-BE49-F238E27FC236}">
              <a16:creationId xmlns:a16="http://schemas.microsoft.com/office/drawing/2014/main" id="{752B9FB7-B1B8-3C4D-97B8-7868BDE251DE}"/>
            </a:ext>
          </a:extLst>
        </xdr:cNvPr>
        <xdr:cNvSpPr/>
      </xdr:nvSpPr>
      <xdr:spPr>
        <a:xfrm>
          <a:off x="53287" y="36423599"/>
          <a:ext cx="8892753" cy="567979"/>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Yield Calculation for this process</a:t>
          </a:r>
        </a:p>
      </xdr:txBody>
    </xdr:sp>
    <xdr:clientData/>
  </xdr:twoCellAnchor>
  <xdr:twoCellAnchor>
    <xdr:from>
      <xdr:col>0</xdr:col>
      <xdr:colOff>53287</xdr:colOff>
      <xdr:row>100</xdr:row>
      <xdr:rowOff>253865</xdr:rowOff>
    </xdr:from>
    <xdr:to>
      <xdr:col>3</xdr:col>
      <xdr:colOff>1110140</xdr:colOff>
      <xdr:row>103</xdr:row>
      <xdr:rowOff>131099</xdr:rowOff>
    </xdr:to>
    <xdr:sp macro="" textlink="">
      <xdr:nvSpPr>
        <xdr:cNvPr id="50" name="Rounded Rectangle 49">
          <a:extLst>
            <a:ext uri="{FF2B5EF4-FFF2-40B4-BE49-F238E27FC236}">
              <a16:creationId xmlns:a16="http://schemas.microsoft.com/office/drawing/2014/main" id="{C83864E8-7276-D144-89D0-AAEEC484156F}"/>
            </a:ext>
          </a:extLst>
        </xdr:cNvPr>
        <xdr:cNvSpPr/>
      </xdr:nvSpPr>
      <xdr:spPr>
        <a:xfrm>
          <a:off x="53287" y="26974665"/>
          <a:ext cx="8892753" cy="639234"/>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1.3 Energy Consumption Estimation</a:t>
          </a:r>
        </a:p>
      </xdr:txBody>
    </xdr:sp>
    <xdr:clientData/>
  </xdr:twoCellAnchor>
  <xdr:twoCellAnchor>
    <xdr:from>
      <xdr:col>4</xdr:col>
      <xdr:colOff>1995714</xdr:colOff>
      <xdr:row>13</xdr:row>
      <xdr:rowOff>63500</xdr:rowOff>
    </xdr:from>
    <xdr:to>
      <xdr:col>5</xdr:col>
      <xdr:colOff>262636</xdr:colOff>
      <xdr:row>14</xdr:row>
      <xdr:rowOff>241300</xdr:rowOff>
    </xdr:to>
    <xdr:sp macro="" textlink="">
      <xdr:nvSpPr>
        <xdr:cNvPr id="51" name="Text Placeholder 1248">
          <a:extLst>
            <a:ext uri="{FF2B5EF4-FFF2-40B4-BE49-F238E27FC236}">
              <a16:creationId xmlns:a16="http://schemas.microsoft.com/office/drawing/2014/main" id="{CCCDAC6F-11FB-1E42-ABBC-1C5C789FF51E}"/>
            </a:ext>
          </a:extLst>
        </xdr:cNvPr>
        <xdr:cNvSpPr>
          <a:spLocks noGrp="1"/>
        </xdr:cNvSpPr>
      </xdr:nvSpPr>
      <xdr:spPr>
        <a:xfrm>
          <a:off x="12143014" y="3441700"/>
          <a:ext cx="578322" cy="558800"/>
        </a:xfrm>
        <a:prstGeom prst="ellipse">
          <a:avLst/>
        </a:prstGeom>
        <a:solidFill>
          <a:schemeClr val="accent5">
            <a:lumMod val="40000"/>
            <a:lumOff val="60000"/>
          </a:schemeClr>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r>
            <a:rPr lang="en-US"/>
            <a:t>#</a:t>
          </a:r>
        </a:p>
      </xdr:txBody>
    </xdr:sp>
    <xdr:clientData/>
  </xdr:twoCellAnchor>
  <xdr:twoCellAnchor>
    <xdr:from>
      <xdr:col>5</xdr:col>
      <xdr:colOff>408887</xdr:colOff>
      <xdr:row>13</xdr:row>
      <xdr:rowOff>101600</xdr:rowOff>
    </xdr:from>
    <xdr:to>
      <xdr:col>6</xdr:col>
      <xdr:colOff>914400</xdr:colOff>
      <xdr:row>14</xdr:row>
      <xdr:rowOff>215900</xdr:rowOff>
    </xdr:to>
    <xdr:sp macro="" textlink="">
      <xdr:nvSpPr>
        <xdr:cNvPr id="52" name="Rounded Rectangle 51">
          <a:extLst>
            <a:ext uri="{FF2B5EF4-FFF2-40B4-BE49-F238E27FC236}">
              <a16:creationId xmlns:a16="http://schemas.microsoft.com/office/drawing/2014/main" id="{576727C0-1AB9-E145-AF30-1AE6C427273D}"/>
            </a:ext>
          </a:extLst>
        </xdr:cNvPr>
        <xdr:cNvSpPr/>
      </xdr:nvSpPr>
      <xdr:spPr>
        <a:xfrm>
          <a:off x="12867587" y="3479800"/>
          <a:ext cx="2816913" cy="495300"/>
        </a:xfrm>
        <a:prstGeom prst="roundRect">
          <a:avLst>
            <a:gd name="adj" fmla="val 43110"/>
          </a:avLst>
        </a:prstGeom>
        <a:solidFill>
          <a:schemeClr val="accent5">
            <a:lumMod val="40000"/>
            <a:lumOff val="60000"/>
          </a:schemeClr>
        </a:solidFill>
        <a:ln w="44450">
          <a:solidFill>
            <a:sysClr val="windowText" lastClr="000000"/>
          </a:solidFill>
        </a:ln>
      </xdr:spPr>
      <xdr:txBody>
        <a:bodyPr vert="horz" wrap="square" lIns="0" tIns="0" rIns="0" bIns="0" rtlCol="0" anchor="ctr">
          <a:noAutofit/>
        </a:bodyPr>
        <a:lstStyle/>
        <a:p>
          <a:pPr marL="0" marR="0" lvl="0" indent="0" algn="ctr" defTabSz="914400" rtl="0" eaLnBrk="1" fontAlgn="auto" latinLnBrk="0" hangingPunct="1">
            <a:lnSpc>
              <a:spcPct val="100000"/>
            </a:lnSpc>
            <a:spcBef>
              <a:spcPts val="0"/>
            </a:spcBef>
            <a:spcAft>
              <a:spcPts val="0"/>
            </a:spcAft>
            <a:buClrTx/>
            <a:buSzTx/>
            <a:buFont typeface="Arial" panose="020B0604020202020204" pitchFamily="34" charset="0"/>
            <a:buNone/>
            <a:tabLst/>
            <a:defRPr/>
          </a:pPr>
          <a:r>
            <a:rPr lang="en-US" sz="2800" b="1" kern="1200">
              <a:ln w="0">
                <a:noFill/>
              </a:ln>
              <a:solidFill>
                <a:sysClr val="windowText" lastClr="000000"/>
              </a:solidFill>
              <a:latin typeface="Tw Cen MT"/>
              <a:ea typeface="+mn-ea"/>
              <a:cs typeface="+mn-cs"/>
            </a:rPr>
            <a:t>Estimated</a:t>
          </a:r>
        </a:p>
      </xdr:txBody>
    </xdr:sp>
    <xdr:clientData/>
  </xdr:twoCellAnchor>
  <xdr:twoCellAnchor>
    <xdr:from>
      <xdr:col>2</xdr:col>
      <xdr:colOff>417867</xdr:colOff>
      <xdr:row>104</xdr:row>
      <xdr:rowOff>241592</xdr:rowOff>
    </xdr:from>
    <xdr:to>
      <xdr:col>5</xdr:col>
      <xdr:colOff>329259</xdr:colOff>
      <xdr:row>107</xdr:row>
      <xdr:rowOff>179429</xdr:rowOff>
    </xdr:to>
    <xdr:sp macro="" textlink="">
      <xdr:nvSpPr>
        <xdr:cNvPr id="53" name="Rounded Rectangle 52">
          <a:extLst>
            <a:ext uri="{FF2B5EF4-FFF2-40B4-BE49-F238E27FC236}">
              <a16:creationId xmlns:a16="http://schemas.microsoft.com/office/drawing/2014/main" id="{A277FDB1-01F5-EF4C-A555-6CABE4B3B6B3}"/>
            </a:ext>
          </a:extLst>
        </xdr:cNvPr>
        <xdr:cNvSpPr/>
      </xdr:nvSpPr>
      <xdr:spPr>
        <a:xfrm>
          <a:off x="6183667" y="27978392"/>
          <a:ext cx="6604292" cy="699837"/>
        </a:xfrm>
        <a:prstGeom prst="roundRect">
          <a:avLst>
            <a:gd name="adj" fmla="val 24141"/>
          </a:avLst>
        </a:prstGeom>
        <a:solidFill>
          <a:schemeClr val="accent5">
            <a:lumMod val="40000"/>
            <a:lumOff val="60000"/>
          </a:scheme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Estimated based on the </a:t>
          </a:r>
        </a:p>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 process time(h) * power rating consumption(kW)/L * Equipment Volume(L)</a:t>
          </a:r>
        </a:p>
      </xdr:txBody>
    </xdr:sp>
    <xdr:clientData/>
  </xdr:twoCellAnchor>
  <xdr:twoCellAnchor>
    <xdr:from>
      <xdr:col>2</xdr:col>
      <xdr:colOff>711948</xdr:colOff>
      <xdr:row>108</xdr:row>
      <xdr:rowOff>71120</xdr:rowOff>
    </xdr:from>
    <xdr:to>
      <xdr:col>3</xdr:col>
      <xdr:colOff>1557076</xdr:colOff>
      <xdr:row>111</xdr:row>
      <xdr:rowOff>10160</xdr:rowOff>
    </xdr:to>
    <xdr:sp macro="" textlink="">
      <xdr:nvSpPr>
        <xdr:cNvPr id="54" name="Rounded Rectangle 53">
          <a:extLst>
            <a:ext uri="{FF2B5EF4-FFF2-40B4-BE49-F238E27FC236}">
              <a16:creationId xmlns:a16="http://schemas.microsoft.com/office/drawing/2014/main" id="{2E024C16-92C5-2B4A-87D3-3947DCA72744}"/>
            </a:ext>
          </a:extLst>
        </xdr:cNvPr>
        <xdr:cNvSpPr/>
      </xdr:nvSpPr>
      <xdr:spPr>
        <a:xfrm>
          <a:off x="6477748" y="28823920"/>
          <a:ext cx="2915228" cy="701040"/>
        </a:xfrm>
        <a:prstGeom prst="roundRect">
          <a:avLst>
            <a:gd name="adj" fmla="val 46754"/>
          </a:avLst>
        </a:prstGeom>
        <a:solidFill>
          <a:srgbClr val="B9D4B1"/>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Enter any auxilary energy usage</a:t>
          </a:r>
        </a:p>
      </xdr:txBody>
    </xdr:sp>
    <xdr:clientData/>
  </xdr:twoCellAnchor>
  <xdr:twoCellAnchor>
    <xdr:from>
      <xdr:col>2</xdr:col>
      <xdr:colOff>152400</xdr:colOff>
      <xdr:row>108</xdr:row>
      <xdr:rowOff>68918</xdr:rowOff>
    </xdr:from>
    <xdr:to>
      <xdr:col>2</xdr:col>
      <xdr:colOff>782844</xdr:colOff>
      <xdr:row>110</xdr:row>
      <xdr:rowOff>173520</xdr:rowOff>
    </xdr:to>
    <xdr:sp macro="" textlink="">
      <xdr:nvSpPr>
        <xdr:cNvPr id="55" name="Text Placeholder 1248">
          <a:extLst>
            <a:ext uri="{FF2B5EF4-FFF2-40B4-BE49-F238E27FC236}">
              <a16:creationId xmlns:a16="http://schemas.microsoft.com/office/drawing/2014/main" id="{2292632C-C1EA-6B4D-BCBD-E1C1BE0C08EF}"/>
            </a:ext>
          </a:extLst>
        </xdr:cNvPr>
        <xdr:cNvSpPr>
          <a:spLocks noGrp="1"/>
        </xdr:cNvSpPr>
      </xdr:nvSpPr>
      <xdr:spPr>
        <a:xfrm>
          <a:off x="5918200" y="28821718"/>
          <a:ext cx="630444" cy="612602"/>
        </a:xfrm>
        <a:prstGeom prst="ellipse">
          <a:avLst/>
        </a:prstGeom>
        <a:solidFill>
          <a:srgbClr val="60CCF3"/>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pPr marL="0" indent="0" algn="ctr" defTabSz="914400" rtl="0" eaLnBrk="1" latinLnBrk="0" hangingPunct="1">
            <a:lnSpc>
              <a:spcPct val="100000"/>
            </a:lnSpc>
            <a:spcBef>
              <a:spcPts val="0"/>
            </a:spcBef>
            <a:buFont typeface="Arial" panose="020B0604020202020204" pitchFamily="34" charset="0"/>
            <a:buNone/>
          </a:pPr>
          <a:r>
            <a:rPr lang="en-US" sz="2800" b="1" kern="1200">
              <a:ln w="0">
                <a:noFill/>
              </a:ln>
              <a:solidFill>
                <a:sysClr val="windowText" lastClr="000000"/>
              </a:solidFill>
              <a:latin typeface="Arial" panose="020B0604020202020204" pitchFamily="34" charset="0"/>
              <a:ea typeface="+mn-ea"/>
              <a:cs typeface="Arial" panose="020B0604020202020204" pitchFamily="34" charset="0"/>
            </a:rPr>
            <a:t>13</a:t>
          </a:r>
        </a:p>
      </xdr:txBody>
    </xdr:sp>
    <xdr:clientData/>
  </xdr:twoCellAnchor>
  <xdr:twoCellAnchor>
    <xdr:from>
      <xdr:col>0</xdr:col>
      <xdr:colOff>0</xdr:colOff>
      <xdr:row>104</xdr:row>
      <xdr:rowOff>91440</xdr:rowOff>
    </xdr:from>
    <xdr:to>
      <xdr:col>1</xdr:col>
      <xdr:colOff>901700</xdr:colOff>
      <xdr:row>106</xdr:row>
      <xdr:rowOff>118020</xdr:rowOff>
    </xdr:to>
    <xdr:sp macro="" textlink="">
      <xdr:nvSpPr>
        <xdr:cNvPr id="56" name="Rounded Rectangle 55">
          <a:extLst>
            <a:ext uri="{FF2B5EF4-FFF2-40B4-BE49-F238E27FC236}">
              <a16:creationId xmlns:a16="http://schemas.microsoft.com/office/drawing/2014/main" id="{1AD37355-EF74-714B-8D33-BE02DD3DECC5}"/>
            </a:ext>
          </a:extLst>
        </xdr:cNvPr>
        <xdr:cNvSpPr/>
      </xdr:nvSpPr>
      <xdr:spPr>
        <a:xfrm>
          <a:off x="0" y="27828240"/>
          <a:ext cx="4572000" cy="534580"/>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Best Estimate: With idle Electricity</a:t>
          </a:r>
        </a:p>
      </xdr:txBody>
    </xdr:sp>
    <xdr:clientData/>
  </xdr:twoCellAnchor>
  <xdr:twoCellAnchor>
    <xdr:from>
      <xdr:col>0</xdr:col>
      <xdr:colOff>53287</xdr:colOff>
      <xdr:row>117</xdr:row>
      <xdr:rowOff>74768</xdr:rowOff>
    </xdr:from>
    <xdr:to>
      <xdr:col>3</xdr:col>
      <xdr:colOff>1110140</xdr:colOff>
      <xdr:row>119</xdr:row>
      <xdr:rowOff>208704</xdr:rowOff>
    </xdr:to>
    <xdr:sp macro="" textlink="">
      <xdr:nvSpPr>
        <xdr:cNvPr id="57" name="Rounded Rectangle 56">
          <a:extLst>
            <a:ext uri="{FF2B5EF4-FFF2-40B4-BE49-F238E27FC236}">
              <a16:creationId xmlns:a16="http://schemas.microsoft.com/office/drawing/2014/main" id="{7D87115D-B934-824C-9209-698B6C87B6CD}"/>
            </a:ext>
          </a:extLst>
        </xdr:cNvPr>
        <xdr:cNvSpPr/>
      </xdr:nvSpPr>
      <xdr:spPr>
        <a:xfrm>
          <a:off x="53287" y="31113568"/>
          <a:ext cx="8892753" cy="641936"/>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1.4 Carbon Dioxide Equivalent Estimate</a:t>
          </a:r>
        </a:p>
      </xdr:txBody>
    </xdr:sp>
    <xdr:clientData/>
  </xdr:twoCellAnchor>
  <xdr:twoCellAnchor>
    <xdr:from>
      <xdr:col>0</xdr:col>
      <xdr:colOff>0</xdr:colOff>
      <xdr:row>121</xdr:row>
      <xdr:rowOff>80491</xdr:rowOff>
    </xdr:from>
    <xdr:to>
      <xdr:col>0</xdr:col>
      <xdr:colOff>2816913</xdr:colOff>
      <xdr:row>123</xdr:row>
      <xdr:rowOff>107072</xdr:rowOff>
    </xdr:to>
    <xdr:sp macro="" textlink="">
      <xdr:nvSpPr>
        <xdr:cNvPr id="58" name="Rounded Rectangle 57">
          <a:extLst>
            <a:ext uri="{FF2B5EF4-FFF2-40B4-BE49-F238E27FC236}">
              <a16:creationId xmlns:a16="http://schemas.microsoft.com/office/drawing/2014/main" id="{2CEF2277-9C3C-3D44-B894-357568BC6B60}"/>
            </a:ext>
          </a:extLst>
        </xdr:cNvPr>
        <xdr:cNvSpPr/>
      </xdr:nvSpPr>
      <xdr:spPr>
        <a:xfrm>
          <a:off x="0" y="32135291"/>
          <a:ext cx="2816913" cy="534581"/>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1.4.1 Good Estimate</a:t>
          </a:r>
        </a:p>
      </xdr:txBody>
    </xdr:sp>
    <xdr:clientData/>
  </xdr:twoCellAnchor>
  <xdr:twoCellAnchor>
    <xdr:from>
      <xdr:col>1</xdr:col>
      <xdr:colOff>411362</xdr:colOff>
      <xdr:row>120</xdr:row>
      <xdr:rowOff>101493</xdr:rowOff>
    </xdr:from>
    <xdr:to>
      <xdr:col>2</xdr:col>
      <xdr:colOff>770107</xdr:colOff>
      <xdr:row>123</xdr:row>
      <xdr:rowOff>40532</xdr:rowOff>
    </xdr:to>
    <xdr:sp macro="" textlink="">
      <xdr:nvSpPr>
        <xdr:cNvPr id="59" name="Rounded Rectangle 58">
          <a:extLst>
            <a:ext uri="{FF2B5EF4-FFF2-40B4-BE49-F238E27FC236}">
              <a16:creationId xmlns:a16="http://schemas.microsoft.com/office/drawing/2014/main" id="{A8272EC0-B3EA-0F42-AAC7-2B188B24F9F6}"/>
            </a:ext>
          </a:extLst>
        </xdr:cNvPr>
        <xdr:cNvSpPr/>
      </xdr:nvSpPr>
      <xdr:spPr>
        <a:xfrm>
          <a:off x="4081662" y="31902293"/>
          <a:ext cx="2454245" cy="701039"/>
        </a:xfrm>
        <a:prstGeom prst="roundRect">
          <a:avLst>
            <a:gd name="adj" fmla="val 46754"/>
          </a:avLst>
        </a:prstGeom>
        <a:solidFill>
          <a:srgbClr val="B9D4B1"/>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Select location of power source</a:t>
          </a:r>
        </a:p>
      </xdr:txBody>
    </xdr:sp>
    <xdr:clientData/>
  </xdr:twoCellAnchor>
  <xdr:twoCellAnchor>
    <xdr:from>
      <xdr:col>0</xdr:col>
      <xdr:colOff>3526708</xdr:colOff>
      <xdr:row>120</xdr:row>
      <xdr:rowOff>99291</xdr:rowOff>
    </xdr:from>
    <xdr:to>
      <xdr:col>1</xdr:col>
      <xdr:colOff>482258</xdr:colOff>
      <xdr:row>122</xdr:row>
      <xdr:rowOff>203892</xdr:rowOff>
    </xdr:to>
    <xdr:sp macro="" textlink="">
      <xdr:nvSpPr>
        <xdr:cNvPr id="60" name="Text Placeholder 1248">
          <a:extLst>
            <a:ext uri="{FF2B5EF4-FFF2-40B4-BE49-F238E27FC236}">
              <a16:creationId xmlns:a16="http://schemas.microsoft.com/office/drawing/2014/main" id="{32BD9EFB-8A22-374A-98F0-B4D42172D24F}"/>
            </a:ext>
          </a:extLst>
        </xdr:cNvPr>
        <xdr:cNvSpPr>
          <a:spLocks noGrp="1"/>
        </xdr:cNvSpPr>
      </xdr:nvSpPr>
      <xdr:spPr>
        <a:xfrm>
          <a:off x="3526708" y="31900091"/>
          <a:ext cx="625850" cy="612601"/>
        </a:xfrm>
        <a:prstGeom prst="ellipse">
          <a:avLst/>
        </a:prstGeom>
        <a:solidFill>
          <a:srgbClr val="60CCF3"/>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pPr marL="0" indent="0" algn="ctr" defTabSz="914400" rtl="0" eaLnBrk="1" latinLnBrk="0" hangingPunct="1">
            <a:lnSpc>
              <a:spcPct val="100000"/>
            </a:lnSpc>
            <a:spcBef>
              <a:spcPts val="0"/>
            </a:spcBef>
            <a:buFont typeface="Arial" panose="020B0604020202020204" pitchFamily="34" charset="0"/>
            <a:buNone/>
          </a:pPr>
          <a:r>
            <a:rPr lang="en-US" sz="2800" b="1" kern="1200">
              <a:ln w="0">
                <a:noFill/>
              </a:ln>
              <a:solidFill>
                <a:sysClr val="windowText" lastClr="000000"/>
              </a:solidFill>
              <a:latin typeface="Arial" panose="020B0604020202020204" pitchFamily="34" charset="0"/>
              <a:ea typeface="+mn-ea"/>
              <a:cs typeface="Arial" panose="020B0604020202020204" pitchFamily="34" charset="0"/>
            </a:rPr>
            <a:t>14</a:t>
          </a:r>
        </a:p>
      </xdr:txBody>
    </xdr:sp>
    <xdr:clientData/>
  </xdr:twoCellAnchor>
  <xdr:twoCellAnchor>
    <xdr:from>
      <xdr:col>2</xdr:col>
      <xdr:colOff>532526</xdr:colOff>
      <xdr:row>142</xdr:row>
      <xdr:rowOff>110286</xdr:rowOff>
    </xdr:from>
    <xdr:to>
      <xdr:col>3</xdr:col>
      <xdr:colOff>2283297</xdr:colOff>
      <xdr:row>145</xdr:row>
      <xdr:rowOff>49326</xdr:rowOff>
    </xdr:to>
    <xdr:sp macro="" textlink="">
      <xdr:nvSpPr>
        <xdr:cNvPr id="61" name="Rounded Rectangle 60">
          <a:extLst>
            <a:ext uri="{FF2B5EF4-FFF2-40B4-BE49-F238E27FC236}">
              <a16:creationId xmlns:a16="http://schemas.microsoft.com/office/drawing/2014/main" id="{B492E2C0-4D9F-4B41-9B06-7FE675373A30}"/>
            </a:ext>
          </a:extLst>
        </xdr:cNvPr>
        <xdr:cNvSpPr/>
      </xdr:nvSpPr>
      <xdr:spPr>
        <a:xfrm>
          <a:off x="6298326" y="37778486"/>
          <a:ext cx="3820871" cy="701040"/>
        </a:xfrm>
        <a:prstGeom prst="roundRect">
          <a:avLst>
            <a:gd name="adj" fmla="val 46754"/>
          </a:avLst>
        </a:prstGeom>
        <a:solidFill>
          <a:srgbClr val="B9D4B1"/>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Enter total amount of final product obtained in this process</a:t>
          </a:r>
        </a:p>
      </xdr:txBody>
    </xdr:sp>
    <xdr:clientData/>
  </xdr:twoCellAnchor>
  <xdr:twoCellAnchor>
    <xdr:from>
      <xdr:col>2</xdr:col>
      <xdr:colOff>65609</xdr:colOff>
      <xdr:row>142</xdr:row>
      <xdr:rowOff>199524</xdr:rowOff>
    </xdr:from>
    <xdr:to>
      <xdr:col>2</xdr:col>
      <xdr:colOff>650489</xdr:colOff>
      <xdr:row>145</xdr:row>
      <xdr:rowOff>50126</xdr:rowOff>
    </xdr:to>
    <xdr:sp macro="" textlink="">
      <xdr:nvSpPr>
        <xdr:cNvPr id="62" name="Text Placeholder 1248">
          <a:extLst>
            <a:ext uri="{FF2B5EF4-FFF2-40B4-BE49-F238E27FC236}">
              <a16:creationId xmlns:a16="http://schemas.microsoft.com/office/drawing/2014/main" id="{A14D0278-9B9D-8343-BB9B-C5F7624B6BF1}"/>
            </a:ext>
          </a:extLst>
        </xdr:cNvPr>
        <xdr:cNvSpPr>
          <a:spLocks noGrp="1"/>
        </xdr:cNvSpPr>
      </xdr:nvSpPr>
      <xdr:spPr>
        <a:xfrm>
          <a:off x="5831409" y="37867724"/>
          <a:ext cx="584880" cy="612602"/>
        </a:xfrm>
        <a:prstGeom prst="ellipse">
          <a:avLst/>
        </a:prstGeom>
        <a:solidFill>
          <a:srgbClr val="FFCD00"/>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pPr marL="0" indent="0" algn="ctr" defTabSz="914400" rtl="0" eaLnBrk="1" latinLnBrk="0" hangingPunct="1">
            <a:lnSpc>
              <a:spcPct val="100000"/>
            </a:lnSpc>
            <a:spcBef>
              <a:spcPts val="0"/>
            </a:spcBef>
            <a:buFont typeface="Arial" panose="020B0604020202020204" pitchFamily="34" charset="0"/>
            <a:buNone/>
          </a:pPr>
          <a:r>
            <a:rPr lang="en-US" sz="2800" b="1" kern="1200">
              <a:ln w="0">
                <a:noFill/>
              </a:ln>
              <a:solidFill>
                <a:sysClr val="windowText" lastClr="000000"/>
              </a:solidFill>
              <a:latin typeface="Arial" panose="020B0604020202020204" pitchFamily="34" charset="0"/>
              <a:ea typeface="+mn-ea"/>
              <a:cs typeface="Arial" panose="020B0604020202020204" pitchFamily="34" charset="0"/>
            </a:rPr>
            <a:t>15</a:t>
          </a:r>
        </a:p>
      </xdr:txBody>
    </xdr:sp>
    <xdr:clientData/>
  </xdr:twoCellAnchor>
  <xdr:twoCellAnchor>
    <xdr:from>
      <xdr:col>2</xdr:col>
      <xdr:colOff>972767</xdr:colOff>
      <xdr:row>120</xdr:row>
      <xdr:rowOff>62164</xdr:rowOff>
    </xdr:from>
    <xdr:to>
      <xdr:col>4</xdr:col>
      <xdr:colOff>494697</xdr:colOff>
      <xdr:row>123</xdr:row>
      <xdr:rowOff>1</xdr:rowOff>
    </xdr:to>
    <xdr:sp macro="" textlink="">
      <xdr:nvSpPr>
        <xdr:cNvPr id="63" name="Rounded Rectangle 62">
          <a:hlinkClick xmlns:r="http://schemas.openxmlformats.org/officeDocument/2006/relationships" r:id="rId6"/>
          <a:extLst>
            <a:ext uri="{FF2B5EF4-FFF2-40B4-BE49-F238E27FC236}">
              <a16:creationId xmlns:a16="http://schemas.microsoft.com/office/drawing/2014/main" id="{AA733D2C-2A69-1D4D-808E-67F864000703}"/>
            </a:ext>
          </a:extLst>
        </xdr:cNvPr>
        <xdr:cNvSpPr/>
      </xdr:nvSpPr>
      <xdr:spPr>
        <a:xfrm>
          <a:off x="6738567" y="31862964"/>
          <a:ext cx="3903430" cy="699837"/>
        </a:xfrm>
        <a:prstGeom prst="roundRect">
          <a:avLst>
            <a:gd name="adj" fmla="val 24141"/>
          </a:avLst>
        </a:prstGeom>
        <a:solidFill>
          <a:schemeClr val="accent5">
            <a:lumMod val="40000"/>
            <a:lumOff val="60000"/>
          </a:scheme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Click to view CO2e data from each state</a:t>
          </a:r>
        </a:p>
      </xdr:txBody>
    </xdr:sp>
    <xdr:clientData/>
  </xdr:twoCellAnchor>
  <xdr:twoCellAnchor>
    <xdr:from>
      <xdr:col>0</xdr:col>
      <xdr:colOff>0</xdr:colOff>
      <xdr:row>150</xdr:row>
      <xdr:rowOff>0</xdr:rowOff>
    </xdr:from>
    <xdr:to>
      <xdr:col>3</xdr:col>
      <xdr:colOff>1056853</xdr:colOff>
      <xdr:row>153</xdr:row>
      <xdr:rowOff>82507</xdr:rowOff>
    </xdr:to>
    <xdr:sp macro="" textlink="">
      <xdr:nvSpPr>
        <xdr:cNvPr id="64" name="Rounded Rectangle 63">
          <a:extLst>
            <a:ext uri="{FF2B5EF4-FFF2-40B4-BE49-F238E27FC236}">
              <a16:creationId xmlns:a16="http://schemas.microsoft.com/office/drawing/2014/main" id="{E2597D89-0F66-3A4A-8FD2-DDBABA115601}"/>
            </a:ext>
          </a:extLst>
        </xdr:cNvPr>
        <xdr:cNvSpPr/>
      </xdr:nvSpPr>
      <xdr:spPr>
        <a:xfrm>
          <a:off x="0" y="39700200"/>
          <a:ext cx="8892753" cy="844507"/>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2. Outputs</a:t>
          </a:r>
        </a:p>
      </xdr:txBody>
    </xdr:sp>
    <xdr:clientData/>
  </xdr:twoCellAnchor>
  <xdr:twoCellAnchor>
    <xdr:from>
      <xdr:col>0</xdr:col>
      <xdr:colOff>0</xdr:colOff>
      <xdr:row>153</xdr:row>
      <xdr:rowOff>148617</xdr:rowOff>
    </xdr:from>
    <xdr:to>
      <xdr:col>1</xdr:col>
      <xdr:colOff>1567234</xdr:colOff>
      <xdr:row>155</xdr:row>
      <xdr:rowOff>231123</xdr:rowOff>
    </xdr:to>
    <xdr:sp macro="" textlink="">
      <xdr:nvSpPr>
        <xdr:cNvPr id="65" name="Rounded Rectangle 64">
          <a:extLst>
            <a:ext uri="{FF2B5EF4-FFF2-40B4-BE49-F238E27FC236}">
              <a16:creationId xmlns:a16="http://schemas.microsoft.com/office/drawing/2014/main" id="{BDAADA43-9930-BC47-A6C1-9515BEB4B5CF}"/>
            </a:ext>
          </a:extLst>
        </xdr:cNvPr>
        <xdr:cNvSpPr/>
      </xdr:nvSpPr>
      <xdr:spPr>
        <a:xfrm>
          <a:off x="0" y="40610817"/>
          <a:ext cx="5237534" cy="590506"/>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2.1 Products</a:t>
          </a:r>
        </a:p>
      </xdr:txBody>
    </xdr:sp>
    <xdr:clientData/>
  </xdr:twoCellAnchor>
  <xdr:twoCellAnchor>
    <xdr:from>
      <xdr:col>0</xdr:col>
      <xdr:colOff>0</xdr:colOff>
      <xdr:row>164</xdr:row>
      <xdr:rowOff>229680</xdr:rowOff>
    </xdr:from>
    <xdr:to>
      <xdr:col>1</xdr:col>
      <xdr:colOff>1567234</xdr:colOff>
      <xdr:row>167</xdr:row>
      <xdr:rowOff>55485</xdr:rowOff>
    </xdr:to>
    <xdr:sp macro="" textlink="">
      <xdr:nvSpPr>
        <xdr:cNvPr id="66" name="Rounded Rectangle 65">
          <a:extLst>
            <a:ext uri="{FF2B5EF4-FFF2-40B4-BE49-F238E27FC236}">
              <a16:creationId xmlns:a16="http://schemas.microsoft.com/office/drawing/2014/main" id="{6B485CA6-E5BF-8D44-A057-9AB0CCAE0D54}"/>
            </a:ext>
          </a:extLst>
        </xdr:cNvPr>
        <xdr:cNvSpPr/>
      </xdr:nvSpPr>
      <xdr:spPr>
        <a:xfrm>
          <a:off x="0" y="43485880"/>
          <a:ext cx="5237534" cy="587805"/>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2.2. Emissions</a:t>
          </a:r>
        </a:p>
      </xdr:txBody>
    </xdr:sp>
    <xdr:clientData/>
  </xdr:twoCellAnchor>
  <xdr:twoCellAnchor>
    <xdr:from>
      <xdr:col>2</xdr:col>
      <xdr:colOff>684374</xdr:colOff>
      <xdr:row>156</xdr:row>
      <xdr:rowOff>187222</xdr:rowOff>
    </xdr:from>
    <xdr:to>
      <xdr:col>4</xdr:col>
      <xdr:colOff>129819</xdr:colOff>
      <xdr:row>160</xdr:row>
      <xdr:rowOff>82827</xdr:rowOff>
    </xdr:to>
    <xdr:sp macro="" textlink="">
      <xdr:nvSpPr>
        <xdr:cNvPr id="67" name="Rounded Rectangle 66">
          <a:extLst>
            <a:ext uri="{FF2B5EF4-FFF2-40B4-BE49-F238E27FC236}">
              <a16:creationId xmlns:a16="http://schemas.microsoft.com/office/drawing/2014/main" id="{9D3FE452-28FC-B049-BECF-91634B89942E}"/>
            </a:ext>
          </a:extLst>
        </xdr:cNvPr>
        <xdr:cNvSpPr/>
      </xdr:nvSpPr>
      <xdr:spPr>
        <a:xfrm>
          <a:off x="6450174" y="41411422"/>
          <a:ext cx="3826945" cy="911605"/>
        </a:xfrm>
        <a:prstGeom prst="roundRect">
          <a:avLst>
            <a:gd name="adj" fmla="val 46754"/>
          </a:avLst>
        </a:prstGeom>
        <a:solidFill>
          <a:srgbClr val="B9D4B1"/>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By-products information and wastewater</a:t>
          </a:r>
        </a:p>
      </xdr:txBody>
    </xdr:sp>
    <xdr:clientData/>
  </xdr:twoCellAnchor>
  <xdr:twoCellAnchor>
    <xdr:from>
      <xdr:col>2</xdr:col>
      <xdr:colOff>120716</xdr:colOff>
      <xdr:row>157</xdr:row>
      <xdr:rowOff>39063</xdr:rowOff>
    </xdr:from>
    <xdr:to>
      <xdr:col>2</xdr:col>
      <xdr:colOff>755271</xdr:colOff>
      <xdr:row>159</xdr:row>
      <xdr:rowOff>143665</xdr:rowOff>
    </xdr:to>
    <xdr:sp macro="" textlink="">
      <xdr:nvSpPr>
        <xdr:cNvPr id="68" name="Text Placeholder 1248">
          <a:extLst>
            <a:ext uri="{FF2B5EF4-FFF2-40B4-BE49-F238E27FC236}">
              <a16:creationId xmlns:a16="http://schemas.microsoft.com/office/drawing/2014/main" id="{B5B3FB75-470E-C946-8E65-E870F6E4BCE8}"/>
            </a:ext>
          </a:extLst>
        </xdr:cNvPr>
        <xdr:cNvSpPr>
          <a:spLocks noGrp="1"/>
        </xdr:cNvSpPr>
      </xdr:nvSpPr>
      <xdr:spPr>
        <a:xfrm>
          <a:off x="5886516" y="41517263"/>
          <a:ext cx="634555" cy="612602"/>
        </a:xfrm>
        <a:prstGeom prst="ellipse">
          <a:avLst/>
        </a:prstGeom>
        <a:solidFill>
          <a:srgbClr val="60CCF3"/>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pPr marL="0" indent="0" algn="ctr" defTabSz="914400" rtl="0" eaLnBrk="1" latinLnBrk="0" hangingPunct="1">
            <a:lnSpc>
              <a:spcPct val="100000"/>
            </a:lnSpc>
            <a:spcBef>
              <a:spcPts val="0"/>
            </a:spcBef>
            <a:buFont typeface="Arial" panose="020B0604020202020204" pitchFamily="34" charset="0"/>
            <a:buNone/>
          </a:pPr>
          <a:r>
            <a:rPr lang="en-US" sz="2800" b="1" kern="1200">
              <a:ln w="0">
                <a:noFill/>
              </a:ln>
              <a:solidFill>
                <a:sysClr val="windowText" lastClr="000000"/>
              </a:solidFill>
              <a:latin typeface="Arial" panose="020B0604020202020204" pitchFamily="34" charset="0"/>
              <a:ea typeface="+mn-ea"/>
              <a:cs typeface="Arial" panose="020B0604020202020204" pitchFamily="34" charset="0"/>
            </a:rPr>
            <a:t>16</a:t>
          </a:r>
        </a:p>
      </xdr:txBody>
    </xdr:sp>
    <xdr:clientData/>
  </xdr:twoCellAnchor>
  <xdr:twoCellAnchor>
    <xdr:from>
      <xdr:col>0</xdr:col>
      <xdr:colOff>0</xdr:colOff>
      <xdr:row>179</xdr:row>
      <xdr:rowOff>77832</xdr:rowOff>
    </xdr:from>
    <xdr:to>
      <xdr:col>1</xdr:col>
      <xdr:colOff>1567234</xdr:colOff>
      <xdr:row>181</xdr:row>
      <xdr:rowOff>152115</xdr:rowOff>
    </xdr:to>
    <xdr:sp macro="" textlink="">
      <xdr:nvSpPr>
        <xdr:cNvPr id="69" name="Rounded Rectangle 68">
          <a:extLst>
            <a:ext uri="{FF2B5EF4-FFF2-40B4-BE49-F238E27FC236}">
              <a16:creationId xmlns:a16="http://schemas.microsoft.com/office/drawing/2014/main" id="{5B92C11B-1215-804C-921E-07C66D113C12}"/>
            </a:ext>
          </a:extLst>
        </xdr:cNvPr>
        <xdr:cNvSpPr/>
      </xdr:nvSpPr>
      <xdr:spPr>
        <a:xfrm>
          <a:off x="0" y="47144032"/>
          <a:ext cx="5237534" cy="582283"/>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2.3. Water Consumption</a:t>
          </a:r>
        </a:p>
      </xdr:txBody>
    </xdr:sp>
    <xdr:clientData/>
  </xdr:twoCellAnchor>
  <xdr:twoCellAnchor>
    <xdr:from>
      <xdr:col>0</xdr:col>
      <xdr:colOff>0</xdr:colOff>
      <xdr:row>184</xdr:row>
      <xdr:rowOff>160658</xdr:rowOff>
    </xdr:from>
    <xdr:to>
      <xdr:col>1</xdr:col>
      <xdr:colOff>1567234</xdr:colOff>
      <xdr:row>186</xdr:row>
      <xdr:rowOff>234941</xdr:rowOff>
    </xdr:to>
    <xdr:sp macro="" textlink="">
      <xdr:nvSpPr>
        <xdr:cNvPr id="70" name="Rounded Rectangle 69">
          <a:extLst>
            <a:ext uri="{FF2B5EF4-FFF2-40B4-BE49-F238E27FC236}">
              <a16:creationId xmlns:a16="http://schemas.microsoft.com/office/drawing/2014/main" id="{996304FA-09FF-BD45-B800-A9435CE96CA5}"/>
            </a:ext>
          </a:extLst>
        </xdr:cNvPr>
        <xdr:cNvSpPr/>
      </xdr:nvSpPr>
      <xdr:spPr>
        <a:xfrm>
          <a:off x="0" y="48496858"/>
          <a:ext cx="5237534" cy="582283"/>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2.4 Emission Outputs </a:t>
          </a:r>
        </a:p>
      </xdr:txBody>
    </xdr:sp>
    <xdr:clientData/>
  </xdr:twoCellAnchor>
  <xdr:twoCellAnchor>
    <xdr:from>
      <xdr:col>0</xdr:col>
      <xdr:colOff>0</xdr:colOff>
      <xdr:row>191</xdr:row>
      <xdr:rowOff>8811</xdr:rowOff>
    </xdr:from>
    <xdr:to>
      <xdr:col>1</xdr:col>
      <xdr:colOff>1567234</xdr:colOff>
      <xdr:row>193</xdr:row>
      <xdr:rowOff>83093</xdr:rowOff>
    </xdr:to>
    <xdr:sp macro="" textlink="">
      <xdr:nvSpPr>
        <xdr:cNvPr id="71" name="Rounded Rectangle 70">
          <a:extLst>
            <a:ext uri="{FF2B5EF4-FFF2-40B4-BE49-F238E27FC236}">
              <a16:creationId xmlns:a16="http://schemas.microsoft.com/office/drawing/2014/main" id="{E4BB41FE-2CD3-3C47-8543-198FDCA34DC3}"/>
            </a:ext>
          </a:extLst>
        </xdr:cNvPr>
        <xdr:cNvSpPr/>
      </xdr:nvSpPr>
      <xdr:spPr>
        <a:xfrm>
          <a:off x="0" y="50148411"/>
          <a:ext cx="5237534" cy="582282"/>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2.5 Energy Consumption Calculation</a:t>
          </a:r>
        </a:p>
      </xdr:txBody>
    </xdr:sp>
    <xdr:clientData/>
  </xdr:twoCellAnchor>
  <xdr:twoCellAnchor>
    <xdr:from>
      <xdr:col>4</xdr:col>
      <xdr:colOff>711983</xdr:colOff>
      <xdr:row>163</xdr:row>
      <xdr:rowOff>173419</xdr:rowOff>
    </xdr:from>
    <xdr:to>
      <xdr:col>5</xdr:col>
      <xdr:colOff>1772537</xdr:colOff>
      <xdr:row>167</xdr:row>
      <xdr:rowOff>69024</xdr:rowOff>
    </xdr:to>
    <xdr:sp macro="" textlink="">
      <xdr:nvSpPr>
        <xdr:cNvPr id="72" name="Rounded Rectangle 71">
          <a:extLst>
            <a:ext uri="{FF2B5EF4-FFF2-40B4-BE49-F238E27FC236}">
              <a16:creationId xmlns:a16="http://schemas.microsoft.com/office/drawing/2014/main" id="{53C461B0-D4D7-324D-907B-D82A7BC66D16}"/>
            </a:ext>
          </a:extLst>
        </xdr:cNvPr>
        <xdr:cNvSpPr/>
      </xdr:nvSpPr>
      <xdr:spPr>
        <a:xfrm>
          <a:off x="10859283" y="43175619"/>
          <a:ext cx="3371954" cy="911605"/>
        </a:xfrm>
        <a:prstGeom prst="roundRect">
          <a:avLst>
            <a:gd name="adj" fmla="val 46754"/>
          </a:avLst>
        </a:prstGeom>
        <a:solidFill>
          <a:srgbClr val="B9D4B1"/>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Enter information regarding air and solid waste emission to environment</a:t>
          </a:r>
        </a:p>
      </xdr:txBody>
    </xdr:sp>
    <xdr:clientData/>
  </xdr:twoCellAnchor>
  <xdr:twoCellAnchor>
    <xdr:from>
      <xdr:col>4</xdr:col>
      <xdr:colOff>148325</xdr:colOff>
      <xdr:row>164</xdr:row>
      <xdr:rowOff>25259</xdr:rowOff>
    </xdr:from>
    <xdr:to>
      <xdr:col>4</xdr:col>
      <xdr:colOff>782880</xdr:colOff>
      <xdr:row>166</xdr:row>
      <xdr:rowOff>129861</xdr:rowOff>
    </xdr:to>
    <xdr:sp macro="" textlink="">
      <xdr:nvSpPr>
        <xdr:cNvPr id="73" name="Text Placeholder 1248">
          <a:extLst>
            <a:ext uri="{FF2B5EF4-FFF2-40B4-BE49-F238E27FC236}">
              <a16:creationId xmlns:a16="http://schemas.microsoft.com/office/drawing/2014/main" id="{44278DE2-C8D4-D04B-B6D0-C8D7B8DC9229}"/>
            </a:ext>
          </a:extLst>
        </xdr:cNvPr>
        <xdr:cNvSpPr>
          <a:spLocks noGrp="1"/>
        </xdr:cNvSpPr>
      </xdr:nvSpPr>
      <xdr:spPr>
        <a:xfrm>
          <a:off x="10295625" y="43281459"/>
          <a:ext cx="634555" cy="612602"/>
        </a:xfrm>
        <a:prstGeom prst="ellipse">
          <a:avLst/>
        </a:prstGeom>
        <a:solidFill>
          <a:srgbClr val="60CCF3"/>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pPr marL="0" indent="0" algn="ctr" defTabSz="914400" rtl="0" eaLnBrk="1" latinLnBrk="0" hangingPunct="1">
            <a:lnSpc>
              <a:spcPct val="100000"/>
            </a:lnSpc>
            <a:spcBef>
              <a:spcPts val="0"/>
            </a:spcBef>
            <a:buFont typeface="Arial" panose="020B0604020202020204" pitchFamily="34" charset="0"/>
            <a:buNone/>
          </a:pPr>
          <a:r>
            <a:rPr lang="en-US" sz="2800" b="1" kern="1200">
              <a:ln w="0">
                <a:noFill/>
              </a:ln>
              <a:solidFill>
                <a:sysClr val="windowText" lastClr="000000"/>
              </a:solidFill>
              <a:latin typeface="Arial" panose="020B0604020202020204" pitchFamily="34" charset="0"/>
              <a:ea typeface="+mn-ea"/>
              <a:cs typeface="Arial" panose="020B0604020202020204" pitchFamily="34" charset="0"/>
            </a:rPr>
            <a:t>17</a:t>
          </a:r>
        </a:p>
      </xdr:txBody>
    </xdr:sp>
    <xdr:clientData/>
  </xdr:twoCellAnchor>
  <xdr:twoCellAnchor>
    <xdr:from>
      <xdr:col>0</xdr:col>
      <xdr:colOff>0</xdr:colOff>
      <xdr:row>197</xdr:row>
      <xdr:rowOff>138043</xdr:rowOff>
    </xdr:from>
    <xdr:to>
      <xdr:col>3</xdr:col>
      <xdr:colOff>1056853</xdr:colOff>
      <xdr:row>200</xdr:row>
      <xdr:rowOff>220550</xdr:rowOff>
    </xdr:to>
    <xdr:sp macro="" textlink="">
      <xdr:nvSpPr>
        <xdr:cNvPr id="74" name="Rounded Rectangle 73">
          <a:extLst>
            <a:ext uri="{FF2B5EF4-FFF2-40B4-BE49-F238E27FC236}">
              <a16:creationId xmlns:a16="http://schemas.microsoft.com/office/drawing/2014/main" id="{7B5FC422-B5D8-3C4E-B1C6-1222294132DE}"/>
            </a:ext>
          </a:extLst>
        </xdr:cNvPr>
        <xdr:cNvSpPr/>
      </xdr:nvSpPr>
      <xdr:spPr>
        <a:xfrm>
          <a:off x="0" y="51801643"/>
          <a:ext cx="8892753" cy="844507"/>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3. Impact Assessment</a:t>
          </a:r>
        </a:p>
      </xdr:txBody>
    </xdr:sp>
    <xdr:clientData/>
  </xdr:twoCellAnchor>
  <xdr:twoCellAnchor>
    <xdr:from>
      <xdr:col>0</xdr:col>
      <xdr:colOff>0</xdr:colOff>
      <xdr:row>213</xdr:row>
      <xdr:rowOff>0</xdr:rowOff>
    </xdr:from>
    <xdr:to>
      <xdr:col>0</xdr:col>
      <xdr:colOff>2834381</xdr:colOff>
      <xdr:row>215</xdr:row>
      <xdr:rowOff>10569</xdr:rowOff>
    </xdr:to>
    <xdr:sp macro="" textlink="">
      <xdr:nvSpPr>
        <xdr:cNvPr id="75" name="Rounded Rectangle 74" descr="Navigation button for Start worksheet">
          <a:hlinkClick xmlns:r="http://schemas.openxmlformats.org/officeDocument/2006/relationships" r:id="rId7"/>
          <a:extLst>
            <a:ext uri="{FF2B5EF4-FFF2-40B4-BE49-F238E27FC236}">
              <a16:creationId xmlns:a16="http://schemas.microsoft.com/office/drawing/2014/main" id="{6E87F1BC-5778-4344-ACFE-D7DABB4AC0BA}"/>
            </a:ext>
          </a:extLst>
        </xdr:cNvPr>
        <xdr:cNvSpPr/>
      </xdr:nvSpPr>
      <xdr:spPr>
        <a:xfrm>
          <a:off x="0" y="55727600"/>
          <a:ext cx="2834381" cy="518569"/>
        </a:xfrm>
        <a:prstGeom prst="roundRect">
          <a:avLst>
            <a:gd name="adj" fmla="val 5000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Back to top</a:t>
          </a:r>
        </a:p>
      </xdr:txBody>
    </xdr:sp>
    <xdr:clientData/>
  </xdr:twoCellAnchor>
  <xdr:twoCellAnchor>
    <xdr:from>
      <xdr:col>16</xdr:col>
      <xdr:colOff>272198</xdr:colOff>
      <xdr:row>0</xdr:row>
      <xdr:rowOff>2</xdr:rowOff>
    </xdr:from>
    <xdr:to>
      <xdr:col>47</xdr:col>
      <xdr:colOff>679634</xdr:colOff>
      <xdr:row>5</xdr:row>
      <xdr:rowOff>158797</xdr:rowOff>
    </xdr:to>
    <xdr:sp macro="" textlink="">
      <xdr:nvSpPr>
        <xdr:cNvPr id="76" name="Title">
          <a:extLst>
            <a:ext uri="{FF2B5EF4-FFF2-40B4-BE49-F238E27FC236}">
              <a16:creationId xmlns:a16="http://schemas.microsoft.com/office/drawing/2014/main" id="{FDDF32AA-541A-E94D-A897-334036FBBE34}"/>
            </a:ext>
          </a:extLst>
        </xdr:cNvPr>
        <xdr:cNvSpPr/>
      </xdr:nvSpPr>
      <xdr:spPr>
        <a:xfrm>
          <a:off x="24948298" y="2"/>
          <a:ext cx="37377136" cy="1504995"/>
        </a:xfrm>
        <a:prstGeom prst="rect">
          <a:avLst/>
        </a:prstGeom>
        <a:solidFill>
          <a:srgbClr val="004F4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4000"/>
        </a:p>
      </xdr:txBody>
    </xdr:sp>
    <xdr:clientData/>
  </xdr:twoCellAnchor>
  <xdr:twoCellAnchor>
    <xdr:from>
      <xdr:col>16</xdr:col>
      <xdr:colOff>0</xdr:colOff>
      <xdr:row>0</xdr:row>
      <xdr:rowOff>0</xdr:rowOff>
    </xdr:from>
    <xdr:to>
      <xdr:col>16</xdr:col>
      <xdr:colOff>292100</xdr:colOff>
      <xdr:row>5</xdr:row>
      <xdr:rowOff>146097</xdr:rowOff>
    </xdr:to>
    <xdr:sp macro="" textlink="">
      <xdr:nvSpPr>
        <xdr:cNvPr id="77" name="_Yellow">
          <a:extLst>
            <a:ext uri="{FF2B5EF4-FFF2-40B4-BE49-F238E27FC236}">
              <a16:creationId xmlns:a16="http://schemas.microsoft.com/office/drawing/2014/main" id="{F5311A86-A74F-AF43-8DF9-42816C914559}"/>
            </a:ext>
          </a:extLst>
        </xdr:cNvPr>
        <xdr:cNvSpPr/>
      </xdr:nvSpPr>
      <xdr:spPr>
        <a:xfrm>
          <a:off x="24676100" y="0"/>
          <a:ext cx="292100" cy="1492297"/>
        </a:xfrm>
        <a:prstGeom prst="rect">
          <a:avLst/>
        </a:prstGeom>
        <a:solidFill>
          <a:srgbClr val="FFCD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16</xdr:col>
      <xdr:colOff>399550</xdr:colOff>
      <xdr:row>1</xdr:row>
      <xdr:rowOff>42809</xdr:rowOff>
    </xdr:from>
    <xdr:to>
      <xdr:col>38</xdr:col>
      <xdr:colOff>806552</xdr:colOff>
      <xdr:row>3</xdr:row>
      <xdr:rowOff>287524</xdr:rowOff>
    </xdr:to>
    <xdr:sp macro="" textlink="">
      <xdr:nvSpPr>
        <xdr:cNvPr id="78" name="sheet title">
          <a:extLst>
            <a:ext uri="{FF2B5EF4-FFF2-40B4-BE49-F238E27FC236}">
              <a16:creationId xmlns:a16="http://schemas.microsoft.com/office/drawing/2014/main" id="{883D3F23-D350-A14B-9D93-F540ED698EE5}"/>
            </a:ext>
          </a:extLst>
        </xdr:cNvPr>
        <xdr:cNvSpPr txBox="1"/>
      </xdr:nvSpPr>
      <xdr:spPr>
        <a:xfrm>
          <a:off x="25075650" y="296809"/>
          <a:ext cx="28880402" cy="75271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4400">
              <a:solidFill>
                <a:schemeClr val="bg1"/>
              </a:solidFill>
              <a:latin typeface="Arial" panose="020B0604020202020204" pitchFamily="34" charset="0"/>
              <a:cs typeface="Arial" panose="020B0604020202020204" pitchFamily="34" charset="0"/>
            </a:rPr>
            <a:t>Major</a:t>
          </a:r>
          <a:r>
            <a:rPr lang="en-US" sz="4400" baseline="0">
              <a:solidFill>
                <a:schemeClr val="bg1"/>
              </a:solidFill>
              <a:latin typeface="Arial" panose="020B0604020202020204" pitchFamily="34" charset="0"/>
              <a:cs typeface="Arial" panose="020B0604020202020204" pitchFamily="34" charset="0"/>
            </a:rPr>
            <a:t> S</a:t>
          </a:r>
          <a:r>
            <a:rPr lang="en-US" sz="4400">
              <a:solidFill>
                <a:schemeClr val="bg1"/>
              </a:solidFill>
              <a:latin typeface="Arial" panose="020B0604020202020204" pitchFamily="34" charset="0"/>
              <a:cs typeface="Arial" panose="020B0604020202020204" pitchFamily="34" charset="0"/>
            </a:rPr>
            <a:t>lurry</a:t>
          </a:r>
          <a:r>
            <a:rPr lang="en-US" sz="4400" baseline="0">
              <a:solidFill>
                <a:schemeClr val="bg1"/>
              </a:solidFill>
              <a:latin typeface="Arial" panose="020B0604020202020204" pitchFamily="34" charset="0"/>
              <a:cs typeface="Arial" panose="020B0604020202020204" pitchFamily="34" charset="0"/>
            </a:rPr>
            <a:t> Manufacturing Processes Overview</a:t>
          </a:r>
          <a:endParaRPr lang="en-US" sz="4400">
            <a:solidFill>
              <a:schemeClr val="bg1"/>
            </a:solidFill>
            <a:latin typeface="Arial" panose="020B0604020202020204" pitchFamily="34" charset="0"/>
            <a:cs typeface="Arial" panose="020B0604020202020204" pitchFamily="34" charset="0"/>
          </a:endParaRPr>
        </a:p>
      </xdr:txBody>
    </xdr:sp>
    <xdr:clientData/>
  </xdr:twoCellAnchor>
  <xdr:twoCellAnchor>
    <xdr:from>
      <xdr:col>16</xdr:col>
      <xdr:colOff>57079</xdr:colOff>
      <xdr:row>6</xdr:row>
      <xdr:rowOff>71348</xdr:rowOff>
    </xdr:from>
    <xdr:to>
      <xdr:col>24</xdr:col>
      <xdr:colOff>98039</xdr:colOff>
      <xdr:row>12</xdr:row>
      <xdr:rowOff>21093</xdr:rowOff>
    </xdr:to>
    <xdr:sp macro="" textlink="">
      <xdr:nvSpPr>
        <xdr:cNvPr id="79" name="Rounded Rectangle 78">
          <a:extLst>
            <a:ext uri="{FF2B5EF4-FFF2-40B4-BE49-F238E27FC236}">
              <a16:creationId xmlns:a16="http://schemas.microsoft.com/office/drawing/2014/main" id="{F74ABDCF-0628-EE49-BA9D-E645AD9C8CD4}"/>
            </a:ext>
          </a:extLst>
        </xdr:cNvPr>
        <xdr:cNvSpPr/>
      </xdr:nvSpPr>
      <xdr:spPr>
        <a:xfrm>
          <a:off x="24733179" y="1671548"/>
          <a:ext cx="9286560" cy="1473745"/>
        </a:xfrm>
        <a:prstGeom prst="roundRect">
          <a:avLst>
            <a:gd name="adj" fmla="val 24167"/>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8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We gather default equipment values from websites and literature to compile a comprehensive database of various tools with a wide range of specifications.</a:t>
          </a:r>
        </a:p>
      </xdr:txBody>
    </xdr:sp>
    <xdr:clientData/>
  </xdr:twoCellAnchor>
  <xdr:twoCellAnchor>
    <xdr:from>
      <xdr:col>24</xdr:col>
      <xdr:colOff>391654</xdr:colOff>
      <xdr:row>13</xdr:row>
      <xdr:rowOff>0</xdr:rowOff>
    </xdr:from>
    <xdr:to>
      <xdr:col>27</xdr:col>
      <xdr:colOff>416521</xdr:colOff>
      <xdr:row>15</xdr:row>
      <xdr:rowOff>110102</xdr:rowOff>
    </xdr:to>
    <xdr:sp macro="" textlink="">
      <xdr:nvSpPr>
        <xdr:cNvPr id="80" name="Rounded Rectangle 79">
          <a:extLst>
            <a:ext uri="{FF2B5EF4-FFF2-40B4-BE49-F238E27FC236}">
              <a16:creationId xmlns:a16="http://schemas.microsoft.com/office/drawing/2014/main" id="{0F00CEE7-6EF7-E546-91EF-E459DDB4B321}"/>
            </a:ext>
          </a:extLst>
        </xdr:cNvPr>
        <xdr:cNvSpPr/>
      </xdr:nvSpPr>
      <xdr:spPr>
        <a:xfrm>
          <a:off x="34313354" y="3378200"/>
          <a:ext cx="6285967" cy="745102"/>
        </a:xfrm>
        <a:prstGeom prst="roundRect">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Enter your process values to compare against values in literature</a:t>
          </a:r>
        </a:p>
      </xdr:txBody>
    </xdr:sp>
    <xdr:clientData/>
  </xdr:twoCellAnchor>
  <xdr:twoCellAnchor>
    <xdr:from>
      <xdr:col>24</xdr:col>
      <xdr:colOff>120952</xdr:colOff>
      <xdr:row>13</xdr:row>
      <xdr:rowOff>173033</xdr:rowOff>
    </xdr:from>
    <xdr:to>
      <xdr:col>24</xdr:col>
      <xdr:colOff>589216</xdr:colOff>
      <xdr:row>14</xdr:row>
      <xdr:rowOff>241905</xdr:rowOff>
    </xdr:to>
    <xdr:sp macro="" textlink="">
      <xdr:nvSpPr>
        <xdr:cNvPr id="81" name="Text Placeholder 1248">
          <a:extLst>
            <a:ext uri="{FF2B5EF4-FFF2-40B4-BE49-F238E27FC236}">
              <a16:creationId xmlns:a16="http://schemas.microsoft.com/office/drawing/2014/main" id="{8ADFDC6B-AF6E-E647-B5CC-5527E3B06E4E}"/>
            </a:ext>
          </a:extLst>
        </xdr:cNvPr>
        <xdr:cNvSpPr>
          <a:spLocks noGrp="1"/>
        </xdr:cNvSpPr>
      </xdr:nvSpPr>
      <xdr:spPr>
        <a:xfrm>
          <a:off x="34042652" y="3551233"/>
          <a:ext cx="468264" cy="449872"/>
        </a:xfrm>
        <a:prstGeom prst="ellipse">
          <a:avLst/>
        </a:prstGeom>
        <a:solidFill>
          <a:srgbClr val="FFC000">
            <a:lumMod val="60000"/>
            <a:lumOff val="40000"/>
          </a:srgbClr>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r>
            <a:rPr lang="en-US">
              <a:latin typeface="Arial" panose="020B0604020202020204" pitchFamily="34" charset="0"/>
              <a:cs typeface="Arial" panose="020B0604020202020204" pitchFamily="34" charset="0"/>
            </a:rPr>
            <a:t>1</a:t>
          </a:r>
        </a:p>
      </xdr:txBody>
    </xdr:sp>
    <xdr:clientData/>
  </xdr:twoCellAnchor>
  <xdr:twoCellAnchor>
    <xdr:from>
      <xdr:col>38</xdr:col>
      <xdr:colOff>50800</xdr:colOff>
      <xdr:row>39</xdr:row>
      <xdr:rowOff>33866</xdr:rowOff>
    </xdr:from>
    <xdr:to>
      <xdr:col>51</xdr:col>
      <xdr:colOff>513033</xdr:colOff>
      <xdr:row>42</xdr:row>
      <xdr:rowOff>121670</xdr:rowOff>
    </xdr:to>
    <xdr:sp macro="" textlink="">
      <xdr:nvSpPr>
        <xdr:cNvPr id="82" name="Rounded Rectangle 81">
          <a:extLst>
            <a:ext uri="{FF2B5EF4-FFF2-40B4-BE49-F238E27FC236}">
              <a16:creationId xmlns:a16="http://schemas.microsoft.com/office/drawing/2014/main" id="{F8F7D4FD-9451-5440-B984-31D7CEE961CF}"/>
            </a:ext>
          </a:extLst>
        </xdr:cNvPr>
        <xdr:cNvSpPr/>
      </xdr:nvSpPr>
      <xdr:spPr>
        <a:xfrm>
          <a:off x="53200300" y="10498666"/>
          <a:ext cx="12895533" cy="887904"/>
        </a:xfrm>
        <a:prstGeom prst="roundRect">
          <a:avLst>
            <a:gd name="adj" fmla="val 5000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a:ln>
                <a:noFill/>
              </a:ln>
              <a:solidFill>
                <a:schemeClr val="tx1"/>
              </a:solidFill>
              <a:effectLst/>
              <a:uLnTx/>
              <a:uFillTx/>
              <a:latin typeface="Arial" panose="020B0604020202020204" pitchFamily="34" charset="0"/>
              <a:ea typeface="+mn-ea"/>
              <a:cs typeface="Arial" panose="020B0604020202020204" pitchFamily="34" charset="0"/>
            </a:rPr>
            <a:t>Process time information found in the literature</a:t>
          </a:r>
        </a:p>
      </xdr:txBody>
    </xdr:sp>
    <xdr:clientData/>
  </xdr:twoCellAnchor>
  <xdr:twoCellAnchor>
    <xdr:from>
      <xdr:col>17</xdr:col>
      <xdr:colOff>0</xdr:colOff>
      <xdr:row>39</xdr:row>
      <xdr:rowOff>0</xdr:rowOff>
    </xdr:from>
    <xdr:to>
      <xdr:col>24</xdr:col>
      <xdr:colOff>3085981</xdr:colOff>
      <xdr:row>42</xdr:row>
      <xdr:rowOff>87804</xdr:rowOff>
    </xdr:to>
    <xdr:sp macro="" textlink="">
      <xdr:nvSpPr>
        <xdr:cNvPr id="83" name="Rounded Rectangle 82">
          <a:extLst>
            <a:ext uri="{FF2B5EF4-FFF2-40B4-BE49-F238E27FC236}">
              <a16:creationId xmlns:a16="http://schemas.microsoft.com/office/drawing/2014/main" id="{C079D43C-8705-7E4A-945C-02810404DFDE}"/>
            </a:ext>
          </a:extLst>
        </xdr:cNvPr>
        <xdr:cNvSpPr/>
      </xdr:nvSpPr>
      <xdr:spPr>
        <a:xfrm>
          <a:off x="25501600" y="10464800"/>
          <a:ext cx="11506081" cy="887904"/>
        </a:xfrm>
        <a:prstGeom prst="roundRect">
          <a:avLst>
            <a:gd name="adj" fmla="val 5000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Tools related to this precific process and their power and volume specifications</a:t>
          </a:r>
        </a:p>
      </xdr:txBody>
    </xdr:sp>
    <xdr:clientData/>
  </xdr:twoCellAnchor>
  <xdr:twoCellAnchor>
    <xdr:from>
      <xdr:col>25</xdr:col>
      <xdr:colOff>1358019</xdr:colOff>
      <xdr:row>24</xdr:row>
      <xdr:rowOff>100594</xdr:rowOff>
    </xdr:from>
    <xdr:to>
      <xdr:col>26</xdr:col>
      <xdr:colOff>406400</xdr:colOff>
      <xdr:row>26</xdr:row>
      <xdr:rowOff>177760</xdr:rowOff>
    </xdr:to>
    <xdr:sp macro="" textlink="">
      <xdr:nvSpPr>
        <xdr:cNvPr id="84" name="Text Placeholder 1248">
          <a:extLst>
            <a:ext uri="{FF2B5EF4-FFF2-40B4-BE49-F238E27FC236}">
              <a16:creationId xmlns:a16="http://schemas.microsoft.com/office/drawing/2014/main" id="{C194A6E0-022A-0E45-BB96-A0A5E22E6882}"/>
            </a:ext>
          </a:extLst>
        </xdr:cNvPr>
        <xdr:cNvSpPr>
          <a:spLocks noGrp="1"/>
        </xdr:cNvSpPr>
      </xdr:nvSpPr>
      <xdr:spPr>
        <a:xfrm>
          <a:off x="39153219" y="6475994"/>
          <a:ext cx="585081" cy="585166"/>
        </a:xfrm>
        <a:prstGeom prst="ellipse">
          <a:avLst/>
        </a:prstGeom>
        <a:solidFill>
          <a:srgbClr val="FFC000">
            <a:lumMod val="60000"/>
            <a:lumOff val="40000"/>
          </a:srgbClr>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r>
            <a:rPr lang="en-US">
              <a:latin typeface="Arial" panose="020B0604020202020204" pitchFamily="34" charset="0"/>
              <a:cs typeface="Arial" panose="020B0604020202020204" pitchFamily="34" charset="0"/>
            </a:rPr>
            <a:t>2</a:t>
          </a:r>
        </a:p>
      </xdr:txBody>
    </xdr:sp>
    <xdr:clientData/>
  </xdr:twoCellAnchor>
  <xdr:twoCellAnchor>
    <xdr:from>
      <xdr:col>25</xdr:col>
      <xdr:colOff>1358019</xdr:colOff>
      <xdr:row>28</xdr:row>
      <xdr:rowOff>100594</xdr:rowOff>
    </xdr:from>
    <xdr:to>
      <xdr:col>26</xdr:col>
      <xdr:colOff>406400</xdr:colOff>
      <xdr:row>30</xdr:row>
      <xdr:rowOff>177760</xdr:rowOff>
    </xdr:to>
    <xdr:sp macro="" textlink="">
      <xdr:nvSpPr>
        <xdr:cNvPr id="85" name="Text Placeholder 1248">
          <a:extLst>
            <a:ext uri="{FF2B5EF4-FFF2-40B4-BE49-F238E27FC236}">
              <a16:creationId xmlns:a16="http://schemas.microsoft.com/office/drawing/2014/main" id="{D09402AD-5708-864E-B115-38E75D87AD76}"/>
            </a:ext>
          </a:extLst>
        </xdr:cNvPr>
        <xdr:cNvSpPr>
          <a:spLocks noGrp="1"/>
        </xdr:cNvSpPr>
      </xdr:nvSpPr>
      <xdr:spPr>
        <a:xfrm>
          <a:off x="39153219" y="7771394"/>
          <a:ext cx="585081" cy="585166"/>
        </a:xfrm>
        <a:prstGeom prst="ellipse">
          <a:avLst/>
        </a:prstGeom>
        <a:solidFill>
          <a:srgbClr val="FFC000">
            <a:lumMod val="60000"/>
            <a:lumOff val="40000"/>
          </a:srgbClr>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r>
            <a:rPr lang="en-US">
              <a:latin typeface="Arial" panose="020B0604020202020204" pitchFamily="34" charset="0"/>
              <a:cs typeface="Arial" panose="020B0604020202020204" pitchFamily="34" charset="0"/>
            </a:rPr>
            <a:t>3</a:t>
          </a:r>
        </a:p>
      </xdr:txBody>
    </xdr:sp>
    <xdr:clientData/>
  </xdr:twoCellAnchor>
  <xdr:twoCellAnchor>
    <xdr:from>
      <xdr:col>26</xdr:col>
      <xdr:colOff>135467</xdr:colOff>
      <xdr:row>26</xdr:row>
      <xdr:rowOff>101601</xdr:rowOff>
    </xdr:from>
    <xdr:to>
      <xdr:col>29</xdr:col>
      <xdr:colOff>588567</xdr:colOff>
      <xdr:row>28</xdr:row>
      <xdr:rowOff>189405</xdr:rowOff>
    </xdr:to>
    <xdr:sp macro="" textlink="">
      <xdr:nvSpPr>
        <xdr:cNvPr id="86" name="Rounded Rectangle 85">
          <a:extLst>
            <a:ext uri="{FF2B5EF4-FFF2-40B4-BE49-F238E27FC236}">
              <a16:creationId xmlns:a16="http://schemas.microsoft.com/office/drawing/2014/main" id="{4CEF0EA9-86F6-D140-9B09-D08081D1EF04}"/>
            </a:ext>
          </a:extLst>
        </xdr:cNvPr>
        <xdr:cNvSpPr/>
      </xdr:nvSpPr>
      <xdr:spPr>
        <a:xfrm>
          <a:off x="39467367" y="6985001"/>
          <a:ext cx="3336000" cy="875204"/>
        </a:xfrm>
        <a:prstGeom prst="roundRect">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Enter your tool power rating to check range</a:t>
          </a:r>
        </a:p>
      </xdr:txBody>
    </xdr:sp>
    <xdr:clientData/>
  </xdr:twoCellAnchor>
  <xdr:twoCellAnchor>
    <xdr:from>
      <xdr:col>26</xdr:col>
      <xdr:colOff>0</xdr:colOff>
      <xdr:row>30</xdr:row>
      <xdr:rowOff>203200</xdr:rowOff>
    </xdr:from>
    <xdr:to>
      <xdr:col>29</xdr:col>
      <xdr:colOff>7119</xdr:colOff>
      <xdr:row>34</xdr:row>
      <xdr:rowOff>67864</xdr:rowOff>
    </xdr:to>
    <xdr:sp macro="" textlink="">
      <xdr:nvSpPr>
        <xdr:cNvPr id="87" name="Rounded Rectangle 86">
          <a:extLst>
            <a:ext uri="{FF2B5EF4-FFF2-40B4-BE49-F238E27FC236}">
              <a16:creationId xmlns:a16="http://schemas.microsoft.com/office/drawing/2014/main" id="{04CF1545-FF6A-5C4C-B1E8-E859CDD0B052}"/>
            </a:ext>
          </a:extLst>
        </xdr:cNvPr>
        <xdr:cNvSpPr/>
      </xdr:nvSpPr>
      <xdr:spPr>
        <a:xfrm>
          <a:off x="39331900" y="8382000"/>
          <a:ext cx="2890019" cy="880664"/>
        </a:xfrm>
        <a:prstGeom prst="roundRect">
          <a:avLst/>
        </a:prstGeom>
        <a:solidFill>
          <a:schemeClr val="accent5">
            <a:lumMod val="40000"/>
            <a:lumOff val="60000"/>
          </a:scheme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Calcualted based on process time and tool power rating(kW)</a:t>
          </a:r>
        </a:p>
      </xdr:txBody>
    </xdr:sp>
    <xdr:clientData/>
  </xdr:twoCellAnchor>
  <xdr:twoCellAnchor>
    <xdr:from>
      <xdr:col>33</xdr:col>
      <xdr:colOff>276377</xdr:colOff>
      <xdr:row>13</xdr:row>
      <xdr:rowOff>294519</xdr:rowOff>
    </xdr:from>
    <xdr:to>
      <xdr:col>40</xdr:col>
      <xdr:colOff>432695</xdr:colOff>
      <xdr:row>15</xdr:row>
      <xdr:rowOff>46141</xdr:rowOff>
    </xdr:to>
    <xdr:grpSp>
      <xdr:nvGrpSpPr>
        <xdr:cNvPr id="88" name="Group 87">
          <a:extLst>
            <a:ext uri="{FF2B5EF4-FFF2-40B4-BE49-F238E27FC236}">
              <a16:creationId xmlns:a16="http://schemas.microsoft.com/office/drawing/2014/main" id="{E91487CA-351D-5E45-A6C2-BC1955BC4DD3}"/>
            </a:ext>
          </a:extLst>
        </xdr:cNvPr>
        <xdr:cNvGrpSpPr/>
      </xdr:nvGrpSpPr>
      <xdr:grpSpPr>
        <a:xfrm>
          <a:off x="49363801" y="3623458"/>
          <a:ext cx="6506318" cy="386622"/>
          <a:chOff x="20803705" y="3035855"/>
          <a:chExt cx="6029371" cy="995751"/>
        </a:xfrm>
      </xdr:grpSpPr>
      <xdr:sp macro="" textlink="">
        <xdr:nvSpPr>
          <xdr:cNvPr id="89" name="Rounded Rectangle 88">
            <a:extLst>
              <a:ext uri="{FF2B5EF4-FFF2-40B4-BE49-F238E27FC236}">
                <a16:creationId xmlns:a16="http://schemas.microsoft.com/office/drawing/2014/main" id="{E039C1B3-D7F1-E3B8-903B-886790B75F00}"/>
              </a:ext>
            </a:extLst>
          </xdr:cNvPr>
          <xdr:cNvSpPr/>
        </xdr:nvSpPr>
        <xdr:spPr>
          <a:xfrm>
            <a:off x="20803705" y="3035855"/>
            <a:ext cx="6029371" cy="995751"/>
          </a:xfrm>
          <a:prstGeom prst="roundRect">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b"/>
          <a:lstStyle/>
          <a:p>
            <a:pPr algn="r"/>
            <a:r>
              <a:rPr lang="en-US" sz="2000" kern="1200">
                <a:latin typeface="Arial" panose="020B0604020202020204" pitchFamily="34" charset="0"/>
                <a:cs typeface="Arial" panose="020B0604020202020204" pitchFamily="34" charset="0"/>
              </a:rPr>
              <a:t>tool power rating overview</a:t>
            </a:r>
          </a:p>
        </xdr:txBody>
      </xdr:sp>
      <xdr:sp macro="" textlink="$E$19">
        <xdr:nvSpPr>
          <xdr:cNvPr id="90" name="TextBox 89">
            <a:extLst>
              <a:ext uri="{FF2B5EF4-FFF2-40B4-BE49-F238E27FC236}">
                <a16:creationId xmlns:a16="http://schemas.microsoft.com/office/drawing/2014/main" id="{3544F116-E863-A150-2507-13ACBA51AC24}"/>
              </a:ext>
            </a:extLst>
          </xdr:cNvPr>
          <xdr:cNvSpPr txBox="1"/>
        </xdr:nvSpPr>
        <xdr:spPr>
          <a:xfrm>
            <a:off x="20917443" y="3144274"/>
            <a:ext cx="2290048" cy="553647"/>
          </a:xfrm>
          <a:prstGeom prst="rect">
            <a:avLst/>
          </a:prstGeom>
          <a:solidFill>
            <a:srgbClr val="4DA72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A722FA6-ADBD-BF4A-B652-57345CB45E96}" type="TxLink">
              <a:rPr lang="en-US" sz="2000" b="0" i="0" u="none" strike="noStrike" kern="1200">
                <a:solidFill>
                  <a:schemeClr val="bg1"/>
                </a:solidFill>
                <a:latin typeface="Arial"/>
                <a:cs typeface="Arial"/>
              </a:rPr>
              <a:pPr/>
              <a:t> </a:t>
            </a:fld>
            <a:endParaRPr lang="en-US" sz="900" kern="1200">
              <a:solidFill>
                <a:schemeClr val="bg1"/>
              </a:solidFill>
            </a:endParaRPr>
          </a:p>
        </xdr:txBody>
      </xdr:sp>
    </xdr:grpSp>
    <xdr:clientData/>
  </xdr:twoCellAnchor>
  <xdr:twoCellAnchor>
    <xdr:from>
      <xdr:col>33</xdr:col>
      <xdr:colOff>750455</xdr:colOff>
      <xdr:row>16</xdr:row>
      <xdr:rowOff>129887</xdr:rowOff>
    </xdr:from>
    <xdr:to>
      <xdr:col>40</xdr:col>
      <xdr:colOff>341292</xdr:colOff>
      <xdr:row>30</xdr:row>
      <xdr:rowOff>63115</xdr:rowOff>
    </xdr:to>
    <xdr:graphicFrame macro="">
      <xdr:nvGraphicFramePr>
        <xdr:cNvPr id="91" name="Chart 90">
          <a:extLst>
            <a:ext uri="{FF2B5EF4-FFF2-40B4-BE49-F238E27FC236}">
              <a16:creationId xmlns:a16="http://schemas.microsoft.com/office/drawing/2014/main" id="{FED6FA8D-081E-B148-BFF7-06E257B112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33</xdr:col>
      <xdr:colOff>745507</xdr:colOff>
      <xdr:row>16</xdr:row>
      <xdr:rowOff>130711</xdr:rowOff>
    </xdr:from>
    <xdr:to>
      <xdr:col>40</xdr:col>
      <xdr:colOff>336344</xdr:colOff>
      <xdr:row>30</xdr:row>
      <xdr:rowOff>63939</xdr:rowOff>
    </xdr:to>
    <xdr:graphicFrame macro="">
      <xdr:nvGraphicFramePr>
        <xdr:cNvPr id="92" name="Chart 91">
          <a:extLst>
            <a:ext uri="{FF2B5EF4-FFF2-40B4-BE49-F238E27FC236}">
              <a16:creationId xmlns:a16="http://schemas.microsoft.com/office/drawing/2014/main" id="{2E8662E0-82BE-184C-8588-7D022C351C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35</xdr:col>
      <xdr:colOff>346364</xdr:colOff>
      <xdr:row>22</xdr:row>
      <xdr:rowOff>72159</xdr:rowOff>
    </xdr:from>
    <xdr:to>
      <xdr:col>37</xdr:col>
      <xdr:colOff>342318</xdr:colOff>
      <xdr:row>23</xdr:row>
      <xdr:rowOff>60863</xdr:rowOff>
    </xdr:to>
    <xdr:sp macro="" textlink="">
      <xdr:nvSpPr>
        <xdr:cNvPr id="93" name="TextBox 92">
          <a:extLst>
            <a:ext uri="{FF2B5EF4-FFF2-40B4-BE49-F238E27FC236}">
              <a16:creationId xmlns:a16="http://schemas.microsoft.com/office/drawing/2014/main" id="{4D08037D-DC89-8446-BA88-AFC68BDF4D26}"/>
            </a:ext>
          </a:extLst>
        </xdr:cNvPr>
        <xdr:cNvSpPr txBox="1"/>
      </xdr:nvSpPr>
      <xdr:spPr>
        <a:xfrm>
          <a:off x="51019364" y="5939559"/>
          <a:ext cx="1646954" cy="2427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600" b="0" i="0" u="none" strike="noStrike" kern="1200">
              <a:solidFill>
                <a:schemeClr val="tx1"/>
              </a:solidFill>
              <a:latin typeface="Arial"/>
              <a:ea typeface="+mn-ea"/>
              <a:cs typeface="Arial"/>
            </a:rPr>
            <a:t>LOW</a:t>
          </a:r>
        </a:p>
      </xdr:txBody>
    </xdr:sp>
    <xdr:clientData/>
  </xdr:twoCellAnchor>
  <xdr:twoCellAnchor>
    <xdr:from>
      <xdr:col>38</xdr:col>
      <xdr:colOff>227826</xdr:colOff>
      <xdr:row>22</xdr:row>
      <xdr:rowOff>95396</xdr:rowOff>
    </xdr:from>
    <xdr:to>
      <xdr:col>40</xdr:col>
      <xdr:colOff>203975</xdr:colOff>
      <xdr:row>23</xdr:row>
      <xdr:rowOff>84100</xdr:rowOff>
    </xdr:to>
    <xdr:sp macro="" textlink="">
      <xdr:nvSpPr>
        <xdr:cNvPr id="94" name="TextBox 93">
          <a:extLst>
            <a:ext uri="{FF2B5EF4-FFF2-40B4-BE49-F238E27FC236}">
              <a16:creationId xmlns:a16="http://schemas.microsoft.com/office/drawing/2014/main" id="{85A30BF6-29F6-2145-B271-499941C772F0}"/>
            </a:ext>
          </a:extLst>
        </xdr:cNvPr>
        <xdr:cNvSpPr txBox="1"/>
      </xdr:nvSpPr>
      <xdr:spPr>
        <a:xfrm>
          <a:off x="53377326" y="5962796"/>
          <a:ext cx="2185949" cy="2427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600" b="0" i="0" u="none" strike="noStrike" kern="1200">
              <a:solidFill>
                <a:schemeClr val="tx1"/>
              </a:solidFill>
              <a:latin typeface="Arial"/>
              <a:ea typeface="+mn-ea"/>
              <a:cs typeface="Arial"/>
            </a:rPr>
            <a:t>HIGH</a:t>
          </a:r>
        </a:p>
      </xdr:txBody>
    </xdr:sp>
    <xdr:clientData/>
  </xdr:twoCellAnchor>
  <xdr:twoCellAnchor>
    <xdr:from>
      <xdr:col>2</xdr:col>
      <xdr:colOff>1415748</xdr:colOff>
      <xdr:row>57</xdr:row>
      <xdr:rowOff>238479</xdr:rowOff>
    </xdr:from>
    <xdr:to>
      <xdr:col>5</xdr:col>
      <xdr:colOff>241905</xdr:colOff>
      <xdr:row>61</xdr:row>
      <xdr:rowOff>161271</xdr:rowOff>
    </xdr:to>
    <xdr:sp macro="" textlink="">
      <xdr:nvSpPr>
        <xdr:cNvPr id="95" name="Rounded Rectangle 94">
          <a:extLst>
            <a:ext uri="{FF2B5EF4-FFF2-40B4-BE49-F238E27FC236}">
              <a16:creationId xmlns:a16="http://schemas.microsoft.com/office/drawing/2014/main" id="{D6E45C2C-24A6-9449-8E64-2C8CB5272D26}"/>
            </a:ext>
          </a:extLst>
        </xdr:cNvPr>
        <xdr:cNvSpPr/>
      </xdr:nvSpPr>
      <xdr:spPr>
        <a:xfrm>
          <a:off x="7181548" y="15694379"/>
          <a:ext cx="5519057" cy="1002292"/>
        </a:xfrm>
        <a:prstGeom prst="roundRect">
          <a:avLst>
            <a:gd name="adj" fmla="val 30087"/>
          </a:avLst>
        </a:prstGeom>
        <a:noFill/>
        <a:ln w="57150" cap="flat" cmpd="sng" algn="ctr">
          <a:solidFill>
            <a:schemeClr val="accent5">
              <a:lumMod val="75000"/>
            </a:schemeClr>
          </a:solidFill>
          <a:prstDash val="solid"/>
        </a:ln>
        <a:effectLst/>
      </xdr:spPr>
      <xdr:txBody>
        <a:bodyPr vertOverflow="clip" horzOverflow="clip" rtlCol="0" anchor="ctr"/>
        <a:lstStyle/>
        <a:p>
          <a:pPr marL="0" marR="0" lvl="0" indent="0" algn="r" defTabSz="914400" eaLnBrk="1" fontAlgn="auto" latinLnBrk="0" hangingPunct="1">
            <a:lnSpc>
              <a:spcPct val="100000"/>
            </a:lnSpc>
            <a:spcBef>
              <a:spcPts val="0"/>
            </a:spcBef>
            <a:spcAft>
              <a:spcPts val="0"/>
            </a:spcAft>
            <a:buClrTx/>
            <a:buSzTx/>
            <a:buFontTx/>
            <a:buNone/>
            <a:tabLst/>
            <a:defRPr/>
          </a:pPr>
          <a:r>
            <a:rPr kumimoji="0" lang="en-US" sz="18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Average process time for selected process obtained from literature</a:t>
          </a:r>
        </a:p>
      </xdr:txBody>
    </xdr:sp>
    <xdr:clientData/>
  </xdr:twoCellAnchor>
  <xdr:twoCellAnchor>
    <xdr:from>
      <xdr:col>4</xdr:col>
      <xdr:colOff>1342089</xdr:colOff>
      <xdr:row>69</xdr:row>
      <xdr:rowOff>76208</xdr:rowOff>
    </xdr:from>
    <xdr:to>
      <xdr:col>6</xdr:col>
      <xdr:colOff>871997</xdr:colOff>
      <xdr:row>71</xdr:row>
      <xdr:rowOff>177808</xdr:rowOff>
    </xdr:to>
    <xdr:sp macro="" textlink="">
      <xdr:nvSpPr>
        <xdr:cNvPr id="96" name="Rounded Rectangle 95">
          <a:extLst>
            <a:ext uri="{FF2B5EF4-FFF2-40B4-BE49-F238E27FC236}">
              <a16:creationId xmlns:a16="http://schemas.microsoft.com/office/drawing/2014/main" id="{1D92F81D-7C81-224D-841F-50009933079A}"/>
            </a:ext>
          </a:extLst>
        </xdr:cNvPr>
        <xdr:cNvSpPr/>
      </xdr:nvSpPr>
      <xdr:spPr>
        <a:xfrm>
          <a:off x="11489389" y="18783308"/>
          <a:ext cx="4152708" cy="609600"/>
        </a:xfrm>
        <a:prstGeom prst="roundRect">
          <a:avLst>
            <a:gd name="adj" fmla="val 30087"/>
          </a:avLst>
        </a:prstGeom>
        <a:noFill/>
        <a:ln w="25400" cap="flat" cmpd="sng" algn="ctr">
          <a:solidFill>
            <a:schemeClr val="accent5">
              <a:lumMod val="75000"/>
            </a:schemeClr>
          </a:solidFill>
          <a:prstDash val="solid"/>
        </a:ln>
        <a:effectLst/>
      </xdr:spPr>
      <xdr:txBody>
        <a:bodyPr vertOverflow="clip" horzOverflow="clip" rtlCol="0" anchor="ctr"/>
        <a:lstStyle/>
        <a:p>
          <a:pPr marL="0" marR="0" lvl="0" indent="0" algn="r" defTabSz="914400" eaLnBrk="1" fontAlgn="auto" latinLnBrk="0" hangingPunct="1">
            <a:lnSpc>
              <a:spcPct val="100000"/>
            </a:lnSpc>
            <a:spcBef>
              <a:spcPts val="0"/>
            </a:spcBef>
            <a:spcAft>
              <a:spcPts val="0"/>
            </a:spcAft>
            <a:buClrTx/>
            <a:buSzTx/>
            <a:buFontTx/>
            <a:buNone/>
            <a:tabLst/>
            <a:defRPr/>
          </a:pPr>
          <a:r>
            <a:rPr lang="en-US" sz="1400" b="1" i="0" u="none" strike="noStrike">
              <a:effectLst/>
              <a:latin typeface="+mn-lt"/>
              <a:ea typeface="+mn-ea"/>
              <a:cs typeface="+mn-cs"/>
            </a:rPr>
            <a:t>kW/kg</a:t>
          </a:r>
          <a:r>
            <a:rPr lang="en-US" sz="1400" b="1" i="0" u="none" strike="noStrike" baseline="0">
              <a:effectLst/>
              <a:latin typeface="+mn-lt"/>
              <a:ea typeface="+mn-ea"/>
              <a:cs typeface="+mn-cs"/>
            </a:rPr>
            <a:t> </a:t>
          </a:r>
          <a:r>
            <a:rPr lang="en-US" sz="1400" b="1" i="0" u="none" strike="noStrike">
              <a:effectLst/>
              <a:latin typeface="+mn-lt"/>
              <a:ea typeface="+mn-ea"/>
              <a:cs typeface="+mn-cs"/>
            </a:rPr>
            <a:t>Value obtained</a:t>
          </a:r>
          <a:r>
            <a:rPr lang="en-US" sz="1400" b="1" i="0" u="none" strike="noStrike" baseline="0">
              <a:effectLst/>
              <a:latin typeface="+mn-lt"/>
              <a:ea typeface="+mn-ea"/>
              <a:cs typeface="+mn-cs"/>
            </a:rPr>
            <a:t> </a:t>
          </a:r>
          <a:r>
            <a:rPr lang="en-US" sz="1400" b="1" i="0" u="none" strike="noStrike">
              <a:effectLst/>
              <a:latin typeface="+mn-lt"/>
              <a:ea typeface="+mn-ea"/>
              <a:cs typeface="+mn-cs"/>
            </a:rPr>
            <a:t>based on literature</a:t>
          </a:r>
          <a:r>
            <a:rPr lang="en-US" sz="1800" b="1"/>
            <a:t> </a:t>
          </a:r>
          <a:endParaRPr kumimoji="0" lang="en-US" sz="18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endParaRPr>
        </a:p>
      </xdr:txBody>
    </xdr:sp>
    <xdr:clientData/>
  </xdr:twoCellAnchor>
  <xdr:twoCellAnchor>
    <xdr:from>
      <xdr:col>4</xdr:col>
      <xdr:colOff>872096</xdr:colOff>
      <xdr:row>94</xdr:row>
      <xdr:rowOff>120890</xdr:rowOff>
    </xdr:from>
    <xdr:to>
      <xdr:col>7</xdr:col>
      <xdr:colOff>227016</xdr:colOff>
      <xdr:row>98</xdr:row>
      <xdr:rowOff>254261</xdr:rowOff>
    </xdr:to>
    <xdr:sp macro="" textlink="">
      <xdr:nvSpPr>
        <xdr:cNvPr id="97" name="Rounded Rectangle 96">
          <a:extLst>
            <a:ext uri="{FF2B5EF4-FFF2-40B4-BE49-F238E27FC236}">
              <a16:creationId xmlns:a16="http://schemas.microsoft.com/office/drawing/2014/main" id="{48BB269A-C3C0-0C48-8D85-D44C1CB477DB}"/>
            </a:ext>
          </a:extLst>
        </xdr:cNvPr>
        <xdr:cNvSpPr/>
      </xdr:nvSpPr>
      <xdr:spPr>
        <a:xfrm>
          <a:off x="11019396" y="25025590"/>
          <a:ext cx="6314520" cy="1162071"/>
        </a:xfrm>
        <a:prstGeom prst="roundRect">
          <a:avLst>
            <a:gd name="adj" fmla="val 30087"/>
          </a:avLst>
        </a:prstGeom>
        <a:noFill/>
        <a:ln w="25400" cap="flat" cmpd="sng" algn="ctr">
          <a:solidFill>
            <a:schemeClr val="accent5">
              <a:lumMod val="75000"/>
            </a:schemeClr>
          </a:solidFill>
          <a:prstDash val="solid"/>
        </a:ln>
        <a:effectLst/>
      </xdr:spPr>
      <xdr:txBody>
        <a:bodyPr vertOverflow="clip" horzOverflow="clip" rtlCol="0" anchor="ctr"/>
        <a:lstStyle/>
        <a:p>
          <a:pPr marL="0" marR="0" lvl="0" indent="0" algn="r" defTabSz="914400" eaLnBrk="1" fontAlgn="auto" latinLnBrk="0" hangingPunct="1">
            <a:lnSpc>
              <a:spcPct val="100000"/>
            </a:lnSpc>
            <a:spcBef>
              <a:spcPts val="0"/>
            </a:spcBef>
            <a:spcAft>
              <a:spcPts val="0"/>
            </a:spcAft>
            <a:buClrTx/>
            <a:buSzTx/>
            <a:buFontTx/>
            <a:buNone/>
            <a:tabLst/>
            <a:defRPr/>
          </a:pPr>
          <a:endParaRPr lang="en-US" sz="1400" b="0" i="0" u="none" strike="noStrike">
            <a:effectLst/>
            <a:latin typeface="+mn-lt"/>
            <a:ea typeface="+mn-ea"/>
            <a:cs typeface="+mn-cs"/>
          </a:endParaRPr>
        </a:p>
        <a:p>
          <a:pPr marL="0" marR="0" lvl="0" indent="0" algn="r" defTabSz="914400" eaLnBrk="1" fontAlgn="auto" latinLnBrk="0" hangingPunct="1">
            <a:lnSpc>
              <a:spcPct val="100000"/>
            </a:lnSpc>
            <a:spcBef>
              <a:spcPts val="0"/>
            </a:spcBef>
            <a:spcAft>
              <a:spcPts val="0"/>
            </a:spcAft>
            <a:buClrTx/>
            <a:buSzTx/>
            <a:buFontTx/>
            <a:buNone/>
            <a:tabLst/>
            <a:defRPr/>
          </a:pPr>
          <a:r>
            <a:rPr lang="en-US" sz="1400" b="0" i="0" u="none" strike="noStrike">
              <a:effectLst/>
              <a:latin typeface="+mn-lt"/>
              <a:ea typeface="+mn-ea"/>
              <a:cs typeface="+mn-cs"/>
            </a:rPr>
            <a:t>As we</a:t>
          </a:r>
          <a:r>
            <a:rPr lang="en-US" sz="1400" b="0" i="0" u="none" strike="noStrike" baseline="0">
              <a:effectLst/>
              <a:latin typeface="+mn-lt"/>
              <a:ea typeface="+mn-ea"/>
              <a:cs typeface="+mn-cs"/>
            </a:rPr>
            <a:t> calculated energy per kg of material process, we are keeping the eqipment volume to accomodate 1L with 80% utilization volume, which requires total volume</a:t>
          </a:r>
        </a:p>
      </xdr:txBody>
    </xdr:sp>
    <xdr:clientData/>
  </xdr:twoCellAnchor>
  <xdr:twoCellAnchor>
    <xdr:from>
      <xdr:col>20</xdr:col>
      <xdr:colOff>660400</xdr:colOff>
      <xdr:row>19</xdr:row>
      <xdr:rowOff>237067</xdr:rowOff>
    </xdr:from>
    <xdr:to>
      <xdr:col>23</xdr:col>
      <xdr:colOff>769119</xdr:colOff>
      <xdr:row>23</xdr:row>
      <xdr:rowOff>101731</xdr:rowOff>
    </xdr:to>
    <xdr:sp macro="" textlink="">
      <xdr:nvSpPr>
        <xdr:cNvPr id="98" name="Rounded Rectangle 97">
          <a:extLst>
            <a:ext uri="{FF2B5EF4-FFF2-40B4-BE49-F238E27FC236}">
              <a16:creationId xmlns:a16="http://schemas.microsoft.com/office/drawing/2014/main" id="{CF998415-19B3-3C4D-8749-17A1C3FCC73A}"/>
            </a:ext>
          </a:extLst>
        </xdr:cNvPr>
        <xdr:cNvSpPr/>
      </xdr:nvSpPr>
      <xdr:spPr>
        <a:xfrm>
          <a:off x="30988000" y="5342467"/>
          <a:ext cx="2864619" cy="880664"/>
        </a:xfrm>
        <a:prstGeom prst="roundRect">
          <a:avLst/>
        </a:prstGeom>
        <a:solidFill>
          <a:schemeClr val="accent5">
            <a:lumMod val="40000"/>
            <a:lumOff val="60000"/>
          </a:scheme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Note: Unitilized volume is 80% of the total volume of the equipment</a:t>
          </a:r>
        </a:p>
      </xdr:txBody>
    </xdr:sp>
    <xdr:clientData/>
  </xdr:twoCellAnchor>
  <xdr:twoCellAnchor editAs="oneCell">
    <xdr:from>
      <xdr:col>6</xdr:col>
      <xdr:colOff>337165</xdr:colOff>
      <xdr:row>35</xdr:row>
      <xdr:rowOff>147673</xdr:rowOff>
    </xdr:from>
    <xdr:to>
      <xdr:col>12</xdr:col>
      <xdr:colOff>204983</xdr:colOff>
      <xdr:row>61</xdr:row>
      <xdr:rowOff>177210</xdr:rowOff>
    </xdr:to>
    <xdr:pic>
      <xdr:nvPicPr>
        <xdr:cNvPr id="99" name="Picture 98">
          <a:extLst>
            <a:ext uri="{FF2B5EF4-FFF2-40B4-BE49-F238E27FC236}">
              <a16:creationId xmlns:a16="http://schemas.microsoft.com/office/drawing/2014/main" id="{112BF48D-246A-F940-A03C-9A69257BF4C3}"/>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5107265" y="9596473"/>
          <a:ext cx="6471818" cy="71161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2</xdr:col>
      <xdr:colOff>888320</xdr:colOff>
      <xdr:row>12</xdr:row>
      <xdr:rowOff>96539</xdr:rowOff>
    </xdr:from>
    <xdr:to>
      <xdr:col>3</xdr:col>
      <xdr:colOff>1731513</xdr:colOff>
      <xdr:row>14</xdr:row>
      <xdr:rowOff>126369</xdr:rowOff>
    </xdr:to>
    <xdr:sp macro="" textlink="">
      <xdr:nvSpPr>
        <xdr:cNvPr id="2" name="Rounded Rectangle 1">
          <a:extLst>
            <a:ext uri="{FF2B5EF4-FFF2-40B4-BE49-F238E27FC236}">
              <a16:creationId xmlns:a16="http://schemas.microsoft.com/office/drawing/2014/main" id="{4D92D62B-1F99-3148-807B-006EAAA40AC5}"/>
            </a:ext>
          </a:extLst>
        </xdr:cNvPr>
        <xdr:cNvSpPr/>
      </xdr:nvSpPr>
      <xdr:spPr>
        <a:xfrm>
          <a:off x="6654120" y="3220739"/>
          <a:ext cx="2913293" cy="664830"/>
        </a:xfrm>
        <a:prstGeom prst="roundRect">
          <a:avLst>
            <a:gd name="adj" fmla="val 46754"/>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&lt; Enter Process Name</a:t>
          </a:r>
        </a:p>
      </xdr:txBody>
    </xdr:sp>
    <xdr:clientData/>
  </xdr:twoCellAnchor>
  <xdr:twoCellAnchor>
    <xdr:from>
      <xdr:col>0</xdr:col>
      <xdr:colOff>272199</xdr:colOff>
      <xdr:row>0</xdr:row>
      <xdr:rowOff>2</xdr:rowOff>
    </xdr:from>
    <xdr:to>
      <xdr:col>14</xdr:col>
      <xdr:colOff>12701</xdr:colOff>
      <xdr:row>4</xdr:row>
      <xdr:rowOff>0</xdr:rowOff>
    </xdr:to>
    <xdr:sp macro="" textlink="">
      <xdr:nvSpPr>
        <xdr:cNvPr id="3" name="Title">
          <a:extLst>
            <a:ext uri="{FF2B5EF4-FFF2-40B4-BE49-F238E27FC236}">
              <a16:creationId xmlns:a16="http://schemas.microsoft.com/office/drawing/2014/main" id="{B0FD2F84-842F-C846-A38D-85233D81FBA0}"/>
            </a:ext>
          </a:extLst>
        </xdr:cNvPr>
        <xdr:cNvSpPr/>
      </xdr:nvSpPr>
      <xdr:spPr>
        <a:xfrm>
          <a:off x="272199" y="2"/>
          <a:ext cx="22765602" cy="1092198"/>
        </a:xfrm>
        <a:prstGeom prst="rect">
          <a:avLst/>
        </a:prstGeom>
        <a:solidFill>
          <a:srgbClr val="004F4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4000"/>
        </a:p>
      </xdr:txBody>
    </xdr:sp>
    <xdr:clientData/>
  </xdr:twoCellAnchor>
  <xdr:twoCellAnchor>
    <xdr:from>
      <xdr:col>0</xdr:col>
      <xdr:colOff>0</xdr:colOff>
      <xdr:row>0</xdr:row>
      <xdr:rowOff>0</xdr:rowOff>
    </xdr:from>
    <xdr:to>
      <xdr:col>0</xdr:col>
      <xdr:colOff>304800</xdr:colOff>
      <xdr:row>4</xdr:row>
      <xdr:rowOff>0</xdr:rowOff>
    </xdr:to>
    <xdr:sp macro="" textlink="">
      <xdr:nvSpPr>
        <xdr:cNvPr id="4" name="_Yellow">
          <a:extLst>
            <a:ext uri="{FF2B5EF4-FFF2-40B4-BE49-F238E27FC236}">
              <a16:creationId xmlns:a16="http://schemas.microsoft.com/office/drawing/2014/main" id="{D674DBBF-90D0-A24C-9189-9167A439AC28}"/>
            </a:ext>
          </a:extLst>
        </xdr:cNvPr>
        <xdr:cNvSpPr/>
      </xdr:nvSpPr>
      <xdr:spPr>
        <a:xfrm>
          <a:off x="0" y="0"/>
          <a:ext cx="304800" cy="1092200"/>
        </a:xfrm>
        <a:prstGeom prst="rect">
          <a:avLst/>
        </a:prstGeom>
        <a:solidFill>
          <a:srgbClr val="FFCD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editAs="oneCell">
    <xdr:from>
      <xdr:col>12</xdr:col>
      <xdr:colOff>429694</xdr:colOff>
      <xdr:row>0</xdr:row>
      <xdr:rowOff>0</xdr:rowOff>
    </xdr:from>
    <xdr:to>
      <xdr:col>14</xdr:col>
      <xdr:colOff>32784</xdr:colOff>
      <xdr:row>4</xdr:row>
      <xdr:rowOff>54738</xdr:rowOff>
    </xdr:to>
    <xdr:pic>
      <xdr:nvPicPr>
        <xdr:cNvPr id="5" name="Clarkson Logo" descr="A logo with white text and black background&#10;&#10;Description automatically generated">
          <a:extLst>
            <a:ext uri="{FF2B5EF4-FFF2-40B4-BE49-F238E27FC236}">
              <a16:creationId xmlns:a16="http://schemas.microsoft.com/office/drawing/2014/main" id="{D8F11DA2-80E9-0F48-8AE9-B410BFC40F06}"/>
            </a:ext>
          </a:extLst>
        </xdr:cNvPr>
        <xdr:cNvPicPr>
          <a:picLocks noChangeAspect="1"/>
        </xdr:cNvPicPr>
      </xdr:nvPicPr>
      <xdr:blipFill>
        <a:blip xmlns:r="http://schemas.openxmlformats.org/officeDocument/2006/relationships" r:embed="rId1">
          <a:alphaModFix amt="50000"/>
        </a:blip>
        <a:stretch>
          <a:fillRect/>
        </a:stretch>
      </xdr:blipFill>
      <xdr:spPr>
        <a:xfrm>
          <a:off x="21803794" y="0"/>
          <a:ext cx="1254090" cy="1146938"/>
        </a:xfrm>
        <a:prstGeom prst="rect">
          <a:avLst/>
        </a:prstGeom>
      </xdr:spPr>
    </xdr:pic>
    <xdr:clientData/>
  </xdr:twoCellAnchor>
  <xdr:twoCellAnchor>
    <xdr:from>
      <xdr:col>0</xdr:col>
      <xdr:colOff>490909</xdr:colOff>
      <xdr:row>0</xdr:row>
      <xdr:rowOff>189722</xdr:rowOff>
    </xdr:from>
    <xdr:to>
      <xdr:col>13</xdr:col>
      <xdr:colOff>479581</xdr:colOff>
      <xdr:row>3</xdr:row>
      <xdr:rowOff>168759</xdr:rowOff>
    </xdr:to>
    <xdr:sp macro="" textlink="">
      <xdr:nvSpPr>
        <xdr:cNvPr id="6" name="CO2 eq Framework">
          <a:extLst>
            <a:ext uri="{FF2B5EF4-FFF2-40B4-BE49-F238E27FC236}">
              <a16:creationId xmlns:a16="http://schemas.microsoft.com/office/drawing/2014/main" id="{773C6059-338E-224B-BE2E-2CA8966BBF00}"/>
            </a:ext>
          </a:extLst>
        </xdr:cNvPr>
        <xdr:cNvSpPr txBox="1"/>
      </xdr:nvSpPr>
      <xdr:spPr>
        <a:xfrm>
          <a:off x="490909" y="189722"/>
          <a:ext cx="22188272" cy="741037"/>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4400">
              <a:solidFill>
                <a:schemeClr val="bg1"/>
              </a:solidFill>
              <a:latin typeface="Arial" panose="020B0604020202020204" pitchFamily="34" charset="0"/>
              <a:cs typeface="Arial" panose="020B0604020202020204" pitchFamily="34" charset="0"/>
            </a:rPr>
            <a:t>Ceria Particle Synthesis Inventory Data Entry</a:t>
          </a:r>
        </a:p>
      </xdr:txBody>
    </xdr:sp>
    <xdr:clientData/>
  </xdr:twoCellAnchor>
  <xdr:twoCellAnchor>
    <xdr:from>
      <xdr:col>0</xdr:col>
      <xdr:colOff>53287</xdr:colOff>
      <xdr:row>8</xdr:row>
      <xdr:rowOff>146094</xdr:rowOff>
    </xdr:from>
    <xdr:to>
      <xdr:col>3</xdr:col>
      <xdr:colOff>1110140</xdr:colOff>
      <xdr:row>11</xdr:row>
      <xdr:rowOff>228600</xdr:rowOff>
    </xdr:to>
    <xdr:sp macro="" textlink="">
      <xdr:nvSpPr>
        <xdr:cNvPr id="7" name="Rounded Rectangle 6">
          <a:extLst>
            <a:ext uri="{FF2B5EF4-FFF2-40B4-BE49-F238E27FC236}">
              <a16:creationId xmlns:a16="http://schemas.microsoft.com/office/drawing/2014/main" id="{D6E98576-7D11-024F-A291-4F113A533B72}"/>
            </a:ext>
          </a:extLst>
        </xdr:cNvPr>
        <xdr:cNvSpPr/>
      </xdr:nvSpPr>
      <xdr:spPr>
        <a:xfrm>
          <a:off x="53287" y="2254294"/>
          <a:ext cx="8892753" cy="844506"/>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Process Information</a:t>
          </a:r>
        </a:p>
      </xdr:txBody>
    </xdr:sp>
    <xdr:clientData/>
  </xdr:twoCellAnchor>
  <xdr:twoCellAnchor>
    <xdr:from>
      <xdr:col>0</xdr:col>
      <xdr:colOff>110321</xdr:colOff>
      <xdr:row>4</xdr:row>
      <xdr:rowOff>97691</xdr:rowOff>
    </xdr:from>
    <xdr:to>
      <xdr:col>0</xdr:col>
      <xdr:colOff>2944702</xdr:colOff>
      <xdr:row>6</xdr:row>
      <xdr:rowOff>108260</xdr:rowOff>
    </xdr:to>
    <xdr:sp macro="" textlink="">
      <xdr:nvSpPr>
        <xdr:cNvPr id="8" name="Rounded Rectangle 7" descr="Navigation button for Start worksheet">
          <a:hlinkClick xmlns:r="http://schemas.openxmlformats.org/officeDocument/2006/relationships" r:id="rId2"/>
          <a:extLst>
            <a:ext uri="{FF2B5EF4-FFF2-40B4-BE49-F238E27FC236}">
              <a16:creationId xmlns:a16="http://schemas.microsoft.com/office/drawing/2014/main" id="{E71C7FC1-4230-234E-AD51-F2A8A2B71C08}"/>
            </a:ext>
          </a:extLst>
        </xdr:cNvPr>
        <xdr:cNvSpPr/>
      </xdr:nvSpPr>
      <xdr:spPr>
        <a:xfrm>
          <a:off x="110321" y="1189891"/>
          <a:ext cx="2834381" cy="518569"/>
        </a:xfrm>
        <a:prstGeom prst="roundRect">
          <a:avLst>
            <a:gd name="adj" fmla="val 5000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&lt; Start</a:t>
          </a:r>
        </a:p>
      </xdr:txBody>
    </xdr:sp>
    <xdr:clientData/>
  </xdr:twoCellAnchor>
  <xdr:twoCellAnchor>
    <xdr:from>
      <xdr:col>10</xdr:col>
      <xdr:colOff>586612</xdr:colOff>
      <xdr:row>4</xdr:row>
      <xdr:rowOff>130445</xdr:rowOff>
    </xdr:from>
    <xdr:to>
      <xdr:col>13</xdr:col>
      <xdr:colOff>763080</xdr:colOff>
      <xdr:row>6</xdr:row>
      <xdr:rowOff>141014</xdr:rowOff>
    </xdr:to>
    <xdr:sp macro="" textlink="">
      <xdr:nvSpPr>
        <xdr:cNvPr id="9" name="Rounded Rectangle 8" descr="Navigation button for Inventory pick list worksheet">
          <a:hlinkClick xmlns:r="http://schemas.openxmlformats.org/officeDocument/2006/relationships" r:id="rId3"/>
          <a:extLst>
            <a:ext uri="{FF2B5EF4-FFF2-40B4-BE49-F238E27FC236}">
              <a16:creationId xmlns:a16="http://schemas.microsoft.com/office/drawing/2014/main" id="{77D10D3B-20B2-BD4C-B815-D22DE9F2D65E}"/>
            </a:ext>
          </a:extLst>
        </xdr:cNvPr>
        <xdr:cNvSpPr/>
      </xdr:nvSpPr>
      <xdr:spPr>
        <a:xfrm>
          <a:off x="20309712" y="1222645"/>
          <a:ext cx="2652968" cy="518569"/>
        </a:xfrm>
        <a:prstGeom prst="roundRect">
          <a:avLst>
            <a:gd name="adj" fmla="val 5000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Process Overview</a:t>
          </a:r>
        </a:p>
      </xdr:txBody>
    </xdr:sp>
    <xdr:clientData/>
  </xdr:twoCellAnchor>
  <xdr:twoCellAnchor>
    <xdr:from>
      <xdr:col>0</xdr:col>
      <xdr:colOff>53287</xdr:colOff>
      <xdr:row>15</xdr:row>
      <xdr:rowOff>262608</xdr:rowOff>
    </xdr:from>
    <xdr:to>
      <xdr:col>2</xdr:col>
      <xdr:colOff>1223395</xdr:colOff>
      <xdr:row>19</xdr:row>
      <xdr:rowOff>3612</xdr:rowOff>
    </xdr:to>
    <xdr:sp macro="" textlink="">
      <xdr:nvSpPr>
        <xdr:cNvPr id="10" name="Rounded Rectangle 9">
          <a:extLst>
            <a:ext uri="{FF2B5EF4-FFF2-40B4-BE49-F238E27FC236}">
              <a16:creationId xmlns:a16="http://schemas.microsoft.com/office/drawing/2014/main" id="{B2D5F63A-5FED-D144-A4D8-722AC8661A57}"/>
            </a:ext>
          </a:extLst>
        </xdr:cNvPr>
        <xdr:cNvSpPr/>
      </xdr:nvSpPr>
      <xdr:spPr>
        <a:xfrm>
          <a:off x="53287" y="4263108"/>
          <a:ext cx="6935908" cy="845904"/>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20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Input Materials</a:t>
          </a:r>
        </a:p>
      </xdr:txBody>
    </xdr:sp>
    <xdr:clientData/>
  </xdr:twoCellAnchor>
  <xdr:twoCellAnchor>
    <xdr:from>
      <xdr:col>0</xdr:col>
      <xdr:colOff>53287</xdr:colOff>
      <xdr:row>19</xdr:row>
      <xdr:rowOff>138636</xdr:rowOff>
    </xdr:from>
    <xdr:to>
      <xdr:col>1</xdr:col>
      <xdr:colOff>1584588</xdr:colOff>
      <xdr:row>22</xdr:row>
      <xdr:rowOff>203199</xdr:rowOff>
    </xdr:to>
    <xdr:sp macro="" textlink="">
      <xdr:nvSpPr>
        <xdr:cNvPr id="11" name="Rounded Rectangle 10">
          <a:hlinkClick xmlns:r="http://schemas.openxmlformats.org/officeDocument/2006/relationships" r:id="rId4"/>
          <a:extLst>
            <a:ext uri="{FF2B5EF4-FFF2-40B4-BE49-F238E27FC236}">
              <a16:creationId xmlns:a16="http://schemas.microsoft.com/office/drawing/2014/main" id="{F3834798-7B72-D045-B952-DD42B18F78EA}"/>
            </a:ext>
          </a:extLst>
        </xdr:cNvPr>
        <xdr:cNvSpPr/>
      </xdr:nvSpPr>
      <xdr:spPr>
        <a:xfrm>
          <a:off x="53287" y="5244036"/>
          <a:ext cx="5201601" cy="826563"/>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1.1 Precursor Materials(Click here add additional chemicals)</a:t>
          </a:r>
        </a:p>
      </xdr:txBody>
    </xdr:sp>
    <xdr:clientData/>
  </xdr:twoCellAnchor>
  <xdr:twoCellAnchor>
    <xdr:from>
      <xdr:col>2</xdr:col>
      <xdr:colOff>1582625</xdr:colOff>
      <xdr:row>22</xdr:row>
      <xdr:rowOff>254117</xdr:rowOff>
    </xdr:from>
    <xdr:to>
      <xdr:col>4</xdr:col>
      <xdr:colOff>114418</xdr:colOff>
      <xdr:row>26</xdr:row>
      <xdr:rowOff>141797</xdr:rowOff>
    </xdr:to>
    <xdr:sp macro="" textlink="">
      <xdr:nvSpPr>
        <xdr:cNvPr id="12" name="Rounded Rectangle 11">
          <a:extLst>
            <a:ext uri="{FF2B5EF4-FFF2-40B4-BE49-F238E27FC236}">
              <a16:creationId xmlns:a16="http://schemas.microsoft.com/office/drawing/2014/main" id="{947D83C2-0C77-7747-A405-FB2F265C6BC5}"/>
            </a:ext>
          </a:extLst>
        </xdr:cNvPr>
        <xdr:cNvSpPr/>
      </xdr:nvSpPr>
      <xdr:spPr>
        <a:xfrm>
          <a:off x="7348425" y="6121517"/>
          <a:ext cx="2913293" cy="903680"/>
        </a:xfrm>
        <a:prstGeom prst="roundRect">
          <a:avLst>
            <a:gd name="adj" fmla="val 46754"/>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Enter Amount of Precursor Used in this process </a:t>
          </a:r>
          <a:r>
            <a:rPr lang="en-US" sz="1400" b="0" i="0" u="none" strike="noStrike">
              <a:effectLst/>
              <a:latin typeface="Arial" panose="020B0604020202020204" pitchFamily="34" charset="0"/>
              <a:ea typeface="+mn-ea"/>
              <a:cs typeface="Arial" panose="020B0604020202020204" pitchFamily="34" charset="0"/>
            </a:rPr>
            <a:t>↓</a:t>
          </a:r>
          <a:endPar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endParaRPr>
        </a:p>
      </xdr:txBody>
    </xdr:sp>
    <xdr:clientData/>
  </xdr:twoCellAnchor>
  <xdr:twoCellAnchor>
    <xdr:from>
      <xdr:col>7</xdr:col>
      <xdr:colOff>187538</xdr:colOff>
      <xdr:row>27</xdr:row>
      <xdr:rowOff>37947</xdr:rowOff>
    </xdr:from>
    <xdr:to>
      <xdr:col>10</xdr:col>
      <xdr:colOff>517339</xdr:colOff>
      <xdr:row>29</xdr:row>
      <xdr:rowOff>204822</xdr:rowOff>
    </xdr:to>
    <xdr:sp macro="" textlink="">
      <xdr:nvSpPr>
        <xdr:cNvPr id="13" name="Rounded Rectangle 12">
          <a:hlinkClick xmlns:r="http://schemas.openxmlformats.org/officeDocument/2006/relationships" r:id="rId4"/>
          <a:extLst>
            <a:ext uri="{FF2B5EF4-FFF2-40B4-BE49-F238E27FC236}">
              <a16:creationId xmlns:a16="http://schemas.microsoft.com/office/drawing/2014/main" id="{B38FF5B0-DB3E-4D4A-8018-52E673690FC2}"/>
            </a:ext>
          </a:extLst>
        </xdr:cNvPr>
        <xdr:cNvSpPr/>
      </xdr:nvSpPr>
      <xdr:spPr>
        <a:xfrm>
          <a:off x="17294438" y="7175347"/>
          <a:ext cx="2946001" cy="954275"/>
        </a:xfrm>
        <a:prstGeom prst="roundRect">
          <a:avLst>
            <a:gd name="adj" fmla="val 24141"/>
          </a:avLst>
        </a:prstGeom>
        <a:solidFill>
          <a:schemeClr val="accent5">
            <a:lumMod val="40000"/>
            <a:lumOff val="60000"/>
          </a:scheme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Theoretical Amount of Product obtained is calcuated based on Molar mass and ratios</a:t>
          </a:r>
        </a:p>
      </xdr:txBody>
    </xdr:sp>
    <xdr:clientData/>
  </xdr:twoCellAnchor>
  <xdr:twoCellAnchor>
    <xdr:from>
      <xdr:col>0</xdr:col>
      <xdr:colOff>53287</xdr:colOff>
      <xdr:row>31</xdr:row>
      <xdr:rowOff>240237</xdr:rowOff>
    </xdr:from>
    <xdr:to>
      <xdr:col>0</xdr:col>
      <xdr:colOff>2870200</xdr:colOff>
      <xdr:row>34</xdr:row>
      <xdr:rowOff>12817</xdr:rowOff>
    </xdr:to>
    <xdr:sp macro="" textlink="">
      <xdr:nvSpPr>
        <xdr:cNvPr id="14" name="Rounded Rectangle 13">
          <a:extLst>
            <a:ext uri="{FF2B5EF4-FFF2-40B4-BE49-F238E27FC236}">
              <a16:creationId xmlns:a16="http://schemas.microsoft.com/office/drawing/2014/main" id="{FEBF1EAA-FA17-0346-96D4-E282DA32D2E0}"/>
            </a:ext>
          </a:extLst>
        </xdr:cNvPr>
        <xdr:cNvSpPr/>
      </xdr:nvSpPr>
      <xdr:spPr>
        <a:xfrm>
          <a:off x="53287" y="8673037"/>
          <a:ext cx="2816913" cy="534580"/>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1.2 Solvents</a:t>
          </a:r>
        </a:p>
      </xdr:txBody>
    </xdr:sp>
    <xdr:clientData/>
  </xdr:twoCellAnchor>
  <xdr:twoCellAnchor>
    <xdr:from>
      <xdr:col>2</xdr:col>
      <xdr:colOff>387723</xdr:colOff>
      <xdr:row>12</xdr:row>
      <xdr:rowOff>228600</xdr:rowOff>
    </xdr:from>
    <xdr:to>
      <xdr:col>2</xdr:col>
      <xdr:colOff>976939</xdr:colOff>
      <xdr:row>14</xdr:row>
      <xdr:rowOff>46736</xdr:rowOff>
    </xdr:to>
    <xdr:sp macro="" textlink="">
      <xdr:nvSpPr>
        <xdr:cNvPr id="15" name="Text Placeholder 1248">
          <a:extLst>
            <a:ext uri="{FF2B5EF4-FFF2-40B4-BE49-F238E27FC236}">
              <a16:creationId xmlns:a16="http://schemas.microsoft.com/office/drawing/2014/main" id="{282FE882-5C98-824A-9F82-5081C4C56962}"/>
            </a:ext>
          </a:extLst>
        </xdr:cNvPr>
        <xdr:cNvSpPr>
          <a:spLocks noGrp="1"/>
        </xdr:cNvSpPr>
      </xdr:nvSpPr>
      <xdr:spPr>
        <a:xfrm>
          <a:off x="6153523" y="3352800"/>
          <a:ext cx="589216" cy="453136"/>
        </a:xfrm>
        <a:prstGeom prst="ellipse">
          <a:avLst/>
        </a:prstGeom>
        <a:solidFill>
          <a:srgbClr val="FFC000">
            <a:lumMod val="60000"/>
            <a:lumOff val="40000"/>
          </a:srgbClr>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r>
            <a:rPr lang="en-US">
              <a:latin typeface="Arial" panose="020B0604020202020204" pitchFamily="34" charset="0"/>
              <a:cs typeface="Arial" panose="020B0604020202020204" pitchFamily="34" charset="0"/>
            </a:rPr>
            <a:t>1</a:t>
          </a:r>
        </a:p>
      </xdr:txBody>
    </xdr:sp>
    <xdr:clientData/>
  </xdr:twoCellAnchor>
  <xdr:twoCellAnchor>
    <xdr:from>
      <xdr:col>4</xdr:col>
      <xdr:colOff>1995714</xdr:colOff>
      <xdr:row>7</xdr:row>
      <xdr:rowOff>165100</xdr:rowOff>
    </xdr:from>
    <xdr:to>
      <xdr:col>5</xdr:col>
      <xdr:colOff>262636</xdr:colOff>
      <xdr:row>9</xdr:row>
      <xdr:rowOff>237236</xdr:rowOff>
    </xdr:to>
    <xdr:sp macro="" textlink="">
      <xdr:nvSpPr>
        <xdr:cNvPr id="16" name="Text Placeholder 1248">
          <a:extLst>
            <a:ext uri="{FF2B5EF4-FFF2-40B4-BE49-F238E27FC236}">
              <a16:creationId xmlns:a16="http://schemas.microsoft.com/office/drawing/2014/main" id="{4E07AEA6-2C61-5545-ABD7-A091256CC75A}"/>
            </a:ext>
          </a:extLst>
        </xdr:cNvPr>
        <xdr:cNvSpPr>
          <a:spLocks noGrp="1"/>
        </xdr:cNvSpPr>
      </xdr:nvSpPr>
      <xdr:spPr>
        <a:xfrm>
          <a:off x="12143014" y="2019300"/>
          <a:ext cx="578322" cy="580136"/>
        </a:xfrm>
        <a:prstGeom prst="ellipse">
          <a:avLst/>
        </a:prstGeom>
        <a:solidFill>
          <a:srgbClr val="FFC000">
            <a:lumMod val="60000"/>
            <a:lumOff val="40000"/>
          </a:srgbClr>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r>
            <a:rPr lang="en-US"/>
            <a:t>#</a:t>
          </a:r>
        </a:p>
      </xdr:txBody>
    </xdr:sp>
    <xdr:clientData/>
  </xdr:twoCellAnchor>
  <xdr:twoCellAnchor>
    <xdr:from>
      <xdr:col>4</xdr:col>
      <xdr:colOff>1995714</xdr:colOff>
      <xdr:row>10</xdr:row>
      <xdr:rowOff>139700</xdr:rowOff>
    </xdr:from>
    <xdr:to>
      <xdr:col>5</xdr:col>
      <xdr:colOff>262636</xdr:colOff>
      <xdr:row>12</xdr:row>
      <xdr:rowOff>211836</xdr:rowOff>
    </xdr:to>
    <xdr:sp macro="" textlink="">
      <xdr:nvSpPr>
        <xdr:cNvPr id="17" name="Text Placeholder 1248">
          <a:extLst>
            <a:ext uri="{FF2B5EF4-FFF2-40B4-BE49-F238E27FC236}">
              <a16:creationId xmlns:a16="http://schemas.microsoft.com/office/drawing/2014/main" id="{E6BA317F-27AF-B14E-A77C-346931A92E8F}"/>
            </a:ext>
          </a:extLst>
        </xdr:cNvPr>
        <xdr:cNvSpPr>
          <a:spLocks noGrp="1"/>
        </xdr:cNvSpPr>
      </xdr:nvSpPr>
      <xdr:spPr>
        <a:xfrm>
          <a:off x="12143014" y="2755900"/>
          <a:ext cx="578322" cy="580136"/>
        </a:xfrm>
        <a:prstGeom prst="ellipse">
          <a:avLst/>
        </a:prstGeom>
        <a:solidFill>
          <a:srgbClr val="60CCF3"/>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r>
            <a:rPr lang="en-US"/>
            <a:t>#</a:t>
          </a:r>
        </a:p>
      </xdr:txBody>
    </xdr:sp>
    <xdr:clientData/>
  </xdr:twoCellAnchor>
  <xdr:twoCellAnchor>
    <xdr:from>
      <xdr:col>5</xdr:col>
      <xdr:colOff>408887</xdr:colOff>
      <xdr:row>7</xdr:row>
      <xdr:rowOff>165100</xdr:rowOff>
    </xdr:from>
    <xdr:to>
      <xdr:col>6</xdr:col>
      <xdr:colOff>914400</xdr:colOff>
      <xdr:row>9</xdr:row>
      <xdr:rowOff>217080</xdr:rowOff>
    </xdr:to>
    <xdr:sp macro="" textlink="">
      <xdr:nvSpPr>
        <xdr:cNvPr id="18" name="Rounded Rectangle 17">
          <a:extLst>
            <a:ext uri="{FF2B5EF4-FFF2-40B4-BE49-F238E27FC236}">
              <a16:creationId xmlns:a16="http://schemas.microsoft.com/office/drawing/2014/main" id="{30A76512-0B0B-174E-8251-A54ED276E2B7}"/>
            </a:ext>
          </a:extLst>
        </xdr:cNvPr>
        <xdr:cNvSpPr/>
      </xdr:nvSpPr>
      <xdr:spPr>
        <a:xfrm>
          <a:off x="12867587" y="2019300"/>
          <a:ext cx="2816913" cy="559980"/>
        </a:xfrm>
        <a:prstGeom prst="roundRect">
          <a:avLst>
            <a:gd name="adj" fmla="val 43110"/>
          </a:avLst>
        </a:prstGeom>
        <a:solidFill>
          <a:srgbClr val="FFC000">
            <a:lumMod val="60000"/>
            <a:lumOff val="40000"/>
          </a:srgbClr>
        </a:solidFill>
        <a:ln w="44450">
          <a:solidFill>
            <a:sysClr val="windowText" lastClr="000000"/>
          </a:solidFill>
        </a:ln>
      </xdr:spPr>
      <xdr:txBody>
        <a:bodyPr vert="horz" wrap="square" lIns="0" tIns="0" rIns="0" bIns="0" rtlCol="0" anchor="ctr">
          <a:noAutofit/>
        </a:bodyPr>
        <a:lstStyle/>
        <a:p>
          <a:pPr marL="0" marR="0" lvl="0" indent="0" algn="ctr" defTabSz="914400" rtl="0" eaLnBrk="1" fontAlgn="auto" latinLnBrk="0" hangingPunct="1">
            <a:lnSpc>
              <a:spcPct val="100000"/>
            </a:lnSpc>
            <a:spcBef>
              <a:spcPts val="0"/>
            </a:spcBef>
            <a:spcAft>
              <a:spcPts val="0"/>
            </a:spcAft>
            <a:buClrTx/>
            <a:buSzTx/>
            <a:buFont typeface="Arial" panose="020B0604020202020204" pitchFamily="34" charset="0"/>
            <a:buNone/>
            <a:tabLst/>
            <a:defRPr/>
          </a:pPr>
          <a:r>
            <a:rPr lang="en-US" sz="2800" b="1" kern="1200">
              <a:ln w="0">
                <a:noFill/>
              </a:ln>
              <a:solidFill>
                <a:sysClr val="windowText" lastClr="000000"/>
              </a:solidFill>
              <a:latin typeface="Tw Cen MT"/>
              <a:ea typeface="+mn-ea"/>
              <a:cs typeface="+mn-cs"/>
            </a:rPr>
            <a:t>Required</a:t>
          </a:r>
        </a:p>
      </xdr:txBody>
    </xdr:sp>
    <xdr:clientData/>
  </xdr:twoCellAnchor>
  <xdr:twoCellAnchor>
    <xdr:from>
      <xdr:col>5</xdr:col>
      <xdr:colOff>408887</xdr:colOff>
      <xdr:row>10</xdr:row>
      <xdr:rowOff>190500</xdr:rowOff>
    </xdr:from>
    <xdr:to>
      <xdr:col>6</xdr:col>
      <xdr:colOff>914400</xdr:colOff>
      <xdr:row>12</xdr:row>
      <xdr:rowOff>242480</xdr:rowOff>
    </xdr:to>
    <xdr:sp macro="" textlink="">
      <xdr:nvSpPr>
        <xdr:cNvPr id="19" name="Rounded Rectangle 18">
          <a:extLst>
            <a:ext uri="{FF2B5EF4-FFF2-40B4-BE49-F238E27FC236}">
              <a16:creationId xmlns:a16="http://schemas.microsoft.com/office/drawing/2014/main" id="{D653439F-02D9-BF46-9A31-7360463433CF}"/>
            </a:ext>
          </a:extLst>
        </xdr:cNvPr>
        <xdr:cNvSpPr/>
      </xdr:nvSpPr>
      <xdr:spPr>
        <a:xfrm>
          <a:off x="12867587" y="2806700"/>
          <a:ext cx="2816913" cy="559980"/>
        </a:xfrm>
        <a:prstGeom prst="roundRect">
          <a:avLst>
            <a:gd name="adj" fmla="val 43110"/>
          </a:avLst>
        </a:prstGeom>
        <a:solidFill>
          <a:srgbClr val="60CCF3"/>
        </a:solidFill>
        <a:ln w="44450">
          <a:solidFill>
            <a:sysClr val="windowText" lastClr="000000"/>
          </a:solidFill>
        </a:ln>
      </xdr:spPr>
      <xdr:txBody>
        <a:bodyPr vert="horz" wrap="square" lIns="0" tIns="0" rIns="0" bIns="0" rtlCol="0" anchor="ctr">
          <a:noAutofit/>
        </a:bodyPr>
        <a:lstStyle/>
        <a:p>
          <a:pPr marL="0" marR="0" lvl="0" indent="0" algn="ctr" defTabSz="914400" rtl="0" eaLnBrk="1" fontAlgn="auto" latinLnBrk="0" hangingPunct="1">
            <a:lnSpc>
              <a:spcPct val="100000"/>
            </a:lnSpc>
            <a:spcBef>
              <a:spcPts val="0"/>
            </a:spcBef>
            <a:spcAft>
              <a:spcPts val="0"/>
            </a:spcAft>
            <a:buClrTx/>
            <a:buSzTx/>
            <a:buFont typeface="Arial" panose="020B0604020202020204" pitchFamily="34" charset="0"/>
            <a:buNone/>
            <a:tabLst/>
            <a:defRPr/>
          </a:pPr>
          <a:r>
            <a:rPr lang="en-US" sz="2800" b="1" kern="1200">
              <a:ln w="0">
                <a:noFill/>
              </a:ln>
              <a:solidFill>
                <a:sysClr val="windowText" lastClr="000000"/>
              </a:solidFill>
              <a:latin typeface="Tw Cen MT"/>
              <a:ea typeface="+mn-ea"/>
              <a:cs typeface="+mn-cs"/>
            </a:rPr>
            <a:t>Optional</a:t>
          </a:r>
        </a:p>
      </xdr:txBody>
    </xdr:sp>
    <xdr:clientData/>
  </xdr:twoCellAnchor>
  <xdr:twoCellAnchor>
    <xdr:from>
      <xdr:col>0</xdr:col>
      <xdr:colOff>3500325</xdr:colOff>
      <xdr:row>22</xdr:row>
      <xdr:rowOff>254117</xdr:rowOff>
    </xdr:from>
    <xdr:to>
      <xdr:col>2</xdr:col>
      <xdr:colOff>190618</xdr:colOff>
      <xdr:row>26</xdr:row>
      <xdr:rowOff>141797</xdr:rowOff>
    </xdr:to>
    <xdr:sp macro="" textlink="">
      <xdr:nvSpPr>
        <xdr:cNvPr id="20" name="Rounded Rectangle 19">
          <a:extLst>
            <a:ext uri="{FF2B5EF4-FFF2-40B4-BE49-F238E27FC236}">
              <a16:creationId xmlns:a16="http://schemas.microsoft.com/office/drawing/2014/main" id="{E3E1A7CC-0821-F845-8BE0-17798CBB1CC0}"/>
            </a:ext>
          </a:extLst>
        </xdr:cNvPr>
        <xdr:cNvSpPr/>
      </xdr:nvSpPr>
      <xdr:spPr>
        <a:xfrm>
          <a:off x="3500325" y="6121517"/>
          <a:ext cx="2456093" cy="903680"/>
        </a:xfrm>
        <a:prstGeom prst="roundRect">
          <a:avLst>
            <a:gd name="adj" fmla="val 46754"/>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Choose from known precursors from drop down menu</a:t>
          </a:r>
        </a:p>
      </xdr:txBody>
    </xdr:sp>
    <xdr:clientData/>
  </xdr:twoCellAnchor>
  <xdr:twoCellAnchor>
    <xdr:from>
      <xdr:col>0</xdr:col>
      <xdr:colOff>3233697</xdr:colOff>
      <xdr:row>23</xdr:row>
      <xdr:rowOff>190500</xdr:rowOff>
    </xdr:from>
    <xdr:to>
      <xdr:col>1</xdr:col>
      <xdr:colOff>135636</xdr:colOff>
      <xdr:row>25</xdr:row>
      <xdr:rowOff>249936</xdr:rowOff>
    </xdr:to>
    <xdr:sp macro="" textlink="">
      <xdr:nvSpPr>
        <xdr:cNvPr id="21" name="Text Placeholder 1248">
          <a:extLst>
            <a:ext uri="{FF2B5EF4-FFF2-40B4-BE49-F238E27FC236}">
              <a16:creationId xmlns:a16="http://schemas.microsoft.com/office/drawing/2014/main" id="{503C1637-032B-2348-B54E-680A67404FAB}"/>
            </a:ext>
          </a:extLst>
        </xdr:cNvPr>
        <xdr:cNvSpPr>
          <a:spLocks noGrp="1"/>
        </xdr:cNvSpPr>
      </xdr:nvSpPr>
      <xdr:spPr>
        <a:xfrm>
          <a:off x="3233697" y="6311900"/>
          <a:ext cx="572239" cy="567436"/>
        </a:xfrm>
        <a:prstGeom prst="ellipse">
          <a:avLst/>
        </a:prstGeom>
        <a:solidFill>
          <a:srgbClr val="60CCF3"/>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r>
            <a:rPr lang="en-US">
              <a:latin typeface="Arial" panose="020B0604020202020204" pitchFamily="34" charset="0"/>
              <a:cs typeface="Arial" panose="020B0604020202020204" pitchFamily="34" charset="0"/>
            </a:rPr>
            <a:t>2</a:t>
          </a:r>
        </a:p>
      </xdr:txBody>
    </xdr:sp>
    <xdr:clientData/>
  </xdr:twoCellAnchor>
  <xdr:twoCellAnchor>
    <xdr:from>
      <xdr:col>2</xdr:col>
      <xdr:colOff>1248656</xdr:colOff>
      <xdr:row>23</xdr:row>
      <xdr:rowOff>190500</xdr:rowOff>
    </xdr:from>
    <xdr:to>
      <xdr:col>2</xdr:col>
      <xdr:colOff>1816100</xdr:colOff>
      <xdr:row>25</xdr:row>
      <xdr:rowOff>249936</xdr:rowOff>
    </xdr:to>
    <xdr:sp macro="" textlink="">
      <xdr:nvSpPr>
        <xdr:cNvPr id="22" name="Text Placeholder 1248">
          <a:extLst>
            <a:ext uri="{FF2B5EF4-FFF2-40B4-BE49-F238E27FC236}">
              <a16:creationId xmlns:a16="http://schemas.microsoft.com/office/drawing/2014/main" id="{BFF7ED78-1A56-684F-A8F5-4D398130ED40}"/>
            </a:ext>
          </a:extLst>
        </xdr:cNvPr>
        <xdr:cNvSpPr>
          <a:spLocks noGrp="1"/>
        </xdr:cNvSpPr>
      </xdr:nvSpPr>
      <xdr:spPr>
        <a:xfrm>
          <a:off x="7014456" y="6311900"/>
          <a:ext cx="567444" cy="567436"/>
        </a:xfrm>
        <a:prstGeom prst="ellipse">
          <a:avLst/>
        </a:prstGeom>
        <a:solidFill>
          <a:srgbClr val="60CCF3"/>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r>
            <a:rPr lang="en-US">
              <a:latin typeface="Arial" panose="020B0604020202020204" pitchFamily="34" charset="0"/>
              <a:cs typeface="Arial" panose="020B0604020202020204" pitchFamily="34" charset="0"/>
            </a:rPr>
            <a:t>3</a:t>
          </a:r>
        </a:p>
      </xdr:txBody>
    </xdr:sp>
    <xdr:clientData/>
  </xdr:twoCellAnchor>
  <xdr:twoCellAnchor>
    <xdr:from>
      <xdr:col>1</xdr:col>
      <xdr:colOff>2804</xdr:colOff>
      <xdr:row>33</xdr:row>
      <xdr:rowOff>232402</xdr:rowOff>
    </xdr:from>
    <xdr:to>
      <xdr:col>1</xdr:col>
      <xdr:colOff>1727791</xdr:colOff>
      <xdr:row>35</xdr:row>
      <xdr:rowOff>207800</xdr:rowOff>
    </xdr:to>
    <xdr:sp macro="" textlink="">
      <xdr:nvSpPr>
        <xdr:cNvPr id="23" name="Rounded Rectangle 22">
          <a:extLst>
            <a:ext uri="{FF2B5EF4-FFF2-40B4-BE49-F238E27FC236}">
              <a16:creationId xmlns:a16="http://schemas.microsoft.com/office/drawing/2014/main" id="{0E5AF801-3002-9742-852F-C91858C92C1B}"/>
            </a:ext>
          </a:extLst>
        </xdr:cNvPr>
        <xdr:cNvSpPr/>
      </xdr:nvSpPr>
      <xdr:spPr>
        <a:xfrm>
          <a:off x="3673104" y="9173202"/>
          <a:ext cx="1724987" cy="483398"/>
        </a:xfrm>
        <a:prstGeom prst="roundRect">
          <a:avLst>
            <a:gd name="adj" fmla="val 46754"/>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Choose Solvent</a:t>
          </a:r>
        </a:p>
      </xdr:txBody>
    </xdr:sp>
    <xdr:clientData/>
  </xdr:twoCellAnchor>
  <xdr:twoCellAnchor>
    <xdr:from>
      <xdr:col>0</xdr:col>
      <xdr:colOff>3293533</xdr:colOff>
      <xdr:row>33</xdr:row>
      <xdr:rowOff>190383</xdr:rowOff>
    </xdr:from>
    <xdr:to>
      <xdr:col>1</xdr:col>
      <xdr:colOff>211836</xdr:colOff>
      <xdr:row>35</xdr:row>
      <xdr:rowOff>249819</xdr:rowOff>
    </xdr:to>
    <xdr:sp macro="" textlink="">
      <xdr:nvSpPr>
        <xdr:cNvPr id="24" name="Text Placeholder 1248">
          <a:extLst>
            <a:ext uri="{FF2B5EF4-FFF2-40B4-BE49-F238E27FC236}">
              <a16:creationId xmlns:a16="http://schemas.microsoft.com/office/drawing/2014/main" id="{6A66F048-4297-CB40-ADAC-4D2738B1509F}"/>
            </a:ext>
          </a:extLst>
        </xdr:cNvPr>
        <xdr:cNvSpPr>
          <a:spLocks noGrp="1"/>
        </xdr:cNvSpPr>
      </xdr:nvSpPr>
      <xdr:spPr>
        <a:xfrm>
          <a:off x="3293533" y="9131183"/>
          <a:ext cx="588603" cy="567436"/>
        </a:xfrm>
        <a:prstGeom prst="ellipse">
          <a:avLst/>
        </a:prstGeom>
        <a:solidFill>
          <a:srgbClr val="60CCF3"/>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r>
            <a:rPr lang="en-US">
              <a:latin typeface="Arial" panose="020B0604020202020204" pitchFamily="34" charset="0"/>
              <a:cs typeface="Arial" panose="020B0604020202020204" pitchFamily="34" charset="0"/>
            </a:rPr>
            <a:t>4</a:t>
          </a:r>
        </a:p>
      </xdr:txBody>
    </xdr:sp>
    <xdr:clientData/>
  </xdr:twoCellAnchor>
  <xdr:twoCellAnchor>
    <xdr:from>
      <xdr:col>2</xdr:col>
      <xdr:colOff>334184</xdr:colOff>
      <xdr:row>33</xdr:row>
      <xdr:rowOff>216011</xdr:rowOff>
    </xdr:from>
    <xdr:to>
      <xdr:col>3</xdr:col>
      <xdr:colOff>317500</xdr:colOff>
      <xdr:row>35</xdr:row>
      <xdr:rowOff>192591</xdr:rowOff>
    </xdr:to>
    <xdr:sp macro="" textlink="">
      <xdr:nvSpPr>
        <xdr:cNvPr id="25" name="Rounded Rectangle 24">
          <a:extLst>
            <a:ext uri="{FF2B5EF4-FFF2-40B4-BE49-F238E27FC236}">
              <a16:creationId xmlns:a16="http://schemas.microsoft.com/office/drawing/2014/main" id="{F2E2273A-B8C5-344F-BEBD-76132978F916}"/>
            </a:ext>
          </a:extLst>
        </xdr:cNvPr>
        <xdr:cNvSpPr/>
      </xdr:nvSpPr>
      <xdr:spPr>
        <a:xfrm>
          <a:off x="6099984" y="9156811"/>
          <a:ext cx="2053416" cy="484580"/>
        </a:xfrm>
        <a:prstGeom prst="roundRect">
          <a:avLst>
            <a:gd name="adj" fmla="val 46754"/>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Enter Solvent</a:t>
          </a:r>
        </a:p>
      </xdr:txBody>
    </xdr:sp>
    <xdr:clientData/>
  </xdr:twoCellAnchor>
  <xdr:twoCellAnchor>
    <xdr:from>
      <xdr:col>1</xdr:col>
      <xdr:colOff>1998920</xdr:colOff>
      <xdr:row>33</xdr:row>
      <xdr:rowOff>168233</xdr:rowOff>
    </xdr:from>
    <xdr:to>
      <xdr:col>2</xdr:col>
      <xdr:colOff>529630</xdr:colOff>
      <xdr:row>35</xdr:row>
      <xdr:rowOff>240369</xdr:rowOff>
    </xdr:to>
    <xdr:sp macro="" textlink="">
      <xdr:nvSpPr>
        <xdr:cNvPr id="26" name="Text Placeholder 1248">
          <a:extLst>
            <a:ext uri="{FF2B5EF4-FFF2-40B4-BE49-F238E27FC236}">
              <a16:creationId xmlns:a16="http://schemas.microsoft.com/office/drawing/2014/main" id="{B332D3A0-8173-4146-B48C-2B6AE0A632AB}"/>
            </a:ext>
          </a:extLst>
        </xdr:cNvPr>
        <xdr:cNvSpPr>
          <a:spLocks noGrp="1"/>
        </xdr:cNvSpPr>
      </xdr:nvSpPr>
      <xdr:spPr>
        <a:xfrm>
          <a:off x="5669220" y="9109033"/>
          <a:ext cx="626210" cy="580136"/>
        </a:xfrm>
        <a:prstGeom prst="ellipse">
          <a:avLst/>
        </a:prstGeom>
        <a:solidFill>
          <a:srgbClr val="60CCF3"/>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r>
            <a:rPr lang="en-US">
              <a:latin typeface="Arial" panose="020B0604020202020204" pitchFamily="34" charset="0"/>
              <a:cs typeface="Arial" panose="020B0604020202020204" pitchFamily="34" charset="0"/>
            </a:rPr>
            <a:t>5</a:t>
          </a:r>
        </a:p>
      </xdr:txBody>
    </xdr:sp>
    <xdr:clientData/>
  </xdr:twoCellAnchor>
  <xdr:twoCellAnchor>
    <xdr:from>
      <xdr:col>0</xdr:col>
      <xdr:colOff>53287</xdr:colOff>
      <xdr:row>41</xdr:row>
      <xdr:rowOff>11637</xdr:rowOff>
    </xdr:from>
    <xdr:to>
      <xdr:col>0</xdr:col>
      <xdr:colOff>2870200</xdr:colOff>
      <xdr:row>43</xdr:row>
      <xdr:rowOff>63617</xdr:rowOff>
    </xdr:to>
    <xdr:sp macro="" textlink="">
      <xdr:nvSpPr>
        <xdr:cNvPr id="27" name="Rounded Rectangle 26">
          <a:extLst>
            <a:ext uri="{FF2B5EF4-FFF2-40B4-BE49-F238E27FC236}">
              <a16:creationId xmlns:a16="http://schemas.microsoft.com/office/drawing/2014/main" id="{5F2819B1-39B0-464F-9594-537EC983E852}"/>
            </a:ext>
          </a:extLst>
        </xdr:cNvPr>
        <xdr:cNvSpPr/>
      </xdr:nvSpPr>
      <xdr:spPr>
        <a:xfrm>
          <a:off x="53287" y="11022537"/>
          <a:ext cx="2816913" cy="559980"/>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1.3 Water</a:t>
          </a:r>
        </a:p>
      </xdr:txBody>
    </xdr:sp>
    <xdr:clientData/>
  </xdr:twoCellAnchor>
  <xdr:twoCellAnchor>
    <xdr:from>
      <xdr:col>1</xdr:col>
      <xdr:colOff>84026</xdr:colOff>
      <xdr:row>43</xdr:row>
      <xdr:rowOff>85761</xdr:rowOff>
    </xdr:from>
    <xdr:to>
      <xdr:col>1</xdr:col>
      <xdr:colOff>1557966</xdr:colOff>
      <xdr:row>45</xdr:row>
      <xdr:rowOff>62341</xdr:rowOff>
    </xdr:to>
    <xdr:sp macro="" textlink="">
      <xdr:nvSpPr>
        <xdr:cNvPr id="28" name="Rounded Rectangle 27">
          <a:extLst>
            <a:ext uri="{FF2B5EF4-FFF2-40B4-BE49-F238E27FC236}">
              <a16:creationId xmlns:a16="http://schemas.microsoft.com/office/drawing/2014/main" id="{28208D54-BE86-EA44-92CF-2C541178E6CC}"/>
            </a:ext>
          </a:extLst>
        </xdr:cNvPr>
        <xdr:cNvSpPr/>
      </xdr:nvSpPr>
      <xdr:spPr>
        <a:xfrm>
          <a:off x="3754326" y="11604661"/>
          <a:ext cx="1473940" cy="662380"/>
        </a:xfrm>
        <a:prstGeom prst="roundRect">
          <a:avLst>
            <a:gd name="adj" fmla="val 46754"/>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Choose Type</a:t>
          </a:r>
        </a:p>
      </xdr:txBody>
    </xdr:sp>
    <xdr:clientData/>
  </xdr:twoCellAnchor>
  <xdr:twoCellAnchor>
    <xdr:from>
      <xdr:col>0</xdr:col>
      <xdr:colOff>3274533</xdr:colOff>
      <xdr:row>43</xdr:row>
      <xdr:rowOff>94651</xdr:rowOff>
    </xdr:from>
    <xdr:to>
      <xdr:col>1</xdr:col>
      <xdr:colOff>200000</xdr:colOff>
      <xdr:row>45</xdr:row>
      <xdr:rowOff>6668</xdr:rowOff>
    </xdr:to>
    <xdr:sp macro="" textlink="">
      <xdr:nvSpPr>
        <xdr:cNvPr id="29" name="Text Placeholder 1248">
          <a:extLst>
            <a:ext uri="{FF2B5EF4-FFF2-40B4-BE49-F238E27FC236}">
              <a16:creationId xmlns:a16="http://schemas.microsoft.com/office/drawing/2014/main" id="{31EB5A9B-000D-D64C-8B05-3FF654EEB66F}"/>
            </a:ext>
          </a:extLst>
        </xdr:cNvPr>
        <xdr:cNvSpPr>
          <a:spLocks noGrp="1"/>
        </xdr:cNvSpPr>
      </xdr:nvSpPr>
      <xdr:spPr>
        <a:xfrm>
          <a:off x="3274533" y="11613551"/>
          <a:ext cx="595767" cy="597817"/>
        </a:xfrm>
        <a:prstGeom prst="ellipse">
          <a:avLst/>
        </a:prstGeom>
        <a:solidFill>
          <a:srgbClr val="60CCF3"/>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r>
            <a:rPr lang="en-US">
              <a:latin typeface="Arial" panose="020B0604020202020204" pitchFamily="34" charset="0"/>
              <a:cs typeface="Arial" panose="020B0604020202020204" pitchFamily="34" charset="0"/>
            </a:rPr>
            <a:t>6</a:t>
          </a:r>
        </a:p>
      </xdr:txBody>
    </xdr:sp>
    <xdr:clientData/>
  </xdr:twoCellAnchor>
  <xdr:twoCellAnchor>
    <xdr:from>
      <xdr:col>2</xdr:col>
      <xdr:colOff>228895</xdr:colOff>
      <xdr:row>43</xdr:row>
      <xdr:rowOff>93145</xdr:rowOff>
    </xdr:from>
    <xdr:to>
      <xdr:col>3</xdr:col>
      <xdr:colOff>114300</xdr:colOff>
      <xdr:row>45</xdr:row>
      <xdr:rowOff>69725</xdr:rowOff>
    </xdr:to>
    <xdr:sp macro="" textlink="">
      <xdr:nvSpPr>
        <xdr:cNvPr id="30" name="Rounded Rectangle 29">
          <a:extLst>
            <a:ext uri="{FF2B5EF4-FFF2-40B4-BE49-F238E27FC236}">
              <a16:creationId xmlns:a16="http://schemas.microsoft.com/office/drawing/2014/main" id="{94CD5D10-C9FE-F646-B54B-EE060DE13BE5}"/>
            </a:ext>
          </a:extLst>
        </xdr:cNvPr>
        <xdr:cNvSpPr/>
      </xdr:nvSpPr>
      <xdr:spPr>
        <a:xfrm>
          <a:off x="5994695" y="11612045"/>
          <a:ext cx="1955505" cy="662380"/>
        </a:xfrm>
        <a:prstGeom prst="roundRect">
          <a:avLst>
            <a:gd name="adj" fmla="val 46754"/>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Enter Quantity</a:t>
          </a:r>
        </a:p>
      </xdr:txBody>
    </xdr:sp>
    <xdr:clientData/>
  </xdr:twoCellAnchor>
  <xdr:twoCellAnchor>
    <xdr:from>
      <xdr:col>1</xdr:col>
      <xdr:colOff>1799560</xdr:colOff>
      <xdr:row>43</xdr:row>
      <xdr:rowOff>45367</xdr:rowOff>
    </xdr:from>
    <xdr:to>
      <xdr:col>2</xdr:col>
      <xdr:colOff>350000</xdr:colOff>
      <xdr:row>45</xdr:row>
      <xdr:rowOff>13333</xdr:rowOff>
    </xdr:to>
    <xdr:sp macro="" textlink="">
      <xdr:nvSpPr>
        <xdr:cNvPr id="31" name="Text Placeholder 1248">
          <a:extLst>
            <a:ext uri="{FF2B5EF4-FFF2-40B4-BE49-F238E27FC236}">
              <a16:creationId xmlns:a16="http://schemas.microsoft.com/office/drawing/2014/main" id="{BDED866C-3566-5844-9F57-44D4E94CB164}"/>
            </a:ext>
          </a:extLst>
        </xdr:cNvPr>
        <xdr:cNvSpPr>
          <a:spLocks noGrp="1"/>
        </xdr:cNvSpPr>
      </xdr:nvSpPr>
      <xdr:spPr>
        <a:xfrm>
          <a:off x="5469860" y="11564267"/>
          <a:ext cx="645940" cy="653766"/>
        </a:xfrm>
        <a:prstGeom prst="ellipse">
          <a:avLst/>
        </a:prstGeom>
        <a:solidFill>
          <a:srgbClr val="60CCF3"/>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r>
            <a:rPr lang="en-US">
              <a:latin typeface="Arial" panose="020B0604020202020204" pitchFamily="34" charset="0"/>
              <a:cs typeface="Arial" panose="020B0604020202020204" pitchFamily="34" charset="0"/>
            </a:rPr>
            <a:t>7</a:t>
          </a:r>
        </a:p>
      </xdr:txBody>
    </xdr:sp>
    <xdr:clientData/>
  </xdr:twoCellAnchor>
  <xdr:twoCellAnchor>
    <xdr:from>
      <xdr:col>0</xdr:col>
      <xdr:colOff>53287</xdr:colOff>
      <xdr:row>51</xdr:row>
      <xdr:rowOff>209595</xdr:rowOff>
    </xdr:from>
    <xdr:to>
      <xdr:col>3</xdr:col>
      <xdr:colOff>1110140</xdr:colOff>
      <xdr:row>54</xdr:row>
      <xdr:rowOff>84666</xdr:rowOff>
    </xdr:to>
    <xdr:sp macro="" textlink="">
      <xdr:nvSpPr>
        <xdr:cNvPr id="32" name="Rounded Rectangle 31">
          <a:extLst>
            <a:ext uri="{FF2B5EF4-FFF2-40B4-BE49-F238E27FC236}">
              <a16:creationId xmlns:a16="http://schemas.microsoft.com/office/drawing/2014/main" id="{F2CD4164-C2FA-0048-951B-2614E0ABD8A3}"/>
            </a:ext>
          </a:extLst>
        </xdr:cNvPr>
        <xdr:cNvSpPr/>
      </xdr:nvSpPr>
      <xdr:spPr>
        <a:xfrm>
          <a:off x="53287" y="14141495"/>
          <a:ext cx="8892753" cy="637071"/>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20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Process Time Information</a:t>
          </a:r>
        </a:p>
      </xdr:txBody>
    </xdr:sp>
    <xdr:clientData/>
  </xdr:twoCellAnchor>
  <xdr:twoCellAnchor>
    <xdr:from>
      <xdr:col>1</xdr:col>
      <xdr:colOff>84025</xdr:colOff>
      <xdr:row>55</xdr:row>
      <xdr:rowOff>127000</xdr:rowOff>
    </xdr:from>
    <xdr:to>
      <xdr:col>1</xdr:col>
      <xdr:colOff>2015066</xdr:colOff>
      <xdr:row>58</xdr:row>
      <xdr:rowOff>104674</xdr:rowOff>
    </xdr:to>
    <xdr:sp macro="" textlink="">
      <xdr:nvSpPr>
        <xdr:cNvPr id="33" name="Rounded Rectangle 32">
          <a:extLst>
            <a:ext uri="{FF2B5EF4-FFF2-40B4-BE49-F238E27FC236}">
              <a16:creationId xmlns:a16="http://schemas.microsoft.com/office/drawing/2014/main" id="{B4B82F19-4900-3B4E-B7D1-9F939E4CD090}"/>
            </a:ext>
          </a:extLst>
        </xdr:cNvPr>
        <xdr:cNvSpPr/>
      </xdr:nvSpPr>
      <xdr:spPr>
        <a:xfrm>
          <a:off x="3754325" y="15074900"/>
          <a:ext cx="1931041" cy="739674"/>
        </a:xfrm>
        <a:prstGeom prst="roundRect">
          <a:avLst>
            <a:gd name="adj" fmla="val 46754"/>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Replace with your Process Time</a:t>
          </a:r>
        </a:p>
      </xdr:txBody>
    </xdr:sp>
    <xdr:clientData/>
  </xdr:twoCellAnchor>
  <xdr:twoCellAnchor>
    <xdr:from>
      <xdr:col>0</xdr:col>
      <xdr:colOff>3124200</xdr:colOff>
      <xdr:row>55</xdr:row>
      <xdr:rowOff>177682</xdr:rowOff>
    </xdr:from>
    <xdr:to>
      <xdr:col>1</xdr:col>
      <xdr:colOff>84836</xdr:colOff>
      <xdr:row>58</xdr:row>
      <xdr:rowOff>12752</xdr:rowOff>
    </xdr:to>
    <xdr:sp macro="" textlink="">
      <xdr:nvSpPr>
        <xdr:cNvPr id="34" name="Text Placeholder 1248">
          <a:extLst>
            <a:ext uri="{FF2B5EF4-FFF2-40B4-BE49-F238E27FC236}">
              <a16:creationId xmlns:a16="http://schemas.microsoft.com/office/drawing/2014/main" id="{B2DBB75E-62CE-F749-A8B3-66871B649A40}"/>
            </a:ext>
          </a:extLst>
        </xdr:cNvPr>
        <xdr:cNvSpPr>
          <a:spLocks noGrp="1"/>
        </xdr:cNvSpPr>
      </xdr:nvSpPr>
      <xdr:spPr>
        <a:xfrm>
          <a:off x="3124200" y="15125582"/>
          <a:ext cx="630936" cy="597070"/>
        </a:xfrm>
        <a:prstGeom prst="ellipse">
          <a:avLst/>
        </a:prstGeom>
        <a:solidFill>
          <a:srgbClr val="FFC000">
            <a:lumMod val="60000"/>
            <a:lumOff val="40000"/>
          </a:srgbClr>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pPr marL="0" indent="0" algn="ctr" defTabSz="914400" rtl="0" eaLnBrk="1" latinLnBrk="0" hangingPunct="1">
            <a:lnSpc>
              <a:spcPct val="100000"/>
            </a:lnSpc>
            <a:spcBef>
              <a:spcPts val="0"/>
            </a:spcBef>
            <a:buFont typeface="Arial" panose="020B0604020202020204" pitchFamily="34" charset="0"/>
            <a:buNone/>
          </a:pPr>
          <a:r>
            <a:rPr lang="en-US" sz="2800" b="1" kern="1200">
              <a:ln w="0">
                <a:noFill/>
              </a:ln>
              <a:solidFill>
                <a:sysClr val="windowText" lastClr="000000"/>
              </a:solidFill>
              <a:latin typeface="Arial" panose="020B0604020202020204" pitchFamily="34" charset="0"/>
              <a:ea typeface="+mn-ea"/>
              <a:cs typeface="Arial" panose="020B0604020202020204" pitchFamily="34" charset="0"/>
            </a:rPr>
            <a:t>8</a:t>
          </a:r>
        </a:p>
      </xdr:txBody>
    </xdr:sp>
    <xdr:clientData/>
  </xdr:twoCellAnchor>
  <xdr:twoCellAnchor>
    <xdr:from>
      <xdr:col>0</xdr:col>
      <xdr:colOff>53287</xdr:colOff>
      <xdr:row>65</xdr:row>
      <xdr:rowOff>135467</xdr:rowOff>
    </xdr:from>
    <xdr:to>
      <xdr:col>3</xdr:col>
      <xdr:colOff>1110140</xdr:colOff>
      <xdr:row>68</xdr:row>
      <xdr:rowOff>12701</xdr:rowOff>
    </xdr:to>
    <xdr:sp macro="" textlink="">
      <xdr:nvSpPr>
        <xdr:cNvPr id="35" name="Rounded Rectangle 34">
          <a:extLst>
            <a:ext uri="{FF2B5EF4-FFF2-40B4-BE49-F238E27FC236}">
              <a16:creationId xmlns:a16="http://schemas.microsoft.com/office/drawing/2014/main" id="{D02917F8-D06E-AF46-8652-6E4C9B419502}"/>
            </a:ext>
          </a:extLst>
        </xdr:cNvPr>
        <xdr:cNvSpPr/>
      </xdr:nvSpPr>
      <xdr:spPr>
        <a:xfrm>
          <a:off x="53287" y="17826567"/>
          <a:ext cx="8892753" cy="639234"/>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Equipment Power Information</a:t>
          </a:r>
        </a:p>
      </xdr:txBody>
    </xdr:sp>
    <xdr:clientData/>
  </xdr:twoCellAnchor>
  <xdr:twoCellAnchor>
    <xdr:from>
      <xdr:col>2</xdr:col>
      <xdr:colOff>833868</xdr:colOff>
      <xdr:row>61</xdr:row>
      <xdr:rowOff>220998</xdr:rowOff>
    </xdr:from>
    <xdr:to>
      <xdr:col>3</xdr:col>
      <xdr:colOff>1684866</xdr:colOff>
      <xdr:row>64</xdr:row>
      <xdr:rowOff>34731</xdr:rowOff>
    </xdr:to>
    <xdr:sp macro="" textlink="">
      <xdr:nvSpPr>
        <xdr:cNvPr id="36" name="Rounded Rectangle 35">
          <a:extLst>
            <a:ext uri="{FF2B5EF4-FFF2-40B4-BE49-F238E27FC236}">
              <a16:creationId xmlns:a16="http://schemas.microsoft.com/office/drawing/2014/main" id="{867C9A55-13D9-6E47-A208-4B6DC59673D7}"/>
            </a:ext>
          </a:extLst>
        </xdr:cNvPr>
        <xdr:cNvSpPr/>
      </xdr:nvSpPr>
      <xdr:spPr>
        <a:xfrm>
          <a:off x="6599668" y="16756398"/>
          <a:ext cx="2921098" cy="715433"/>
        </a:xfrm>
        <a:prstGeom prst="roundRect">
          <a:avLst>
            <a:gd name="adj" fmla="val 46754"/>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Enter additional time information</a:t>
          </a:r>
        </a:p>
      </xdr:txBody>
    </xdr:sp>
    <xdr:clientData/>
  </xdr:twoCellAnchor>
  <xdr:twoCellAnchor>
    <xdr:from>
      <xdr:col>2</xdr:col>
      <xdr:colOff>368300</xdr:colOff>
      <xdr:row>61</xdr:row>
      <xdr:rowOff>244196</xdr:rowOff>
    </xdr:from>
    <xdr:to>
      <xdr:col>2</xdr:col>
      <xdr:colOff>998744</xdr:colOff>
      <xdr:row>63</xdr:row>
      <xdr:rowOff>214733</xdr:rowOff>
    </xdr:to>
    <xdr:sp macro="" textlink="">
      <xdr:nvSpPr>
        <xdr:cNvPr id="37" name="Text Placeholder 1248">
          <a:extLst>
            <a:ext uri="{FF2B5EF4-FFF2-40B4-BE49-F238E27FC236}">
              <a16:creationId xmlns:a16="http://schemas.microsoft.com/office/drawing/2014/main" id="{DD662869-71A4-2C44-B696-9F5DA46168A0}"/>
            </a:ext>
          </a:extLst>
        </xdr:cNvPr>
        <xdr:cNvSpPr>
          <a:spLocks noGrp="1"/>
        </xdr:cNvSpPr>
      </xdr:nvSpPr>
      <xdr:spPr>
        <a:xfrm>
          <a:off x="6134100" y="16779596"/>
          <a:ext cx="630444" cy="618237"/>
        </a:xfrm>
        <a:prstGeom prst="ellipse">
          <a:avLst/>
        </a:prstGeom>
        <a:solidFill>
          <a:srgbClr val="60CCF3"/>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r>
            <a:rPr lang="en-US">
              <a:latin typeface="Arial" panose="020B0604020202020204" pitchFamily="34" charset="0"/>
              <a:cs typeface="Arial" panose="020B0604020202020204" pitchFamily="34" charset="0"/>
            </a:rPr>
            <a:t>9</a:t>
          </a:r>
        </a:p>
      </xdr:txBody>
    </xdr:sp>
    <xdr:clientData/>
  </xdr:twoCellAnchor>
  <xdr:twoCellAnchor>
    <xdr:from>
      <xdr:col>3</xdr:col>
      <xdr:colOff>1698428</xdr:colOff>
      <xdr:row>66</xdr:row>
      <xdr:rowOff>89252</xdr:rowOff>
    </xdr:from>
    <xdr:to>
      <xdr:col>4</xdr:col>
      <xdr:colOff>1845056</xdr:colOff>
      <xdr:row>69</xdr:row>
      <xdr:rowOff>39590</xdr:rowOff>
    </xdr:to>
    <xdr:sp macro="" textlink="">
      <xdr:nvSpPr>
        <xdr:cNvPr id="38" name="Rounded Rectangle 37">
          <a:extLst>
            <a:ext uri="{FF2B5EF4-FFF2-40B4-BE49-F238E27FC236}">
              <a16:creationId xmlns:a16="http://schemas.microsoft.com/office/drawing/2014/main" id="{B8B38F8D-C9EA-9843-8C22-581AE94FC6D0}"/>
            </a:ext>
          </a:extLst>
        </xdr:cNvPr>
        <xdr:cNvSpPr/>
      </xdr:nvSpPr>
      <xdr:spPr>
        <a:xfrm>
          <a:off x="9534328" y="18034352"/>
          <a:ext cx="2458028" cy="712338"/>
        </a:xfrm>
        <a:prstGeom prst="roundRect">
          <a:avLst>
            <a:gd name="adj" fmla="val 46754"/>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Replace with your Power Rating information</a:t>
          </a:r>
        </a:p>
      </xdr:txBody>
    </xdr:sp>
    <xdr:clientData/>
  </xdr:twoCellAnchor>
  <xdr:twoCellAnchor>
    <xdr:from>
      <xdr:col>3</xdr:col>
      <xdr:colOff>1232860</xdr:colOff>
      <xdr:row>66</xdr:row>
      <xdr:rowOff>137850</xdr:rowOff>
    </xdr:from>
    <xdr:to>
      <xdr:col>3</xdr:col>
      <xdr:colOff>1863304</xdr:colOff>
      <xdr:row>68</xdr:row>
      <xdr:rowOff>244992</xdr:rowOff>
    </xdr:to>
    <xdr:sp macro="" textlink="">
      <xdr:nvSpPr>
        <xdr:cNvPr id="39" name="Text Placeholder 1248">
          <a:extLst>
            <a:ext uri="{FF2B5EF4-FFF2-40B4-BE49-F238E27FC236}">
              <a16:creationId xmlns:a16="http://schemas.microsoft.com/office/drawing/2014/main" id="{538DAFB8-7E6E-6341-8E48-C420920935CB}"/>
            </a:ext>
          </a:extLst>
        </xdr:cNvPr>
        <xdr:cNvSpPr>
          <a:spLocks noGrp="1"/>
        </xdr:cNvSpPr>
      </xdr:nvSpPr>
      <xdr:spPr>
        <a:xfrm>
          <a:off x="9068760" y="18082950"/>
          <a:ext cx="630444" cy="615142"/>
        </a:xfrm>
        <a:prstGeom prst="ellipse">
          <a:avLst/>
        </a:prstGeom>
        <a:solidFill>
          <a:srgbClr val="FFC000">
            <a:lumMod val="60000"/>
            <a:lumOff val="40000"/>
          </a:srgbClr>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pPr marL="0" indent="0" algn="ctr" defTabSz="914400" rtl="0" eaLnBrk="1" latinLnBrk="0" hangingPunct="1">
            <a:lnSpc>
              <a:spcPct val="100000"/>
            </a:lnSpc>
            <a:spcBef>
              <a:spcPts val="0"/>
            </a:spcBef>
            <a:buFont typeface="Arial" panose="020B0604020202020204" pitchFamily="34" charset="0"/>
            <a:buNone/>
          </a:pPr>
          <a:r>
            <a:rPr lang="en-US" sz="2800" b="1" kern="1200">
              <a:ln w="0">
                <a:noFill/>
              </a:ln>
              <a:solidFill>
                <a:sysClr val="windowText" lastClr="000000"/>
              </a:solidFill>
              <a:latin typeface="Arial" panose="020B0604020202020204" pitchFamily="34" charset="0"/>
              <a:ea typeface="+mn-ea"/>
              <a:cs typeface="Arial" panose="020B0604020202020204" pitchFamily="34" charset="0"/>
            </a:rPr>
            <a:t>10</a:t>
          </a:r>
        </a:p>
      </xdr:txBody>
    </xdr:sp>
    <xdr:clientData/>
  </xdr:twoCellAnchor>
  <xdr:twoCellAnchor>
    <xdr:from>
      <xdr:col>0</xdr:col>
      <xdr:colOff>53287</xdr:colOff>
      <xdr:row>76</xdr:row>
      <xdr:rowOff>220845</xdr:rowOff>
    </xdr:from>
    <xdr:to>
      <xdr:col>3</xdr:col>
      <xdr:colOff>1110140</xdr:colOff>
      <xdr:row>79</xdr:row>
      <xdr:rowOff>98079</xdr:rowOff>
    </xdr:to>
    <xdr:sp macro="" textlink="">
      <xdr:nvSpPr>
        <xdr:cNvPr id="40" name="Rounded Rectangle 39">
          <a:extLst>
            <a:ext uri="{FF2B5EF4-FFF2-40B4-BE49-F238E27FC236}">
              <a16:creationId xmlns:a16="http://schemas.microsoft.com/office/drawing/2014/main" id="{F635E309-510A-4B4D-9AA7-283B6DD72B0D}"/>
            </a:ext>
          </a:extLst>
        </xdr:cNvPr>
        <xdr:cNvSpPr/>
      </xdr:nvSpPr>
      <xdr:spPr>
        <a:xfrm>
          <a:off x="53287" y="20705945"/>
          <a:ext cx="8892753" cy="639234"/>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Process Conditions</a:t>
          </a:r>
        </a:p>
      </xdr:txBody>
    </xdr:sp>
    <xdr:clientData/>
  </xdr:twoCellAnchor>
  <xdr:twoCellAnchor>
    <xdr:from>
      <xdr:col>0</xdr:col>
      <xdr:colOff>53287</xdr:colOff>
      <xdr:row>85</xdr:row>
      <xdr:rowOff>93845</xdr:rowOff>
    </xdr:from>
    <xdr:to>
      <xdr:col>3</xdr:col>
      <xdr:colOff>1110140</xdr:colOff>
      <xdr:row>88</xdr:row>
      <xdr:rowOff>9179</xdr:rowOff>
    </xdr:to>
    <xdr:sp macro="" textlink="">
      <xdr:nvSpPr>
        <xdr:cNvPr id="41" name="Rounded Rectangle 40">
          <a:extLst>
            <a:ext uri="{FF2B5EF4-FFF2-40B4-BE49-F238E27FC236}">
              <a16:creationId xmlns:a16="http://schemas.microsoft.com/office/drawing/2014/main" id="{D2D3D78A-614E-7C47-BF36-E1F441FCCB0C}"/>
            </a:ext>
          </a:extLst>
        </xdr:cNvPr>
        <xdr:cNvSpPr/>
      </xdr:nvSpPr>
      <xdr:spPr>
        <a:xfrm>
          <a:off x="53287" y="22864945"/>
          <a:ext cx="8892753" cy="639234"/>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Equipment Volume Utilization Calculation</a:t>
          </a:r>
        </a:p>
      </xdr:txBody>
    </xdr:sp>
    <xdr:clientData/>
  </xdr:twoCellAnchor>
  <xdr:twoCellAnchor>
    <xdr:from>
      <xdr:col>2</xdr:col>
      <xdr:colOff>115931</xdr:colOff>
      <xdr:row>88</xdr:row>
      <xdr:rowOff>63617</xdr:rowOff>
    </xdr:from>
    <xdr:to>
      <xdr:col>3</xdr:col>
      <xdr:colOff>1440927</xdr:colOff>
      <xdr:row>93</xdr:row>
      <xdr:rowOff>76200</xdr:rowOff>
    </xdr:to>
    <xdr:sp macro="" textlink="">
      <xdr:nvSpPr>
        <xdr:cNvPr id="42" name="Rounded Rectangle 41">
          <a:hlinkClick xmlns:r="http://schemas.openxmlformats.org/officeDocument/2006/relationships" r:id="rId5"/>
          <a:extLst>
            <a:ext uri="{FF2B5EF4-FFF2-40B4-BE49-F238E27FC236}">
              <a16:creationId xmlns:a16="http://schemas.microsoft.com/office/drawing/2014/main" id="{8C8B1FD7-2557-BE49-BF0F-2945330068A1}"/>
            </a:ext>
          </a:extLst>
        </xdr:cNvPr>
        <xdr:cNvSpPr/>
      </xdr:nvSpPr>
      <xdr:spPr>
        <a:xfrm>
          <a:off x="5881731" y="23558617"/>
          <a:ext cx="3395096" cy="1168283"/>
        </a:xfrm>
        <a:prstGeom prst="roundRect">
          <a:avLst>
            <a:gd name="adj" fmla="val 24141"/>
          </a:avLst>
        </a:prstGeom>
        <a:solidFill>
          <a:schemeClr val="accent5">
            <a:lumMod val="40000"/>
            <a:lumOff val="60000"/>
          </a:scheme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Production volume is calculated based on all the </a:t>
          </a:r>
          <a:r>
            <a:rPr kumimoji="0" lang="en-US" sz="14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Input materials </a:t>
          </a: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entered above</a:t>
          </a:r>
          <a:b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b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(1L =~ 1Kg)</a:t>
          </a:r>
        </a:p>
      </xdr:txBody>
    </xdr:sp>
    <xdr:clientData/>
  </xdr:twoCellAnchor>
  <xdr:twoCellAnchor>
    <xdr:from>
      <xdr:col>4</xdr:col>
      <xdr:colOff>669728</xdr:colOff>
      <xdr:row>80</xdr:row>
      <xdr:rowOff>140052</xdr:rowOff>
    </xdr:from>
    <xdr:to>
      <xdr:col>5</xdr:col>
      <xdr:colOff>816356</xdr:colOff>
      <xdr:row>83</xdr:row>
      <xdr:rowOff>90390</xdr:rowOff>
    </xdr:to>
    <xdr:sp macro="" textlink="">
      <xdr:nvSpPr>
        <xdr:cNvPr id="43" name="Rounded Rectangle 42">
          <a:extLst>
            <a:ext uri="{FF2B5EF4-FFF2-40B4-BE49-F238E27FC236}">
              <a16:creationId xmlns:a16="http://schemas.microsoft.com/office/drawing/2014/main" id="{3E4913FE-3570-7045-9E31-AFD10EF22832}"/>
            </a:ext>
          </a:extLst>
        </xdr:cNvPr>
        <xdr:cNvSpPr/>
      </xdr:nvSpPr>
      <xdr:spPr>
        <a:xfrm>
          <a:off x="10817028" y="21641152"/>
          <a:ext cx="2458028" cy="712338"/>
        </a:xfrm>
        <a:prstGeom prst="roundRect">
          <a:avLst>
            <a:gd name="adj" fmla="val 46754"/>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Enter additional information</a:t>
          </a:r>
        </a:p>
      </xdr:txBody>
    </xdr:sp>
    <xdr:clientData/>
  </xdr:twoCellAnchor>
  <xdr:twoCellAnchor>
    <xdr:from>
      <xdr:col>4</xdr:col>
      <xdr:colOff>140660</xdr:colOff>
      <xdr:row>80</xdr:row>
      <xdr:rowOff>188650</xdr:rowOff>
    </xdr:from>
    <xdr:to>
      <xdr:col>4</xdr:col>
      <xdr:colOff>771104</xdr:colOff>
      <xdr:row>83</xdr:row>
      <xdr:rowOff>41792</xdr:rowOff>
    </xdr:to>
    <xdr:sp macro="" textlink="">
      <xdr:nvSpPr>
        <xdr:cNvPr id="44" name="Text Placeholder 1248">
          <a:extLst>
            <a:ext uri="{FF2B5EF4-FFF2-40B4-BE49-F238E27FC236}">
              <a16:creationId xmlns:a16="http://schemas.microsoft.com/office/drawing/2014/main" id="{8943E69E-E499-5944-8E31-A4753F57382E}"/>
            </a:ext>
          </a:extLst>
        </xdr:cNvPr>
        <xdr:cNvSpPr>
          <a:spLocks noGrp="1"/>
        </xdr:cNvSpPr>
      </xdr:nvSpPr>
      <xdr:spPr>
        <a:xfrm>
          <a:off x="10287960" y="21689750"/>
          <a:ext cx="630444" cy="615142"/>
        </a:xfrm>
        <a:prstGeom prst="ellipse">
          <a:avLst/>
        </a:prstGeom>
        <a:solidFill>
          <a:srgbClr val="60CCF3"/>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pPr marL="0" indent="0" algn="ctr" defTabSz="914400" rtl="0" eaLnBrk="1" latinLnBrk="0" hangingPunct="1">
            <a:lnSpc>
              <a:spcPct val="100000"/>
            </a:lnSpc>
            <a:spcBef>
              <a:spcPts val="0"/>
            </a:spcBef>
            <a:buFont typeface="Arial" panose="020B0604020202020204" pitchFamily="34" charset="0"/>
            <a:buNone/>
          </a:pPr>
          <a:r>
            <a:rPr lang="en-US" sz="2800" b="1" kern="1200">
              <a:ln w="0">
                <a:noFill/>
              </a:ln>
              <a:solidFill>
                <a:sysClr val="windowText" lastClr="000000"/>
              </a:solidFill>
              <a:latin typeface="Arial" panose="020B0604020202020204" pitchFamily="34" charset="0"/>
              <a:ea typeface="+mn-ea"/>
              <a:cs typeface="Arial" panose="020B0604020202020204" pitchFamily="34" charset="0"/>
            </a:rPr>
            <a:t>11</a:t>
          </a:r>
        </a:p>
      </xdr:txBody>
    </xdr:sp>
    <xdr:clientData/>
  </xdr:twoCellAnchor>
  <xdr:twoCellAnchor>
    <xdr:from>
      <xdr:col>2</xdr:col>
      <xdr:colOff>659568</xdr:colOff>
      <xdr:row>93</xdr:row>
      <xdr:rowOff>236572</xdr:rowOff>
    </xdr:from>
    <xdr:to>
      <xdr:col>3</xdr:col>
      <xdr:colOff>1504696</xdr:colOff>
      <xdr:row>96</xdr:row>
      <xdr:rowOff>174210</xdr:rowOff>
    </xdr:to>
    <xdr:sp macro="" textlink="">
      <xdr:nvSpPr>
        <xdr:cNvPr id="45" name="Rounded Rectangle 44">
          <a:extLst>
            <a:ext uri="{FF2B5EF4-FFF2-40B4-BE49-F238E27FC236}">
              <a16:creationId xmlns:a16="http://schemas.microsoft.com/office/drawing/2014/main" id="{C8A59046-DF51-8C4C-8E1A-6DD9D8713796}"/>
            </a:ext>
          </a:extLst>
        </xdr:cNvPr>
        <xdr:cNvSpPr/>
      </xdr:nvSpPr>
      <xdr:spPr>
        <a:xfrm>
          <a:off x="6425368" y="24887272"/>
          <a:ext cx="2915228" cy="712338"/>
        </a:xfrm>
        <a:prstGeom prst="roundRect">
          <a:avLst>
            <a:gd name="adj" fmla="val 46754"/>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Replace with your volume</a:t>
          </a:r>
        </a:p>
      </xdr:txBody>
    </xdr:sp>
    <xdr:clientData/>
  </xdr:twoCellAnchor>
  <xdr:twoCellAnchor>
    <xdr:from>
      <xdr:col>2</xdr:col>
      <xdr:colOff>130500</xdr:colOff>
      <xdr:row>94</xdr:row>
      <xdr:rowOff>71810</xdr:rowOff>
    </xdr:from>
    <xdr:to>
      <xdr:col>2</xdr:col>
      <xdr:colOff>760944</xdr:colOff>
      <xdr:row>96</xdr:row>
      <xdr:rowOff>166252</xdr:rowOff>
    </xdr:to>
    <xdr:sp macro="" textlink="">
      <xdr:nvSpPr>
        <xdr:cNvPr id="46" name="Text Placeholder 1248">
          <a:extLst>
            <a:ext uri="{FF2B5EF4-FFF2-40B4-BE49-F238E27FC236}">
              <a16:creationId xmlns:a16="http://schemas.microsoft.com/office/drawing/2014/main" id="{FB0DCC9D-181C-4749-A4BB-CD900D64DDFB}"/>
            </a:ext>
          </a:extLst>
        </xdr:cNvPr>
        <xdr:cNvSpPr>
          <a:spLocks noGrp="1"/>
        </xdr:cNvSpPr>
      </xdr:nvSpPr>
      <xdr:spPr>
        <a:xfrm>
          <a:off x="5896300" y="24976510"/>
          <a:ext cx="630444" cy="615142"/>
        </a:xfrm>
        <a:prstGeom prst="ellipse">
          <a:avLst/>
        </a:prstGeom>
        <a:solidFill>
          <a:srgbClr val="60CCF3"/>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pPr marL="0" indent="0" algn="ctr" defTabSz="914400" rtl="0" eaLnBrk="1" latinLnBrk="0" hangingPunct="1">
            <a:lnSpc>
              <a:spcPct val="100000"/>
            </a:lnSpc>
            <a:spcBef>
              <a:spcPts val="0"/>
            </a:spcBef>
            <a:buFont typeface="Arial" panose="020B0604020202020204" pitchFamily="34" charset="0"/>
            <a:buNone/>
          </a:pPr>
          <a:r>
            <a:rPr lang="en-US" sz="2800" b="1" kern="1200">
              <a:ln w="0">
                <a:noFill/>
              </a:ln>
              <a:solidFill>
                <a:sysClr val="windowText" lastClr="000000"/>
              </a:solidFill>
              <a:latin typeface="Arial" panose="020B0604020202020204" pitchFamily="34" charset="0"/>
              <a:ea typeface="+mn-ea"/>
              <a:cs typeface="Arial" panose="020B0604020202020204" pitchFamily="34" charset="0"/>
            </a:rPr>
            <a:t>12</a:t>
          </a:r>
        </a:p>
      </xdr:txBody>
    </xdr:sp>
    <xdr:clientData/>
  </xdr:twoCellAnchor>
  <xdr:twoCellAnchor>
    <xdr:from>
      <xdr:col>2</xdr:col>
      <xdr:colOff>523137</xdr:colOff>
      <xdr:row>98</xdr:row>
      <xdr:rowOff>1612</xdr:rowOff>
    </xdr:from>
    <xdr:to>
      <xdr:col>4</xdr:col>
      <xdr:colOff>38906</xdr:colOff>
      <xdr:row>99</xdr:row>
      <xdr:rowOff>174776</xdr:rowOff>
    </xdr:to>
    <xdr:sp macro="" textlink="">
      <xdr:nvSpPr>
        <xdr:cNvPr id="47" name="Rounded Rectangle 46">
          <a:extLst>
            <a:ext uri="{FF2B5EF4-FFF2-40B4-BE49-F238E27FC236}">
              <a16:creationId xmlns:a16="http://schemas.microsoft.com/office/drawing/2014/main" id="{8BC74121-97D5-4C44-A4B1-FA45DBC18577}"/>
            </a:ext>
          </a:extLst>
        </xdr:cNvPr>
        <xdr:cNvSpPr/>
      </xdr:nvSpPr>
      <xdr:spPr>
        <a:xfrm>
          <a:off x="6288937" y="25935012"/>
          <a:ext cx="3897269" cy="706564"/>
        </a:xfrm>
        <a:prstGeom prst="roundRect">
          <a:avLst>
            <a:gd name="adj" fmla="val 24141"/>
          </a:avLst>
        </a:prstGeom>
        <a:solidFill>
          <a:schemeClr val="accent5">
            <a:lumMod val="40000"/>
            <a:lumOff val="60000"/>
          </a:scheme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Volume Utilized fraction is ratio of </a:t>
          </a:r>
          <a:r>
            <a:rPr kumimoji="0" lang="en-US" sz="14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Production</a:t>
          </a: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 to </a:t>
          </a:r>
          <a:r>
            <a:rPr kumimoji="0" lang="en-US" sz="14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Equipment</a:t>
          </a: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 Volume</a:t>
          </a:r>
        </a:p>
      </xdr:txBody>
    </xdr:sp>
    <xdr:clientData/>
  </xdr:twoCellAnchor>
  <xdr:twoCellAnchor>
    <xdr:from>
      <xdr:col>2</xdr:col>
      <xdr:colOff>68756</xdr:colOff>
      <xdr:row>139</xdr:row>
      <xdr:rowOff>116377</xdr:rowOff>
    </xdr:from>
    <xdr:to>
      <xdr:col>3</xdr:col>
      <xdr:colOff>2235108</xdr:colOff>
      <xdr:row>141</xdr:row>
      <xdr:rowOff>247180</xdr:rowOff>
    </xdr:to>
    <xdr:sp macro="" textlink="">
      <xdr:nvSpPr>
        <xdr:cNvPr id="48" name="Rounded Rectangle 47">
          <a:extLst>
            <a:ext uri="{FF2B5EF4-FFF2-40B4-BE49-F238E27FC236}">
              <a16:creationId xmlns:a16="http://schemas.microsoft.com/office/drawing/2014/main" id="{1FF4CA1B-B8F3-9B4A-90C1-4B816CA3B80A}"/>
            </a:ext>
          </a:extLst>
        </xdr:cNvPr>
        <xdr:cNvSpPr/>
      </xdr:nvSpPr>
      <xdr:spPr>
        <a:xfrm>
          <a:off x="5834556" y="37022577"/>
          <a:ext cx="4236452" cy="638803"/>
        </a:xfrm>
        <a:prstGeom prst="roundRect">
          <a:avLst>
            <a:gd name="adj" fmla="val 24141"/>
          </a:avLst>
        </a:prstGeom>
        <a:solidFill>
          <a:schemeClr val="accent5">
            <a:lumMod val="40000"/>
            <a:lumOff val="60000"/>
          </a:scheme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Calculated as the sum of Theoritical Yield from the 1.1 Precursor Materials Table</a:t>
          </a:r>
        </a:p>
      </xdr:txBody>
    </xdr:sp>
    <xdr:clientData/>
  </xdr:twoCellAnchor>
  <xdr:twoCellAnchor>
    <xdr:from>
      <xdr:col>0</xdr:col>
      <xdr:colOff>53287</xdr:colOff>
      <xdr:row>137</xdr:row>
      <xdr:rowOff>25399</xdr:rowOff>
    </xdr:from>
    <xdr:to>
      <xdr:col>3</xdr:col>
      <xdr:colOff>1110140</xdr:colOff>
      <xdr:row>139</xdr:row>
      <xdr:rowOff>85378</xdr:rowOff>
    </xdr:to>
    <xdr:sp macro="" textlink="">
      <xdr:nvSpPr>
        <xdr:cNvPr id="49" name="Rounded Rectangle 48">
          <a:extLst>
            <a:ext uri="{FF2B5EF4-FFF2-40B4-BE49-F238E27FC236}">
              <a16:creationId xmlns:a16="http://schemas.microsoft.com/office/drawing/2014/main" id="{8D3D1019-0C98-BB4D-9157-D8EB0F1C32F4}"/>
            </a:ext>
          </a:extLst>
        </xdr:cNvPr>
        <xdr:cNvSpPr/>
      </xdr:nvSpPr>
      <xdr:spPr>
        <a:xfrm>
          <a:off x="53287" y="36423599"/>
          <a:ext cx="8892753" cy="567979"/>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Yield Calculation for this process</a:t>
          </a:r>
        </a:p>
      </xdr:txBody>
    </xdr:sp>
    <xdr:clientData/>
  </xdr:twoCellAnchor>
  <xdr:twoCellAnchor>
    <xdr:from>
      <xdr:col>0</xdr:col>
      <xdr:colOff>53287</xdr:colOff>
      <xdr:row>100</xdr:row>
      <xdr:rowOff>253865</xdr:rowOff>
    </xdr:from>
    <xdr:to>
      <xdr:col>3</xdr:col>
      <xdr:colOff>1110140</xdr:colOff>
      <xdr:row>103</xdr:row>
      <xdr:rowOff>131099</xdr:rowOff>
    </xdr:to>
    <xdr:sp macro="" textlink="">
      <xdr:nvSpPr>
        <xdr:cNvPr id="50" name="Rounded Rectangle 49">
          <a:extLst>
            <a:ext uri="{FF2B5EF4-FFF2-40B4-BE49-F238E27FC236}">
              <a16:creationId xmlns:a16="http://schemas.microsoft.com/office/drawing/2014/main" id="{A2A79E13-E845-5045-841C-634CFF1323C9}"/>
            </a:ext>
          </a:extLst>
        </xdr:cNvPr>
        <xdr:cNvSpPr/>
      </xdr:nvSpPr>
      <xdr:spPr>
        <a:xfrm>
          <a:off x="53287" y="26974665"/>
          <a:ext cx="8892753" cy="639234"/>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1.3 Energy Consumption Estimation</a:t>
          </a:r>
        </a:p>
      </xdr:txBody>
    </xdr:sp>
    <xdr:clientData/>
  </xdr:twoCellAnchor>
  <xdr:twoCellAnchor>
    <xdr:from>
      <xdr:col>4</xdr:col>
      <xdr:colOff>1995714</xdr:colOff>
      <xdr:row>13</xdr:row>
      <xdr:rowOff>63500</xdr:rowOff>
    </xdr:from>
    <xdr:to>
      <xdr:col>5</xdr:col>
      <xdr:colOff>262636</xdr:colOff>
      <xdr:row>14</xdr:row>
      <xdr:rowOff>241300</xdr:rowOff>
    </xdr:to>
    <xdr:sp macro="" textlink="">
      <xdr:nvSpPr>
        <xdr:cNvPr id="51" name="Text Placeholder 1248">
          <a:extLst>
            <a:ext uri="{FF2B5EF4-FFF2-40B4-BE49-F238E27FC236}">
              <a16:creationId xmlns:a16="http://schemas.microsoft.com/office/drawing/2014/main" id="{B27D246A-2439-FE40-8E09-0A173F3745B3}"/>
            </a:ext>
          </a:extLst>
        </xdr:cNvPr>
        <xdr:cNvSpPr>
          <a:spLocks noGrp="1"/>
        </xdr:cNvSpPr>
      </xdr:nvSpPr>
      <xdr:spPr>
        <a:xfrm>
          <a:off x="12143014" y="3441700"/>
          <a:ext cx="578322" cy="558800"/>
        </a:xfrm>
        <a:prstGeom prst="ellipse">
          <a:avLst/>
        </a:prstGeom>
        <a:solidFill>
          <a:schemeClr val="accent5">
            <a:lumMod val="40000"/>
            <a:lumOff val="60000"/>
          </a:schemeClr>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r>
            <a:rPr lang="en-US"/>
            <a:t>#</a:t>
          </a:r>
        </a:p>
      </xdr:txBody>
    </xdr:sp>
    <xdr:clientData/>
  </xdr:twoCellAnchor>
  <xdr:twoCellAnchor>
    <xdr:from>
      <xdr:col>5</xdr:col>
      <xdr:colOff>408887</xdr:colOff>
      <xdr:row>13</xdr:row>
      <xdr:rowOff>101600</xdr:rowOff>
    </xdr:from>
    <xdr:to>
      <xdr:col>6</xdr:col>
      <xdr:colOff>914400</xdr:colOff>
      <xdr:row>14</xdr:row>
      <xdr:rowOff>215900</xdr:rowOff>
    </xdr:to>
    <xdr:sp macro="" textlink="">
      <xdr:nvSpPr>
        <xdr:cNvPr id="52" name="Rounded Rectangle 51">
          <a:extLst>
            <a:ext uri="{FF2B5EF4-FFF2-40B4-BE49-F238E27FC236}">
              <a16:creationId xmlns:a16="http://schemas.microsoft.com/office/drawing/2014/main" id="{717CA095-A022-644E-B0E8-6FAD4EAE5AE8}"/>
            </a:ext>
          </a:extLst>
        </xdr:cNvPr>
        <xdr:cNvSpPr/>
      </xdr:nvSpPr>
      <xdr:spPr>
        <a:xfrm>
          <a:off x="12867587" y="3479800"/>
          <a:ext cx="2816913" cy="495300"/>
        </a:xfrm>
        <a:prstGeom prst="roundRect">
          <a:avLst>
            <a:gd name="adj" fmla="val 43110"/>
          </a:avLst>
        </a:prstGeom>
        <a:solidFill>
          <a:schemeClr val="accent5">
            <a:lumMod val="40000"/>
            <a:lumOff val="60000"/>
          </a:schemeClr>
        </a:solidFill>
        <a:ln w="44450">
          <a:solidFill>
            <a:sysClr val="windowText" lastClr="000000"/>
          </a:solidFill>
        </a:ln>
      </xdr:spPr>
      <xdr:txBody>
        <a:bodyPr vert="horz" wrap="square" lIns="0" tIns="0" rIns="0" bIns="0" rtlCol="0" anchor="ctr">
          <a:noAutofit/>
        </a:bodyPr>
        <a:lstStyle/>
        <a:p>
          <a:pPr marL="0" marR="0" lvl="0" indent="0" algn="ctr" defTabSz="914400" rtl="0" eaLnBrk="1" fontAlgn="auto" latinLnBrk="0" hangingPunct="1">
            <a:lnSpc>
              <a:spcPct val="100000"/>
            </a:lnSpc>
            <a:spcBef>
              <a:spcPts val="0"/>
            </a:spcBef>
            <a:spcAft>
              <a:spcPts val="0"/>
            </a:spcAft>
            <a:buClrTx/>
            <a:buSzTx/>
            <a:buFont typeface="Arial" panose="020B0604020202020204" pitchFamily="34" charset="0"/>
            <a:buNone/>
            <a:tabLst/>
            <a:defRPr/>
          </a:pPr>
          <a:r>
            <a:rPr lang="en-US" sz="2800" b="1" kern="1200">
              <a:ln w="0">
                <a:noFill/>
              </a:ln>
              <a:solidFill>
                <a:sysClr val="windowText" lastClr="000000"/>
              </a:solidFill>
              <a:latin typeface="Tw Cen MT"/>
              <a:ea typeface="+mn-ea"/>
              <a:cs typeface="+mn-cs"/>
            </a:rPr>
            <a:t>Estimated</a:t>
          </a:r>
        </a:p>
      </xdr:txBody>
    </xdr:sp>
    <xdr:clientData/>
  </xdr:twoCellAnchor>
  <xdr:twoCellAnchor>
    <xdr:from>
      <xdr:col>2</xdr:col>
      <xdr:colOff>417867</xdr:colOff>
      <xdr:row>104</xdr:row>
      <xdr:rowOff>241592</xdr:rowOff>
    </xdr:from>
    <xdr:to>
      <xdr:col>4</xdr:col>
      <xdr:colOff>1550581</xdr:colOff>
      <xdr:row>107</xdr:row>
      <xdr:rowOff>179429</xdr:rowOff>
    </xdr:to>
    <xdr:sp macro="" textlink="">
      <xdr:nvSpPr>
        <xdr:cNvPr id="53" name="Rounded Rectangle 52">
          <a:extLst>
            <a:ext uri="{FF2B5EF4-FFF2-40B4-BE49-F238E27FC236}">
              <a16:creationId xmlns:a16="http://schemas.microsoft.com/office/drawing/2014/main" id="{DED17FEC-6F5F-0642-97E5-046682DF98D5}"/>
            </a:ext>
          </a:extLst>
        </xdr:cNvPr>
        <xdr:cNvSpPr/>
      </xdr:nvSpPr>
      <xdr:spPr>
        <a:xfrm>
          <a:off x="6183667" y="27978392"/>
          <a:ext cx="5514214" cy="699837"/>
        </a:xfrm>
        <a:prstGeom prst="roundRect">
          <a:avLst>
            <a:gd name="adj" fmla="val 24141"/>
          </a:avLst>
        </a:prstGeom>
        <a:solidFill>
          <a:schemeClr val="accent5">
            <a:lumMod val="40000"/>
            <a:lumOff val="60000"/>
          </a:scheme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Estimated based on the </a:t>
          </a:r>
        </a:p>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 process time(h) * power rating consumption(kwh)/L * Equipment Volume(L)</a:t>
          </a:r>
        </a:p>
      </xdr:txBody>
    </xdr:sp>
    <xdr:clientData/>
  </xdr:twoCellAnchor>
  <xdr:twoCellAnchor>
    <xdr:from>
      <xdr:col>2</xdr:col>
      <xdr:colOff>711948</xdr:colOff>
      <xdr:row>108</xdr:row>
      <xdr:rowOff>71120</xdr:rowOff>
    </xdr:from>
    <xdr:to>
      <xdr:col>3</xdr:col>
      <xdr:colOff>1557076</xdr:colOff>
      <xdr:row>111</xdr:row>
      <xdr:rowOff>10160</xdr:rowOff>
    </xdr:to>
    <xdr:sp macro="" textlink="">
      <xdr:nvSpPr>
        <xdr:cNvPr id="54" name="Rounded Rectangle 53">
          <a:extLst>
            <a:ext uri="{FF2B5EF4-FFF2-40B4-BE49-F238E27FC236}">
              <a16:creationId xmlns:a16="http://schemas.microsoft.com/office/drawing/2014/main" id="{A2981690-098C-FE43-AB3D-F0B513956587}"/>
            </a:ext>
          </a:extLst>
        </xdr:cNvPr>
        <xdr:cNvSpPr/>
      </xdr:nvSpPr>
      <xdr:spPr>
        <a:xfrm>
          <a:off x="6477748" y="28823920"/>
          <a:ext cx="2915228" cy="701040"/>
        </a:xfrm>
        <a:prstGeom prst="roundRect">
          <a:avLst>
            <a:gd name="adj" fmla="val 46754"/>
          </a:avLst>
        </a:prstGeom>
        <a:solidFill>
          <a:srgbClr val="B9D4B1"/>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Enter any auxilary energy usage</a:t>
          </a:r>
        </a:p>
      </xdr:txBody>
    </xdr:sp>
    <xdr:clientData/>
  </xdr:twoCellAnchor>
  <xdr:twoCellAnchor>
    <xdr:from>
      <xdr:col>2</xdr:col>
      <xdr:colOff>152400</xdr:colOff>
      <xdr:row>108</xdr:row>
      <xdr:rowOff>68918</xdr:rowOff>
    </xdr:from>
    <xdr:to>
      <xdr:col>2</xdr:col>
      <xdr:colOff>782844</xdr:colOff>
      <xdr:row>110</xdr:row>
      <xdr:rowOff>173520</xdr:rowOff>
    </xdr:to>
    <xdr:sp macro="" textlink="">
      <xdr:nvSpPr>
        <xdr:cNvPr id="55" name="Text Placeholder 1248">
          <a:extLst>
            <a:ext uri="{FF2B5EF4-FFF2-40B4-BE49-F238E27FC236}">
              <a16:creationId xmlns:a16="http://schemas.microsoft.com/office/drawing/2014/main" id="{F34135E6-0B25-D648-A9F9-292DFAE04587}"/>
            </a:ext>
          </a:extLst>
        </xdr:cNvPr>
        <xdr:cNvSpPr>
          <a:spLocks noGrp="1"/>
        </xdr:cNvSpPr>
      </xdr:nvSpPr>
      <xdr:spPr>
        <a:xfrm>
          <a:off x="5918200" y="28821718"/>
          <a:ext cx="630444" cy="612602"/>
        </a:xfrm>
        <a:prstGeom prst="ellipse">
          <a:avLst/>
        </a:prstGeom>
        <a:solidFill>
          <a:srgbClr val="60CCF3"/>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pPr marL="0" indent="0" algn="ctr" defTabSz="914400" rtl="0" eaLnBrk="1" latinLnBrk="0" hangingPunct="1">
            <a:lnSpc>
              <a:spcPct val="100000"/>
            </a:lnSpc>
            <a:spcBef>
              <a:spcPts val="0"/>
            </a:spcBef>
            <a:buFont typeface="Arial" panose="020B0604020202020204" pitchFamily="34" charset="0"/>
            <a:buNone/>
          </a:pPr>
          <a:r>
            <a:rPr lang="en-US" sz="2800" b="1" kern="1200">
              <a:ln w="0">
                <a:noFill/>
              </a:ln>
              <a:solidFill>
                <a:sysClr val="windowText" lastClr="000000"/>
              </a:solidFill>
              <a:latin typeface="Arial" panose="020B0604020202020204" pitchFamily="34" charset="0"/>
              <a:ea typeface="+mn-ea"/>
              <a:cs typeface="Arial" panose="020B0604020202020204" pitchFamily="34" charset="0"/>
            </a:rPr>
            <a:t>13</a:t>
          </a:r>
        </a:p>
      </xdr:txBody>
    </xdr:sp>
    <xdr:clientData/>
  </xdr:twoCellAnchor>
  <xdr:twoCellAnchor>
    <xdr:from>
      <xdr:col>0</xdr:col>
      <xdr:colOff>0</xdr:colOff>
      <xdr:row>104</xdr:row>
      <xdr:rowOff>91440</xdr:rowOff>
    </xdr:from>
    <xdr:to>
      <xdr:col>1</xdr:col>
      <xdr:colOff>901700</xdr:colOff>
      <xdr:row>106</xdr:row>
      <xdr:rowOff>118020</xdr:rowOff>
    </xdr:to>
    <xdr:sp macro="" textlink="">
      <xdr:nvSpPr>
        <xdr:cNvPr id="56" name="Rounded Rectangle 55">
          <a:extLst>
            <a:ext uri="{FF2B5EF4-FFF2-40B4-BE49-F238E27FC236}">
              <a16:creationId xmlns:a16="http://schemas.microsoft.com/office/drawing/2014/main" id="{B4EEC7DA-6A3E-1B40-B8A9-C59522C1A568}"/>
            </a:ext>
          </a:extLst>
        </xdr:cNvPr>
        <xdr:cNvSpPr/>
      </xdr:nvSpPr>
      <xdr:spPr>
        <a:xfrm>
          <a:off x="0" y="27828240"/>
          <a:ext cx="4572000" cy="534580"/>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Best Estimate: With idle Electricity</a:t>
          </a:r>
        </a:p>
      </xdr:txBody>
    </xdr:sp>
    <xdr:clientData/>
  </xdr:twoCellAnchor>
  <xdr:twoCellAnchor>
    <xdr:from>
      <xdr:col>0</xdr:col>
      <xdr:colOff>53287</xdr:colOff>
      <xdr:row>117</xdr:row>
      <xdr:rowOff>74768</xdr:rowOff>
    </xdr:from>
    <xdr:to>
      <xdr:col>3</xdr:col>
      <xdr:colOff>1110140</xdr:colOff>
      <xdr:row>119</xdr:row>
      <xdr:rowOff>208704</xdr:rowOff>
    </xdr:to>
    <xdr:sp macro="" textlink="">
      <xdr:nvSpPr>
        <xdr:cNvPr id="57" name="Rounded Rectangle 56">
          <a:extLst>
            <a:ext uri="{FF2B5EF4-FFF2-40B4-BE49-F238E27FC236}">
              <a16:creationId xmlns:a16="http://schemas.microsoft.com/office/drawing/2014/main" id="{13C7F479-4CCF-1343-8B5B-9981CD2856B8}"/>
            </a:ext>
          </a:extLst>
        </xdr:cNvPr>
        <xdr:cNvSpPr/>
      </xdr:nvSpPr>
      <xdr:spPr>
        <a:xfrm>
          <a:off x="53287" y="31113568"/>
          <a:ext cx="8892753" cy="641936"/>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1.4 Carbon Dioxide Equivalent Estimate</a:t>
          </a:r>
        </a:p>
      </xdr:txBody>
    </xdr:sp>
    <xdr:clientData/>
  </xdr:twoCellAnchor>
  <xdr:twoCellAnchor>
    <xdr:from>
      <xdr:col>0</xdr:col>
      <xdr:colOff>0</xdr:colOff>
      <xdr:row>121</xdr:row>
      <xdr:rowOff>80491</xdr:rowOff>
    </xdr:from>
    <xdr:to>
      <xdr:col>0</xdr:col>
      <xdr:colOff>2816913</xdr:colOff>
      <xdr:row>123</xdr:row>
      <xdr:rowOff>107072</xdr:rowOff>
    </xdr:to>
    <xdr:sp macro="" textlink="">
      <xdr:nvSpPr>
        <xdr:cNvPr id="58" name="Rounded Rectangle 57">
          <a:extLst>
            <a:ext uri="{FF2B5EF4-FFF2-40B4-BE49-F238E27FC236}">
              <a16:creationId xmlns:a16="http://schemas.microsoft.com/office/drawing/2014/main" id="{A00E2EE5-C876-0B4A-878A-8082F8804FD5}"/>
            </a:ext>
          </a:extLst>
        </xdr:cNvPr>
        <xdr:cNvSpPr/>
      </xdr:nvSpPr>
      <xdr:spPr>
        <a:xfrm>
          <a:off x="0" y="32135291"/>
          <a:ext cx="2816913" cy="534581"/>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1.4.1 Good Estimate</a:t>
          </a:r>
        </a:p>
      </xdr:txBody>
    </xdr:sp>
    <xdr:clientData/>
  </xdr:twoCellAnchor>
  <xdr:twoCellAnchor>
    <xdr:from>
      <xdr:col>1</xdr:col>
      <xdr:colOff>411362</xdr:colOff>
      <xdr:row>120</xdr:row>
      <xdr:rowOff>101493</xdr:rowOff>
    </xdr:from>
    <xdr:to>
      <xdr:col>2</xdr:col>
      <xdr:colOff>770107</xdr:colOff>
      <xdr:row>123</xdr:row>
      <xdr:rowOff>40532</xdr:rowOff>
    </xdr:to>
    <xdr:sp macro="" textlink="">
      <xdr:nvSpPr>
        <xdr:cNvPr id="59" name="Rounded Rectangle 58">
          <a:extLst>
            <a:ext uri="{FF2B5EF4-FFF2-40B4-BE49-F238E27FC236}">
              <a16:creationId xmlns:a16="http://schemas.microsoft.com/office/drawing/2014/main" id="{5F5F9933-7A50-C84A-BE92-22E1A2F2C849}"/>
            </a:ext>
          </a:extLst>
        </xdr:cNvPr>
        <xdr:cNvSpPr/>
      </xdr:nvSpPr>
      <xdr:spPr>
        <a:xfrm>
          <a:off x="4081662" y="31902293"/>
          <a:ext cx="2454245" cy="701039"/>
        </a:xfrm>
        <a:prstGeom prst="roundRect">
          <a:avLst>
            <a:gd name="adj" fmla="val 46754"/>
          </a:avLst>
        </a:prstGeom>
        <a:solidFill>
          <a:srgbClr val="B9D4B1"/>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Select location of power source</a:t>
          </a:r>
        </a:p>
      </xdr:txBody>
    </xdr:sp>
    <xdr:clientData/>
  </xdr:twoCellAnchor>
  <xdr:twoCellAnchor>
    <xdr:from>
      <xdr:col>0</xdr:col>
      <xdr:colOff>3526708</xdr:colOff>
      <xdr:row>120</xdr:row>
      <xdr:rowOff>99291</xdr:rowOff>
    </xdr:from>
    <xdr:to>
      <xdr:col>1</xdr:col>
      <xdr:colOff>482258</xdr:colOff>
      <xdr:row>122</xdr:row>
      <xdr:rowOff>203892</xdr:rowOff>
    </xdr:to>
    <xdr:sp macro="" textlink="">
      <xdr:nvSpPr>
        <xdr:cNvPr id="60" name="Text Placeholder 1248">
          <a:extLst>
            <a:ext uri="{FF2B5EF4-FFF2-40B4-BE49-F238E27FC236}">
              <a16:creationId xmlns:a16="http://schemas.microsoft.com/office/drawing/2014/main" id="{D4511CA6-E643-DD4C-9259-6371282545F8}"/>
            </a:ext>
          </a:extLst>
        </xdr:cNvPr>
        <xdr:cNvSpPr>
          <a:spLocks noGrp="1"/>
        </xdr:cNvSpPr>
      </xdr:nvSpPr>
      <xdr:spPr>
        <a:xfrm>
          <a:off x="3526708" y="31900091"/>
          <a:ext cx="625850" cy="612601"/>
        </a:xfrm>
        <a:prstGeom prst="ellipse">
          <a:avLst/>
        </a:prstGeom>
        <a:solidFill>
          <a:srgbClr val="60CCF3"/>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pPr marL="0" indent="0" algn="ctr" defTabSz="914400" rtl="0" eaLnBrk="1" latinLnBrk="0" hangingPunct="1">
            <a:lnSpc>
              <a:spcPct val="100000"/>
            </a:lnSpc>
            <a:spcBef>
              <a:spcPts val="0"/>
            </a:spcBef>
            <a:buFont typeface="Arial" panose="020B0604020202020204" pitchFamily="34" charset="0"/>
            <a:buNone/>
          </a:pPr>
          <a:r>
            <a:rPr lang="en-US" sz="2800" b="1" kern="1200">
              <a:ln w="0">
                <a:noFill/>
              </a:ln>
              <a:solidFill>
                <a:sysClr val="windowText" lastClr="000000"/>
              </a:solidFill>
              <a:latin typeface="Arial" panose="020B0604020202020204" pitchFamily="34" charset="0"/>
              <a:ea typeface="+mn-ea"/>
              <a:cs typeface="Arial" panose="020B0604020202020204" pitchFamily="34" charset="0"/>
            </a:rPr>
            <a:t>14</a:t>
          </a:r>
        </a:p>
      </xdr:txBody>
    </xdr:sp>
    <xdr:clientData/>
  </xdr:twoCellAnchor>
  <xdr:twoCellAnchor>
    <xdr:from>
      <xdr:col>2</xdr:col>
      <xdr:colOff>532526</xdr:colOff>
      <xdr:row>142</xdr:row>
      <xdr:rowOff>110286</xdr:rowOff>
    </xdr:from>
    <xdr:to>
      <xdr:col>3</xdr:col>
      <xdr:colOff>2283297</xdr:colOff>
      <xdr:row>145</xdr:row>
      <xdr:rowOff>49326</xdr:rowOff>
    </xdr:to>
    <xdr:sp macro="" textlink="">
      <xdr:nvSpPr>
        <xdr:cNvPr id="61" name="Rounded Rectangle 60">
          <a:extLst>
            <a:ext uri="{FF2B5EF4-FFF2-40B4-BE49-F238E27FC236}">
              <a16:creationId xmlns:a16="http://schemas.microsoft.com/office/drawing/2014/main" id="{0D8591C2-0758-9245-B354-188CEC54050B}"/>
            </a:ext>
          </a:extLst>
        </xdr:cNvPr>
        <xdr:cNvSpPr/>
      </xdr:nvSpPr>
      <xdr:spPr>
        <a:xfrm>
          <a:off x="6298326" y="37778486"/>
          <a:ext cx="3820871" cy="701040"/>
        </a:xfrm>
        <a:prstGeom prst="roundRect">
          <a:avLst>
            <a:gd name="adj" fmla="val 46754"/>
          </a:avLst>
        </a:prstGeom>
        <a:solidFill>
          <a:srgbClr val="B9D4B1"/>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Enter total amount of final product obtained in this process</a:t>
          </a:r>
        </a:p>
      </xdr:txBody>
    </xdr:sp>
    <xdr:clientData/>
  </xdr:twoCellAnchor>
  <xdr:twoCellAnchor>
    <xdr:from>
      <xdr:col>2</xdr:col>
      <xdr:colOff>65609</xdr:colOff>
      <xdr:row>142</xdr:row>
      <xdr:rowOff>199524</xdr:rowOff>
    </xdr:from>
    <xdr:to>
      <xdr:col>2</xdr:col>
      <xdr:colOff>650489</xdr:colOff>
      <xdr:row>145</xdr:row>
      <xdr:rowOff>50126</xdr:rowOff>
    </xdr:to>
    <xdr:sp macro="" textlink="">
      <xdr:nvSpPr>
        <xdr:cNvPr id="62" name="Text Placeholder 1248">
          <a:extLst>
            <a:ext uri="{FF2B5EF4-FFF2-40B4-BE49-F238E27FC236}">
              <a16:creationId xmlns:a16="http://schemas.microsoft.com/office/drawing/2014/main" id="{F14882B6-2836-7B43-A992-DFA164FFC1A4}"/>
            </a:ext>
          </a:extLst>
        </xdr:cNvPr>
        <xdr:cNvSpPr>
          <a:spLocks noGrp="1"/>
        </xdr:cNvSpPr>
      </xdr:nvSpPr>
      <xdr:spPr>
        <a:xfrm>
          <a:off x="5831409" y="37867724"/>
          <a:ext cx="584880" cy="612602"/>
        </a:xfrm>
        <a:prstGeom prst="ellipse">
          <a:avLst/>
        </a:prstGeom>
        <a:solidFill>
          <a:srgbClr val="FFCD00"/>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pPr marL="0" indent="0" algn="ctr" defTabSz="914400" rtl="0" eaLnBrk="1" latinLnBrk="0" hangingPunct="1">
            <a:lnSpc>
              <a:spcPct val="100000"/>
            </a:lnSpc>
            <a:spcBef>
              <a:spcPts val="0"/>
            </a:spcBef>
            <a:buFont typeface="Arial" panose="020B0604020202020204" pitchFamily="34" charset="0"/>
            <a:buNone/>
          </a:pPr>
          <a:r>
            <a:rPr lang="en-US" sz="2800" b="1" kern="1200">
              <a:ln w="0">
                <a:noFill/>
              </a:ln>
              <a:solidFill>
                <a:sysClr val="windowText" lastClr="000000"/>
              </a:solidFill>
              <a:latin typeface="Arial" panose="020B0604020202020204" pitchFamily="34" charset="0"/>
              <a:ea typeface="+mn-ea"/>
              <a:cs typeface="Arial" panose="020B0604020202020204" pitchFamily="34" charset="0"/>
            </a:rPr>
            <a:t>15</a:t>
          </a:r>
        </a:p>
      </xdr:txBody>
    </xdr:sp>
    <xdr:clientData/>
  </xdr:twoCellAnchor>
  <xdr:twoCellAnchor>
    <xdr:from>
      <xdr:col>2</xdr:col>
      <xdr:colOff>972767</xdr:colOff>
      <xdr:row>120</xdr:row>
      <xdr:rowOff>62164</xdr:rowOff>
    </xdr:from>
    <xdr:to>
      <xdr:col>4</xdr:col>
      <xdr:colOff>494697</xdr:colOff>
      <xdr:row>123</xdr:row>
      <xdr:rowOff>1</xdr:rowOff>
    </xdr:to>
    <xdr:sp macro="" textlink="">
      <xdr:nvSpPr>
        <xdr:cNvPr id="63" name="Rounded Rectangle 62">
          <a:hlinkClick xmlns:r="http://schemas.openxmlformats.org/officeDocument/2006/relationships" r:id="rId6"/>
          <a:extLst>
            <a:ext uri="{FF2B5EF4-FFF2-40B4-BE49-F238E27FC236}">
              <a16:creationId xmlns:a16="http://schemas.microsoft.com/office/drawing/2014/main" id="{57FB602E-D5C4-9D44-B9E6-7DAE010F1D1F}"/>
            </a:ext>
          </a:extLst>
        </xdr:cNvPr>
        <xdr:cNvSpPr/>
      </xdr:nvSpPr>
      <xdr:spPr>
        <a:xfrm>
          <a:off x="6738567" y="31862964"/>
          <a:ext cx="3903430" cy="699837"/>
        </a:xfrm>
        <a:prstGeom prst="roundRect">
          <a:avLst>
            <a:gd name="adj" fmla="val 24141"/>
          </a:avLst>
        </a:prstGeom>
        <a:solidFill>
          <a:schemeClr val="accent5">
            <a:lumMod val="40000"/>
            <a:lumOff val="60000"/>
          </a:scheme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Click to view CO2e data from each state</a:t>
          </a:r>
        </a:p>
      </xdr:txBody>
    </xdr:sp>
    <xdr:clientData/>
  </xdr:twoCellAnchor>
  <xdr:twoCellAnchor>
    <xdr:from>
      <xdr:col>0</xdr:col>
      <xdr:colOff>0</xdr:colOff>
      <xdr:row>150</xdr:row>
      <xdr:rowOff>0</xdr:rowOff>
    </xdr:from>
    <xdr:to>
      <xdr:col>3</xdr:col>
      <xdr:colOff>1056853</xdr:colOff>
      <xdr:row>153</xdr:row>
      <xdr:rowOff>82507</xdr:rowOff>
    </xdr:to>
    <xdr:sp macro="" textlink="">
      <xdr:nvSpPr>
        <xdr:cNvPr id="64" name="Rounded Rectangle 63">
          <a:extLst>
            <a:ext uri="{FF2B5EF4-FFF2-40B4-BE49-F238E27FC236}">
              <a16:creationId xmlns:a16="http://schemas.microsoft.com/office/drawing/2014/main" id="{ABB0B504-B636-1A45-9099-BAF36C4152BA}"/>
            </a:ext>
          </a:extLst>
        </xdr:cNvPr>
        <xdr:cNvSpPr/>
      </xdr:nvSpPr>
      <xdr:spPr>
        <a:xfrm>
          <a:off x="0" y="39700200"/>
          <a:ext cx="8892753" cy="844507"/>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2. Outputs</a:t>
          </a:r>
        </a:p>
      </xdr:txBody>
    </xdr:sp>
    <xdr:clientData/>
  </xdr:twoCellAnchor>
  <xdr:twoCellAnchor>
    <xdr:from>
      <xdr:col>0</xdr:col>
      <xdr:colOff>0</xdr:colOff>
      <xdr:row>153</xdr:row>
      <xdr:rowOff>148617</xdr:rowOff>
    </xdr:from>
    <xdr:to>
      <xdr:col>1</xdr:col>
      <xdr:colOff>1567234</xdr:colOff>
      <xdr:row>155</xdr:row>
      <xdr:rowOff>231123</xdr:rowOff>
    </xdr:to>
    <xdr:sp macro="" textlink="">
      <xdr:nvSpPr>
        <xdr:cNvPr id="65" name="Rounded Rectangle 64">
          <a:extLst>
            <a:ext uri="{FF2B5EF4-FFF2-40B4-BE49-F238E27FC236}">
              <a16:creationId xmlns:a16="http://schemas.microsoft.com/office/drawing/2014/main" id="{B54178D7-CA6B-9C45-B3FA-AEED34984A0C}"/>
            </a:ext>
          </a:extLst>
        </xdr:cNvPr>
        <xdr:cNvSpPr/>
      </xdr:nvSpPr>
      <xdr:spPr>
        <a:xfrm>
          <a:off x="0" y="40610817"/>
          <a:ext cx="5237534" cy="590506"/>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2.1 Products</a:t>
          </a:r>
        </a:p>
      </xdr:txBody>
    </xdr:sp>
    <xdr:clientData/>
  </xdr:twoCellAnchor>
  <xdr:twoCellAnchor>
    <xdr:from>
      <xdr:col>0</xdr:col>
      <xdr:colOff>0</xdr:colOff>
      <xdr:row>164</xdr:row>
      <xdr:rowOff>229680</xdr:rowOff>
    </xdr:from>
    <xdr:to>
      <xdr:col>1</xdr:col>
      <xdr:colOff>1567234</xdr:colOff>
      <xdr:row>167</xdr:row>
      <xdr:rowOff>55485</xdr:rowOff>
    </xdr:to>
    <xdr:sp macro="" textlink="">
      <xdr:nvSpPr>
        <xdr:cNvPr id="66" name="Rounded Rectangle 65">
          <a:extLst>
            <a:ext uri="{FF2B5EF4-FFF2-40B4-BE49-F238E27FC236}">
              <a16:creationId xmlns:a16="http://schemas.microsoft.com/office/drawing/2014/main" id="{EED558C7-D55C-CB43-A279-252042227C35}"/>
            </a:ext>
          </a:extLst>
        </xdr:cNvPr>
        <xdr:cNvSpPr/>
      </xdr:nvSpPr>
      <xdr:spPr>
        <a:xfrm>
          <a:off x="0" y="43485880"/>
          <a:ext cx="5237534" cy="587805"/>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2.2. Emissions</a:t>
          </a:r>
        </a:p>
      </xdr:txBody>
    </xdr:sp>
    <xdr:clientData/>
  </xdr:twoCellAnchor>
  <xdr:twoCellAnchor>
    <xdr:from>
      <xdr:col>2</xdr:col>
      <xdr:colOff>684374</xdr:colOff>
      <xdr:row>156</xdr:row>
      <xdr:rowOff>187222</xdr:rowOff>
    </xdr:from>
    <xdr:to>
      <xdr:col>4</xdr:col>
      <xdr:colOff>129819</xdr:colOff>
      <xdr:row>160</xdr:row>
      <xdr:rowOff>82827</xdr:rowOff>
    </xdr:to>
    <xdr:sp macro="" textlink="">
      <xdr:nvSpPr>
        <xdr:cNvPr id="67" name="Rounded Rectangle 66">
          <a:extLst>
            <a:ext uri="{FF2B5EF4-FFF2-40B4-BE49-F238E27FC236}">
              <a16:creationId xmlns:a16="http://schemas.microsoft.com/office/drawing/2014/main" id="{F8116F12-42FB-E048-B475-7477C2178A36}"/>
            </a:ext>
          </a:extLst>
        </xdr:cNvPr>
        <xdr:cNvSpPr/>
      </xdr:nvSpPr>
      <xdr:spPr>
        <a:xfrm>
          <a:off x="6450174" y="41411422"/>
          <a:ext cx="3826945" cy="911605"/>
        </a:xfrm>
        <a:prstGeom prst="roundRect">
          <a:avLst>
            <a:gd name="adj" fmla="val 46754"/>
          </a:avLst>
        </a:prstGeom>
        <a:solidFill>
          <a:srgbClr val="B9D4B1"/>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By-products information and wastewater</a:t>
          </a:r>
        </a:p>
      </xdr:txBody>
    </xdr:sp>
    <xdr:clientData/>
  </xdr:twoCellAnchor>
  <xdr:twoCellAnchor>
    <xdr:from>
      <xdr:col>2</xdr:col>
      <xdr:colOff>120716</xdr:colOff>
      <xdr:row>157</xdr:row>
      <xdr:rowOff>39063</xdr:rowOff>
    </xdr:from>
    <xdr:to>
      <xdr:col>2</xdr:col>
      <xdr:colOff>755271</xdr:colOff>
      <xdr:row>159</xdr:row>
      <xdr:rowOff>143665</xdr:rowOff>
    </xdr:to>
    <xdr:sp macro="" textlink="">
      <xdr:nvSpPr>
        <xdr:cNvPr id="68" name="Text Placeholder 1248">
          <a:extLst>
            <a:ext uri="{FF2B5EF4-FFF2-40B4-BE49-F238E27FC236}">
              <a16:creationId xmlns:a16="http://schemas.microsoft.com/office/drawing/2014/main" id="{57BC526A-8FD9-3B49-9018-13932129AC8A}"/>
            </a:ext>
          </a:extLst>
        </xdr:cNvPr>
        <xdr:cNvSpPr>
          <a:spLocks noGrp="1"/>
        </xdr:cNvSpPr>
      </xdr:nvSpPr>
      <xdr:spPr>
        <a:xfrm>
          <a:off x="5886516" y="41517263"/>
          <a:ext cx="634555" cy="612602"/>
        </a:xfrm>
        <a:prstGeom prst="ellipse">
          <a:avLst/>
        </a:prstGeom>
        <a:solidFill>
          <a:srgbClr val="60CCF3"/>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pPr marL="0" indent="0" algn="ctr" defTabSz="914400" rtl="0" eaLnBrk="1" latinLnBrk="0" hangingPunct="1">
            <a:lnSpc>
              <a:spcPct val="100000"/>
            </a:lnSpc>
            <a:spcBef>
              <a:spcPts val="0"/>
            </a:spcBef>
            <a:buFont typeface="Arial" panose="020B0604020202020204" pitchFamily="34" charset="0"/>
            <a:buNone/>
          </a:pPr>
          <a:r>
            <a:rPr lang="en-US" sz="2800" b="1" kern="1200">
              <a:ln w="0">
                <a:noFill/>
              </a:ln>
              <a:solidFill>
                <a:sysClr val="windowText" lastClr="000000"/>
              </a:solidFill>
              <a:latin typeface="Arial" panose="020B0604020202020204" pitchFamily="34" charset="0"/>
              <a:ea typeface="+mn-ea"/>
              <a:cs typeface="Arial" panose="020B0604020202020204" pitchFamily="34" charset="0"/>
            </a:rPr>
            <a:t>16</a:t>
          </a:r>
        </a:p>
      </xdr:txBody>
    </xdr:sp>
    <xdr:clientData/>
  </xdr:twoCellAnchor>
  <xdr:twoCellAnchor>
    <xdr:from>
      <xdr:col>0</xdr:col>
      <xdr:colOff>0</xdr:colOff>
      <xdr:row>179</xdr:row>
      <xdr:rowOff>77832</xdr:rowOff>
    </xdr:from>
    <xdr:to>
      <xdr:col>1</xdr:col>
      <xdr:colOff>1567234</xdr:colOff>
      <xdr:row>181</xdr:row>
      <xdr:rowOff>152115</xdr:rowOff>
    </xdr:to>
    <xdr:sp macro="" textlink="">
      <xdr:nvSpPr>
        <xdr:cNvPr id="69" name="Rounded Rectangle 68">
          <a:extLst>
            <a:ext uri="{FF2B5EF4-FFF2-40B4-BE49-F238E27FC236}">
              <a16:creationId xmlns:a16="http://schemas.microsoft.com/office/drawing/2014/main" id="{810F2789-612B-9146-B981-9EC5AFC0BCB1}"/>
            </a:ext>
          </a:extLst>
        </xdr:cNvPr>
        <xdr:cNvSpPr/>
      </xdr:nvSpPr>
      <xdr:spPr>
        <a:xfrm>
          <a:off x="0" y="47144032"/>
          <a:ext cx="5237534" cy="582283"/>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2.3. Water Consumption</a:t>
          </a:r>
        </a:p>
      </xdr:txBody>
    </xdr:sp>
    <xdr:clientData/>
  </xdr:twoCellAnchor>
  <xdr:twoCellAnchor>
    <xdr:from>
      <xdr:col>0</xdr:col>
      <xdr:colOff>0</xdr:colOff>
      <xdr:row>184</xdr:row>
      <xdr:rowOff>160658</xdr:rowOff>
    </xdr:from>
    <xdr:to>
      <xdr:col>1</xdr:col>
      <xdr:colOff>1567234</xdr:colOff>
      <xdr:row>186</xdr:row>
      <xdr:rowOff>234941</xdr:rowOff>
    </xdr:to>
    <xdr:sp macro="" textlink="">
      <xdr:nvSpPr>
        <xdr:cNvPr id="70" name="Rounded Rectangle 69">
          <a:extLst>
            <a:ext uri="{FF2B5EF4-FFF2-40B4-BE49-F238E27FC236}">
              <a16:creationId xmlns:a16="http://schemas.microsoft.com/office/drawing/2014/main" id="{E2EDAB52-B58D-7E4C-8853-5659699B4A55}"/>
            </a:ext>
          </a:extLst>
        </xdr:cNvPr>
        <xdr:cNvSpPr/>
      </xdr:nvSpPr>
      <xdr:spPr>
        <a:xfrm>
          <a:off x="0" y="48496858"/>
          <a:ext cx="5237534" cy="582283"/>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2.4 Emission Outputs </a:t>
          </a:r>
        </a:p>
      </xdr:txBody>
    </xdr:sp>
    <xdr:clientData/>
  </xdr:twoCellAnchor>
  <xdr:twoCellAnchor>
    <xdr:from>
      <xdr:col>0</xdr:col>
      <xdr:colOff>0</xdr:colOff>
      <xdr:row>191</xdr:row>
      <xdr:rowOff>8811</xdr:rowOff>
    </xdr:from>
    <xdr:to>
      <xdr:col>1</xdr:col>
      <xdr:colOff>1567234</xdr:colOff>
      <xdr:row>193</xdr:row>
      <xdr:rowOff>83093</xdr:rowOff>
    </xdr:to>
    <xdr:sp macro="" textlink="">
      <xdr:nvSpPr>
        <xdr:cNvPr id="71" name="Rounded Rectangle 70">
          <a:extLst>
            <a:ext uri="{FF2B5EF4-FFF2-40B4-BE49-F238E27FC236}">
              <a16:creationId xmlns:a16="http://schemas.microsoft.com/office/drawing/2014/main" id="{080AC6F3-F6A1-0D43-9E0E-555958DF0803}"/>
            </a:ext>
          </a:extLst>
        </xdr:cNvPr>
        <xdr:cNvSpPr/>
      </xdr:nvSpPr>
      <xdr:spPr>
        <a:xfrm>
          <a:off x="0" y="50148411"/>
          <a:ext cx="5237534" cy="582282"/>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2.5 Energy Consumption Calculation</a:t>
          </a:r>
        </a:p>
      </xdr:txBody>
    </xdr:sp>
    <xdr:clientData/>
  </xdr:twoCellAnchor>
  <xdr:twoCellAnchor>
    <xdr:from>
      <xdr:col>4</xdr:col>
      <xdr:colOff>711983</xdr:colOff>
      <xdr:row>163</xdr:row>
      <xdr:rowOff>173419</xdr:rowOff>
    </xdr:from>
    <xdr:to>
      <xdr:col>5</xdr:col>
      <xdr:colOff>1772537</xdr:colOff>
      <xdr:row>167</xdr:row>
      <xdr:rowOff>69024</xdr:rowOff>
    </xdr:to>
    <xdr:sp macro="" textlink="">
      <xdr:nvSpPr>
        <xdr:cNvPr id="72" name="Rounded Rectangle 71">
          <a:extLst>
            <a:ext uri="{FF2B5EF4-FFF2-40B4-BE49-F238E27FC236}">
              <a16:creationId xmlns:a16="http://schemas.microsoft.com/office/drawing/2014/main" id="{E981C679-5444-7F4D-868F-714CE7062F1D}"/>
            </a:ext>
          </a:extLst>
        </xdr:cNvPr>
        <xdr:cNvSpPr/>
      </xdr:nvSpPr>
      <xdr:spPr>
        <a:xfrm>
          <a:off x="10859283" y="43175619"/>
          <a:ext cx="3371954" cy="911605"/>
        </a:xfrm>
        <a:prstGeom prst="roundRect">
          <a:avLst>
            <a:gd name="adj" fmla="val 46754"/>
          </a:avLst>
        </a:prstGeom>
        <a:solidFill>
          <a:srgbClr val="B9D4B1"/>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Enter information regarding air and solid waste emission to environment</a:t>
          </a:r>
        </a:p>
      </xdr:txBody>
    </xdr:sp>
    <xdr:clientData/>
  </xdr:twoCellAnchor>
  <xdr:twoCellAnchor>
    <xdr:from>
      <xdr:col>4</xdr:col>
      <xdr:colOff>148325</xdr:colOff>
      <xdr:row>164</xdr:row>
      <xdr:rowOff>25259</xdr:rowOff>
    </xdr:from>
    <xdr:to>
      <xdr:col>4</xdr:col>
      <xdr:colOff>782880</xdr:colOff>
      <xdr:row>166</xdr:row>
      <xdr:rowOff>129861</xdr:rowOff>
    </xdr:to>
    <xdr:sp macro="" textlink="">
      <xdr:nvSpPr>
        <xdr:cNvPr id="73" name="Text Placeholder 1248">
          <a:extLst>
            <a:ext uri="{FF2B5EF4-FFF2-40B4-BE49-F238E27FC236}">
              <a16:creationId xmlns:a16="http://schemas.microsoft.com/office/drawing/2014/main" id="{15B91654-1D6D-B64F-AD23-E4B76EA3EBE5}"/>
            </a:ext>
          </a:extLst>
        </xdr:cNvPr>
        <xdr:cNvSpPr>
          <a:spLocks noGrp="1"/>
        </xdr:cNvSpPr>
      </xdr:nvSpPr>
      <xdr:spPr>
        <a:xfrm>
          <a:off x="10295625" y="43281459"/>
          <a:ext cx="634555" cy="612602"/>
        </a:xfrm>
        <a:prstGeom prst="ellipse">
          <a:avLst/>
        </a:prstGeom>
        <a:solidFill>
          <a:srgbClr val="60CCF3"/>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pPr marL="0" indent="0" algn="ctr" defTabSz="914400" rtl="0" eaLnBrk="1" latinLnBrk="0" hangingPunct="1">
            <a:lnSpc>
              <a:spcPct val="100000"/>
            </a:lnSpc>
            <a:spcBef>
              <a:spcPts val="0"/>
            </a:spcBef>
            <a:buFont typeface="Arial" panose="020B0604020202020204" pitchFamily="34" charset="0"/>
            <a:buNone/>
          </a:pPr>
          <a:r>
            <a:rPr lang="en-US" sz="2800" b="1" kern="1200">
              <a:ln w="0">
                <a:noFill/>
              </a:ln>
              <a:solidFill>
                <a:sysClr val="windowText" lastClr="000000"/>
              </a:solidFill>
              <a:latin typeface="Arial" panose="020B0604020202020204" pitchFamily="34" charset="0"/>
              <a:ea typeface="+mn-ea"/>
              <a:cs typeface="Arial" panose="020B0604020202020204" pitchFamily="34" charset="0"/>
            </a:rPr>
            <a:t>17</a:t>
          </a:r>
        </a:p>
      </xdr:txBody>
    </xdr:sp>
    <xdr:clientData/>
  </xdr:twoCellAnchor>
  <xdr:twoCellAnchor>
    <xdr:from>
      <xdr:col>0</xdr:col>
      <xdr:colOff>0</xdr:colOff>
      <xdr:row>197</xdr:row>
      <xdr:rowOff>138043</xdr:rowOff>
    </xdr:from>
    <xdr:to>
      <xdr:col>3</xdr:col>
      <xdr:colOff>1056853</xdr:colOff>
      <xdr:row>200</xdr:row>
      <xdr:rowOff>220550</xdr:rowOff>
    </xdr:to>
    <xdr:sp macro="" textlink="">
      <xdr:nvSpPr>
        <xdr:cNvPr id="74" name="Rounded Rectangle 73">
          <a:extLst>
            <a:ext uri="{FF2B5EF4-FFF2-40B4-BE49-F238E27FC236}">
              <a16:creationId xmlns:a16="http://schemas.microsoft.com/office/drawing/2014/main" id="{3460C2A1-3A1E-9D4A-9092-2375D4B72736}"/>
            </a:ext>
          </a:extLst>
        </xdr:cNvPr>
        <xdr:cNvSpPr/>
      </xdr:nvSpPr>
      <xdr:spPr>
        <a:xfrm>
          <a:off x="0" y="51801643"/>
          <a:ext cx="8892753" cy="844507"/>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3. Impact Assessment</a:t>
          </a:r>
        </a:p>
      </xdr:txBody>
    </xdr:sp>
    <xdr:clientData/>
  </xdr:twoCellAnchor>
  <xdr:twoCellAnchor>
    <xdr:from>
      <xdr:col>0</xdr:col>
      <xdr:colOff>0</xdr:colOff>
      <xdr:row>213</xdr:row>
      <xdr:rowOff>0</xdr:rowOff>
    </xdr:from>
    <xdr:to>
      <xdr:col>0</xdr:col>
      <xdr:colOff>2834381</xdr:colOff>
      <xdr:row>215</xdr:row>
      <xdr:rowOff>10569</xdr:rowOff>
    </xdr:to>
    <xdr:sp macro="" textlink="">
      <xdr:nvSpPr>
        <xdr:cNvPr id="75" name="Rounded Rectangle 74" descr="Navigation button for Start worksheet">
          <a:hlinkClick xmlns:r="http://schemas.openxmlformats.org/officeDocument/2006/relationships" r:id="rId7"/>
          <a:extLst>
            <a:ext uri="{FF2B5EF4-FFF2-40B4-BE49-F238E27FC236}">
              <a16:creationId xmlns:a16="http://schemas.microsoft.com/office/drawing/2014/main" id="{E4FB50F1-865B-774D-A6B0-A34B15A3B920}"/>
            </a:ext>
          </a:extLst>
        </xdr:cNvPr>
        <xdr:cNvSpPr/>
      </xdr:nvSpPr>
      <xdr:spPr>
        <a:xfrm>
          <a:off x="0" y="55727600"/>
          <a:ext cx="2834381" cy="518569"/>
        </a:xfrm>
        <a:prstGeom prst="roundRect">
          <a:avLst>
            <a:gd name="adj" fmla="val 5000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Back to top</a:t>
          </a:r>
        </a:p>
      </xdr:txBody>
    </xdr:sp>
    <xdr:clientData/>
  </xdr:twoCellAnchor>
  <xdr:twoCellAnchor>
    <xdr:from>
      <xdr:col>16</xdr:col>
      <xdr:colOff>272198</xdr:colOff>
      <xdr:row>0</xdr:row>
      <xdr:rowOff>2</xdr:rowOff>
    </xdr:from>
    <xdr:to>
      <xdr:col>47</xdr:col>
      <xdr:colOff>679634</xdr:colOff>
      <xdr:row>5</xdr:row>
      <xdr:rowOff>158797</xdr:rowOff>
    </xdr:to>
    <xdr:sp macro="" textlink="">
      <xdr:nvSpPr>
        <xdr:cNvPr id="76" name="Title">
          <a:extLst>
            <a:ext uri="{FF2B5EF4-FFF2-40B4-BE49-F238E27FC236}">
              <a16:creationId xmlns:a16="http://schemas.microsoft.com/office/drawing/2014/main" id="{17E95C58-880E-0047-8A19-95C9B4990A06}"/>
            </a:ext>
          </a:extLst>
        </xdr:cNvPr>
        <xdr:cNvSpPr/>
      </xdr:nvSpPr>
      <xdr:spPr>
        <a:xfrm>
          <a:off x="24948298" y="2"/>
          <a:ext cx="37377136" cy="1504995"/>
        </a:xfrm>
        <a:prstGeom prst="rect">
          <a:avLst/>
        </a:prstGeom>
        <a:solidFill>
          <a:srgbClr val="004F4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4000"/>
        </a:p>
      </xdr:txBody>
    </xdr:sp>
    <xdr:clientData/>
  </xdr:twoCellAnchor>
  <xdr:twoCellAnchor>
    <xdr:from>
      <xdr:col>16</xdr:col>
      <xdr:colOff>0</xdr:colOff>
      <xdr:row>0</xdr:row>
      <xdr:rowOff>0</xdr:rowOff>
    </xdr:from>
    <xdr:to>
      <xdr:col>16</xdr:col>
      <xdr:colOff>292100</xdr:colOff>
      <xdr:row>5</xdr:row>
      <xdr:rowOff>146097</xdr:rowOff>
    </xdr:to>
    <xdr:sp macro="" textlink="">
      <xdr:nvSpPr>
        <xdr:cNvPr id="77" name="_Yellow">
          <a:extLst>
            <a:ext uri="{FF2B5EF4-FFF2-40B4-BE49-F238E27FC236}">
              <a16:creationId xmlns:a16="http://schemas.microsoft.com/office/drawing/2014/main" id="{A1B9BFEF-A042-3449-87F7-A0A24115BCD6}"/>
            </a:ext>
          </a:extLst>
        </xdr:cNvPr>
        <xdr:cNvSpPr/>
      </xdr:nvSpPr>
      <xdr:spPr>
        <a:xfrm>
          <a:off x="24676100" y="0"/>
          <a:ext cx="292100" cy="1492297"/>
        </a:xfrm>
        <a:prstGeom prst="rect">
          <a:avLst/>
        </a:prstGeom>
        <a:solidFill>
          <a:srgbClr val="FFCD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16</xdr:col>
      <xdr:colOff>399550</xdr:colOff>
      <xdr:row>1</xdr:row>
      <xdr:rowOff>42809</xdr:rowOff>
    </xdr:from>
    <xdr:to>
      <xdr:col>38</xdr:col>
      <xdr:colOff>806552</xdr:colOff>
      <xdr:row>3</xdr:row>
      <xdr:rowOff>287524</xdr:rowOff>
    </xdr:to>
    <xdr:sp macro="" textlink="">
      <xdr:nvSpPr>
        <xdr:cNvPr id="78" name="sheet title">
          <a:extLst>
            <a:ext uri="{FF2B5EF4-FFF2-40B4-BE49-F238E27FC236}">
              <a16:creationId xmlns:a16="http://schemas.microsoft.com/office/drawing/2014/main" id="{F4AC1CFB-C4F4-B144-A1E4-A45484EF3B8A}"/>
            </a:ext>
          </a:extLst>
        </xdr:cNvPr>
        <xdr:cNvSpPr txBox="1"/>
      </xdr:nvSpPr>
      <xdr:spPr>
        <a:xfrm>
          <a:off x="25075650" y="296809"/>
          <a:ext cx="28880402" cy="75271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4400">
              <a:solidFill>
                <a:schemeClr val="bg1"/>
              </a:solidFill>
              <a:latin typeface="Arial" panose="020B0604020202020204" pitchFamily="34" charset="0"/>
              <a:cs typeface="Arial" panose="020B0604020202020204" pitchFamily="34" charset="0"/>
            </a:rPr>
            <a:t>Major</a:t>
          </a:r>
          <a:r>
            <a:rPr lang="en-US" sz="4400" baseline="0">
              <a:solidFill>
                <a:schemeClr val="bg1"/>
              </a:solidFill>
              <a:latin typeface="Arial" panose="020B0604020202020204" pitchFamily="34" charset="0"/>
              <a:cs typeface="Arial" panose="020B0604020202020204" pitchFamily="34" charset="0"/>
            </a:rPr>
            <a:t> S</a:t>
          </a:r>
          <a:r>
            <a:rPr lang="en-US" sz="4400">
              <a:solidFill>
                <a:schemeClr val="bg1"/>
              </a:solidFill>
              <a:latin typeface="Arial" panose="020B0604020202020204" pitchFamily="34" charset="0"/>
              <a:cs typeface="Arial" panose="020B0604020202020204" pitchFamily="34" charset="0"/>
            </a:rPr>
            <a:t>lurry</a:t>
          </a:r>
          <a:r>
            <a:rPr lang="en-US" sz="4400" baseline="0">
              <a:solidFill>
                <a:schemeClr val="bg1"/>
              </a:solidFill>
              <a:latin typeface="Arial" panose="020B0604020202020204" pitchFamily="34" charset="0"/>
              <a:cs typeface="Arial" panose="020B0604020202020204" pitchFamily="34" charset="0"/>
            </a:rPr>
            <a:t> Manufacturing Processes Overview</a:t>
          </a:r>
          <a:endParaRPr lang="en-US" sz="4400">
            <a:solidFill>
              <a:schemeClr val="bg1"/>
            </a:solidFill>
            <a:latin typeface="Arial" panose="020B0604020202020204" pitchFamily="34" charset="0"/>
            <a:cs typeface="Arial" panose="020B0604020202020204" pitchFamily="34" charset="0"/>
          </a:endParaRPr>
        </a:p>
      </xdr:txBody>
    </xdr:sp>
    <xdr:clientData/>
  </xdr:twoCellAnchor>
  <xdr:twoCellAnchor>
    <xdr:from>
      <xdr:col>16</xdr:col>
      <xdr:colOff>57079</xdr:colOff>
      <xdr:row>6</xdr:row>
      <xdr:rowOff>71348</xdr:rowOff>
    </xdr:from>
    <xdr:to>
      <xdr:col>24</xdr:col>
      <xdr:colOff>98039</xdr:colOff>
      <xdr:row>12</xdr:row>
      <xdr:rowOff>21093</xdr:rowOff>
    </xdr:to>
    <xdr:sp macro="" textlink="">
      <xdr:nvSpPr>
        <xdr:cNvPr id="79" name="Rounded Rectangle 78">
          <a:extLst>
            <a:ext uri="{FF2B5EF4-FFF2-40B4-BE49-F238E27FC236}">
              <a16:creationId xmlns:a16="http://schemas.microsoft.com/office/drawing/2014/main" id="{809DC415-2F92-C74A-80A2-EE969CAAB286}"/>
            </a:ext>
          </a:extLst>
        </xdr:cNvPr>
        <xdr:cNvSpPr/>
      </xdr:nvSpPr>
      <xdr:spPr>
        <a:xfrm>
          <a:off x="24733179" y="1671548"/>
          <a:ext cx="9286560" cy="1473745"/>
        </a:xfrm>
        <a:prstGeom prst="roundRect">
          <a:avLst>
            <a:gd name="adj" fmla="val 24167"/>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8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We gather default equipment values from websites and literature to compile a comprehensive database of various tools with a wide range of specifications.</a:t>
          </a:r>
        </a:p>
      </xdr:txBody>
    </xdr:sp>
    <xdr:clientData/>
  </xdr:twoCellAnchor>
  <xdr:twoCellAnchor>
    <xdr:from>
      <xdr:col>24</xdr:col>
      <xdr:colOff>391654</xdr:colOff>
      <xdr:row>13</xdr:row>
      <xdr:rowOff>0</xdr:rowOff>
    </xdr:from>
    <xdr:to>
      <xdr:col>27</xdr:col>
      <xdr:colOff>416521</xdr:colOff>
      <xdr:row>15</xdr:row>
      <xdr:rowOff>110102</xdr:rowOff>
    </xdr:to>
    <xdr:sp macro="" textlink="">
      <xdr:nvSpPr>
        <xdr:cNvPr id="80" name="Rounded Rectangle 79">
          <a:extLst>
            <a:ext uri="{FF2B5EF4-FFF2-40B4-BE49-F238E27FC236}">
              <a16:creationId xmlns:a16="http://schemas.microsoft.com/office/drawing/2014/main" id="{F76F4207-A27E-9544-AD4B-EB3042B96141}"/>
            </a:ext>
          </a:extLst>
        </xdr:cNvPr>
        <xdr:cNvSpPr/>
      </xdr:nvSpPr>
      <xdr:spPr>
        <a:xfrm>
          <a:off x="34313354" y="3378200"/>
          <a:ext cx="6285967" cy="745102"/>
        </a:xfrm>
        <a:prstGeom prst="roundRect">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Enter your process values to compare against values in literature</a:t>
          </a:r>
        </a:p>
      </xdr:txBody>
    </xdr:sp>
    <xdr:clientData/>
  </xdr:twoCellAnchor>
  <xdr:twoCellAnchor>
    <xdr:from>
      <xdr:col>24</xdr:col>
      <xdr:colOff>120952</xdr:colOff>
      <xdr:row>13</xdr:row>
      <xdr:rowOff>173033</xdr:rowOff>
    </xdr:from>
    <xdr:to>
      <xdr:col>24</xdr:col>
      <xdr:colOff>589216</xdr:colOff>
      <xdr:row>14</xdr:row>
      <xdr:rowOff>241905</xdr:rowOff>
    </xdr:to>
    <xdr:sp macro="" textlink="">
      <xdr:nvSpPr>
        <xdr:cNvPr id="81" name="Text Placeholder 1248">
          <a:extLst>
            <a:ext uri="{FF2B5EF4-FFF2-40B4-BE49-F238E27FC236}">
              <a16:creationId xmlns:a16="http://schemas.microsoft.com/office/drawing/2014/main" id="{658B4FF2-6D32-B845-90B1-C5A57C5FFCB3}"/>
            </a:ext>
          </a:extLst>
        </xdr:cNvPr>
        <xdr:cNvSpPr>
          <a:spLocks noGrp="1"/>
        </xdr:cNvSpPr>
      </xdr:nvSpPr>
      <xdr:spPr>
        <a:xfrm>
          <a:off x="34042652" y="3551233"/>
          <a:ext cx="468264" cy="449872"/>
        </a:xfrm>
        <a:prstGeom prst="ellipse">
          <a:avLst/>
        </a:prstGeom>
        <a:solidFill>
          <a:srgbClr val="FFC000">
            <a:lumMod val="60000"/>
            <a:lumOff val="40000"/>
          </a:srgbClr>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r>
            <a:rPr lang="en-US">
              <a:latin typeface="Arial" panose="020B0604020202020204" pitchFamily="34" charset="0"/>
              <a:cs typeface="Arial" panose="020B0604020202020204" pitchFamily="34" charset="0"/>
            </a:rPr>
            <a:t>1</a:t>
          </a:r>
        </a:p>
      </xdr:txBody>
    </xdr:sp>
    <xdr:clientData/>
  </xdr:twoCellAnchor>
  <xdr:twoCellAnchor>
    <xdr:from>
      <xdr:col>38</xdr:col>
      <xdr:colOff>50800</xdr:colOff>
      <xdr:row>39</xdr:row>
      <xdr:rowOff>33866</xdr:rowOff>
    </xdr:from>
    <xdr:to>
      <xdr:col>51</xdr:col>
      <xdr:colOff>513033</xdr:colOff>
      <xdr:row>42</xdr:row>
      <xdr:rowOff>121670</xdr:rowOff>
    </xdr:to>
    <xdr:sp macro="" textlink="">
      <xdr:nvSpPr>
        <xdr:cNvPr id="82" name="Rounded Rectangle 81">
          <a:extLst>
            <a:ext uri="{FF2B5EF4-FFF2-40B4-BE49-F238E27FC236}">
              <a16:creationId xmlns:a16="http://schemas.microsoft.com/office/drawing/2014/main" id="{950740B0-ADF4-9A44-8313-4A09F05624C0}"/>
            </a:ext>
          </a:extLst>
        </xdr:cNvPr>
        <xdr:cNvSpPr/>
      </xdr:nvSpPr>
      <xdr:spPr>
        <a:xfrm>
          <a:off x="53200300" y="10498666"/>
          <a:ext cx="12895533" cy="887904"/>
        </a:xfrm>
        <a:prstGeom prst="roundRect">
          <a:avLst>
            <a:gd name="adj" fmla="val 5000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a:ln>
                <a:noFill/>
              </a:ln>
              <a:solidFill>
                <a:schemeClr val="tx1"/>
              </a:solidFill>
              <a:effectLst/>
              <a:uLnTx/>
              <a:uFillTx/>
              <a:latin typeface="Arial" panose="020B0604020202020204" pitchFamily="34" charset="0"/>
              <a:ea typeface="+mn-ea"/>
              <a:cs typeface="Arial" panose="020B0604020202020204" pitchFamily="34" charset="0"/>
            </a:rPr>
            <a:t>Process time information found in the literature</a:t>
          </a:r>
        </a:p>
      </xdr:txBody>
    </xdr:sp>
    <xdr:clientData/>
  </xdr:twoCellAnchor>
  <xdr:twoCellAnchor>
    <xdr:from>
      <xdr:col>17</xdr:col>
      <xdr:colOff>0</xdr:colOff>
      <xdr:row>39</xdr:row>
      <xdr:rowOff>0</xdr:rowOff>
    </xdr:from>
    <xdr:to>
      <xdr:col>24</xdr:col>
      <xdr:colOff>3085981</xdr:colOff>
      <xdr:row>42</xdr:row>
      <xdr:rowOff>87804</xdr:rowOff>
    </xdr:to>
    <xdr:sp macro="" textlink="">
      <xdr:nvSpPr>
        <xdr:cNvPr id="83" name="Rounded Rectangle 82">
          <a:extLst>
            <a:ext uri="{FF2B5EF4-FFF2-40B4-BE49-F238E27FC236}">
              <a16:creationId xmlns:a16="http://schemas.microsoft.com/office/drawing/2014/main" id="{B763E947-0F13-6843-97E5-C060EB06FB39}"/>
            </a:ext>
          </a:extLst>
        </xdr:cNvPr>
        <xdr:cNvSpPr/>
      </xdr:nvSpPr>
      <xdr:spPr>
        <a:xfrm>
          <a:off x="25501600" y="10464800"/>
          <a:ext cx="11506081" cy="887904"/>
        </a:xfrm>
        <a:prstGeom prst="roundRect">
          <a:avLst>
            <a:gd name="adj" fmla="val 5000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Tools related to this precific process and their power and volume specifications</a:t>
          </a:r>
        </a:p>
      </xdr:txBody>
    </xdr:sp>
    <xdr:clientData/>
  </xdr:twoCellAnchor>
  <xdr:twoCellAnchor>
    <xdr:from>
      <xdr:col>25</xdr:col>
      <xdr:colOff>1358019</xdr:colOff>
      <xdr:row>24</xdr:row>
      <xdr:rowOff>100594</xdr:rowOff>
    </xdr:from>
    <xdr:to>
      <xdr:col>26</xdr:col>
      <xdr:colOff>406400</xdr:colOff>
      <xdr:row>26</xdr:row>
      <xdr:rowOff>177760</xdr:rowOff>
    </xdr:to>
    <xdr:sp macro="" textlink="">
      <xdr:nvSpPr>
        <xdr:cNvPr id="84" name="Text Placeholder 1248">
          <a:extLst>
            <a:ext uri="{FF2B5EF4-FFF2-40B4-BE49-F238E27FC236}">
              <a16:creationId xmlns:a16="http://schemas.microsoft.com/office/drawing/2014/main" id="{6680144B-D930-F544-B9C9-9B3099451A0F}"/>
            </a:ext>
          </a:extLst>
        </xdr:cNvPr>
        <xdr:cNvSpPr>
          <a:spLocks noGrp="1"/>
        </xdr:cNvSpPr>
      </xdr:nvSpPr>
      <xdr:spPr>
        <a:xfrm>
          <a:off x="39153219" y="6475994"/>
          <a:ext cx="585081" cy="585166"/>
        </a:xfrm>
        <a:prstGeom prst="ellipse">
          <a:avLst/>
        </a:prstGeom>
        <a:solidFill>
          <a:srgbClr val="FFC000">
            <a:lumMod val="60000"/>
            <a:lumOff val="40000"/>
          </a:srgbClr>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r>
            <a:rPr lang="en-US">
              <a:latin typeface="Arial" panose="020B0604020202020204" pitchFamily="34" charset="0"/>
              <a:cs typeface="Arial" panose="020B0604020202020204" pitchFamily="34" charset="0"/>
            </a:rPr>
            <a:t>2</a:t>
          </a:r>
        </a:p>
      </xdr:txBody>
    </xdr:sp>
    <xdr:clientData/>
  </xdr:twoCellAnchor>
  <xdr:twoCellAnchor>
    <xdr:from>
      <xdr:col>25</xdr:col>
      <xdr:colOff>1358019</xdr:colOff>
      <xdr:row>28</xdr:row>
      <xdr:rowOff>100594</xdr:rowOff>
    </xdr:from>
    <xdr:to>
      <xdr:col>26</xdr:col>
      <xdr:colOff>406400</xdr:colOff>
      <xdr:row>30</xdr:row>
      <xdr:rowOff>177760</xdr:rowOff>
    </xdr:to>
    <xdr:sp macro="" textlink="">
      <xdr:nvSpPr>
        <xdr:cNvPr id="85" name="Text Placeholder 1248">
          <a:extLst>
            <a:ext uri="{FF2B5EF4-FFF2-40B4-BE49-F238E27FC236}">
              <a16:creationId xmlns:a16="http://schemas.microsoft.com/office/drawing/2014/main" id="{8CC0C96A-4ACF-A141-B990-5BB1308D122B}"/>
            </a:ext>
          </a:extLst>
        </xdr:cNvPr>
        <xdr:cNvSpPr>
          <a:spLocks noGrp="1"/>
        </xdr:cNvSpPr>
      </xdr:nvSpPr>
      <xdr:spPr>
        <a:xfrm>
          <a:off x="39153219" y="7771394"/>
          <a:ext cx="585081" cy="585166"/>
        </a:xfrm>
        <a:prstGeom prst="ellipse">
          <a:avLst/>
        </a:prstGeom>
        <a:solidFill>
          <a:srgbClr val="FFC000">
            <a:lumMod val="60000"/>
            <a:lumOff val="40000"/>
          </a:srgbClr>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r>
            <a:rPr lang="en-US">
              <a:latin typeface="Arial" panose="020B0604020202020204" pitchFamily="34" charset="0"/>
              <a:cs typeface="Arial" panose="020B0604020202020204" pitchFamily="34" charset="0"/>
            </a:rPr>
            <a:t>3</a:t>
          </a:r>
        </a:p>
      </xdr:txBody>
    </xdr:sp>
    <xdr:clientData/>
  </xdr:twoCellAnchor>
  <xdr:twoCellAnchor>
    <xdr:from>
      <xdr:col>26</xdr:col>
      <xdr:colOff>135467</xdr:colOff>
      <xdr:row>26</xdr:row>
      <xdr:rowOff>101601</xdr:rowOff>
    </xdr:from>
    <xdr:to>
      <xdr:col>29</xdr:col>
      <xdr:colOff>588567</xdr:colOff>
      <xdr:row>28</xdr:row>
      <xdr:rowOff>189405</xdr:rowOff>
    </xdr:to>
    <xdr:sp macro="" textlink="">
      <xdr:nvSpPr>
        <xdr:cNvPr id="86" name="Rounded Rectangle 85">
          <a:extLst>
            <a:ext uri="{FF2B5EF4-FFF2-40B4-BE49-F238E27FC236}">
              <a16:creationId xmlns:a16="http://schemas.microsoft.com/office/drawing/2014/main" id="{535C0F63-D76B-6F41-8E40-87678A543CF2}"/>
            </a:ext>
          </a:extLst>
        </xdr:cNvPr>
        <xdr:cNvSpPr/>
      </xdr:nvSpPr>
      <xdr:spPr>
        <a:xfrm>
          <a:off x="39467367" y="6985001"/>
          <a:ext cx="3336000" cy="875204"/>
        </a:xfrm>
        <a:prstGeom prst="roundRect">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Enter your tool power rating to check range</a:t>
          </a:r>
        </a:p>
      </xdr:txBody>
    </xdr:sp>
    <xdr:clientData/>
  </xdr:twoCellAnchor>
  <xdr:twoCellAnchor>
    <xdr:from>
      <xdr:col>26</xdr:col>
      <xdr:colOff>0</xdr:colOff>
      <xdr:row>30</xdr:row>
      <xdr:rowOff>203200</xdr:rowOff>
    </xdr:from>
    <xdr:to>
      <xdr:col>29</xdr:col>
      <xdr:colOff>7119</xdr:colOff>
      <xdr:row>34</xdr:row>
      <xdr:rowOff>67864</xdr:rowOff>
    </xdr:to>
    <xdr:sp macro="" textlink="">
      <xdr:nvSpPr>
        <xdr:cNvPr id="87" name="Rounded Rectangle 86">
          <a:extLst>
            <a:ext uri="{FF2B5EF4-FFF2-40B4-BE49-F238E27FC236}">
              <a16:creationId xmlns:a16="http://schemas.microsoft.com/office/drawing/2014/main" id="{D4B208C6-1B10-DE48-9060-0F0750E3648E}"/>
            </a:ext>
          </a:extLst>
        </xdr:cNvPr>
        <xdr:cNvSpPr/>
      </xdr:nvSpPr>
      <xdr:spPr>
        <a:xfrm>
          <a:off x="39331900" y="8382000"/>
          <a:ext cx="2890019" cy="880664"/>
        </a:xfrm>
        <a:prstGeom prst="roundRect">
          <a:avLst/>
        </a:prstGeom>
        <a:solidFill>
          <a:schemeClr val="accent5">
            <a:lumMod val="40000"/>
            <a:lumOff val="60000"/>
          </a:scheme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Calcualted based on process time and tool power rating(kW)</a:t>
          </a:r>
        </a:p>
      </xdr:txBody>
    </xdr:sp>
    <xdr:clientData/>
  </xdr:twoCellAnchor>
  <xdr:twoCellAnchor>
    <xdr:from>
      <xdr:col>33</xdr:col>
      <xdr:colOff>276377</xdr:colOff>
      <xdr:row>13</xdr:row>
      <xdr:rowOff>294519</xdr:rowOff>
    </xdr:from>
    <xdr:to>
      <xdr:col>40</xdr:col>
      <xdr:colOff>432695</xdr:colOff>
      <xdr:row>15</xdr:row>
      <xdr:rowOff>46141</xdr:rowOff>
    </xdr:to>
    <xdr:grpSp>
      <xdr:nvGrpSpPr>
        <xdr:cNvPr id="88" name="Group 87">
          <a:extLst>
            <a:ext uri="{FF2B5EF4-FFF2-40B4-BE49-F238E27FC236}">
              <a16:creationId xmlns:a16="http://schemas.microsoft.com/office/drawing/2014/main" id="{0CDFDA8B-4020-F646-9403-6029C1D466BD}"/>
            </a:ext>
          </a:extLst>
        </xdr:cNvPr>
        <xdr:cNvGrpSpPr/>
      </xdr:nvGrpSpPr>
      <xdr:grpSpPr>
        <a:xfrm>
          <a:off x="49348586" y="3631961"/>
          <a:ext cx="6491551" cy="386622"/>
          <a:chOff x="20803705" y="3035855"/>
          <a:chExt cx="6029371" cy="995751"/>
        </a:xfrm>
      </xdr:grpSpPr>
      <xdr:sp macro="" textlink="">
        <xdr:nvSpPr>
          <xdr:cNvPr id="89" name="Rounded Rectangle 88">
            <a:extLst>
              <a:ext uri="{FF2B5EF4-FFF2-40B4-BE49-F238E27FC236}">
                <a16:creationId xmlns:a16="http://schemas.microsoft.com/office/drawing/2014/main" id="{E683D6F9-A328-D406-6507-6DCABFDBE801}"/>
              </a:ext>
            </a:extLst>
          </xdr:cNvPr>
          <xdr:cNvSpPr/>
        </xdr:nvSpPr>
        <xdr:spPr>
          <a:xfrm>
            <a:off x="20803705" y="3035855"/>
            <a:ext cx="6029371" cy="995751"/>
          </a:xfrm>
          <a:prstGeom prst="roundRect">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b"/>
          <a:lstStyle/>
          <a:p>
            <a:pPr algn="r"/>
            <a:r>
              <a:rPr lang="en-US" sz="2000" kern="1200">
                <a:latin typeface="Arial" panose="020B0604020202020204" pitchFamily="34" charset="0"/>
                <a:cs typeface="Arial" panose="020B0604020202020204" pitchFamily="34" charset="0"/>
              </a:rPr>
              <a:t>tool power rating overview</a:t>
            </a:r>
          </a:p>
        </xdr:txBody>
      </xdr:sp>
      <xdr:sp macro="" textlink="$E$19">
        <xdr:nvSpPr>
          <xdr:cNvPr id="90" name="TextBox 89">
            <a:extLst>
              <a:ext uri="{FF2B5EF4-FFF2-40B4-BE49-F238E27FC236}">
                <a16:creationId xmlns:a16="http://schemas.microsoft.com/office/drawing/2014/main" id="{23CEE162-9DFB-176E-369B-C85135AA2EC8}"/>
              </a:ext>
            </a:extLst>
          </xdr:cNvPr>
          <xdr:cNvSpPr txBox="1"/>
        </xdr:nvSpPr>
        <xdr:spPr>
          <a:xfrm>
            <a:off x="20917443" y="3144274"/>
            <a:ext cx="2290048" cy="553647"/>
          </a:xfrm>
          <a:prstGeom prst="rect">
            <a:avLst/>
          </a:prstGeom>
          <a:solidFill>
            <a:srgbClr val="4DA72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A722FA6-ADBD-BF4A-B652-57345CB45E96}" type="TxLink">
              <a:rPr lang="en-US" sz="2000" b="0" i="0" u="none" strike="noStrike" kern="1200">
                <a:solidFill>
                  <a:schemeClr val="bg1"/>
                </a:solidFill>
                <a:latin typeface="Arial"/>
                <a:cs typeface="Arial"/>
              </a:rPr>
              <a:pPr/>
              <a:t> </a:t>
            </a:fld>
            <a:endParaRPr lang="en-US" sz="900" kern="1200">
              <a:solidFill>
                <a:schemeClr val="bg1"/>
              </a:solidFill>
            </a:endParaRPr>
          </a:p>
        </xdr:txBody>
      </xdr:sp>
    </xdr:grpSp>
    <xdr:clientData/>
  </xdr:twoCellAnchor>
  <xdr:twoCellAnchor>
    <xdr:from>
      <xdr:col>33</xdr:col>
      <xdr:colOff>750455</xdr:colOff>
      <xdr:row>16</xdr:row>
      <xdr:rowOff>129887</xdr:rowOff>
    </xdr:from>
    <xdr:to>
      <xdr:col>40</xdr:col>
      <xdr:colOff>341292</xdr:colOff>
      <xdr:row>30</xdr:row>
      <xdr:rowOff>63115</xdr:rowOff>
    </xdr:to>
    <xdr:graphicFrame macro="">
      <xdr:nvGraphicFramePr>
        <xdr:cNvPr id="91" name="Chart 90">
          <a:extLst>
            <a:ext uri="{FF2B5EF4-FFF2-40B4-BE49-F238E27FC236}">
              <a16:creationId xmlns:a16="http://schemas.microsoft.com/office/drawing/2014/main" id="{AC52F78D-E63A-6848-B908-6B24890C45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33</xdr:col>
      <xdr:colOff>745507</xdr:colOff>
      <xdr:row>16</xdr:row>
      <xdr:rowOff>130711</xdr:rowOff>
    </xdr:from>
    <xdr:to>
      <xdr:col>40</xdr:col>
      <xdr:colOff>336344</xdr:colOff>
      <xdr:row>30</xdr:row>
      <xdr:rowOff>63939</xdr:rowOff>
    </xdr:to>
    <xdr:graphicFrame macro="">
      <xdr:nvGraphicFramePr>
        <xdr:cNvPr id="92" name="Chart 91">
          <a:extLst>
            <a:ext uri="{FF2B5EF4-FFF2-40B4-BE49-F238E27FC236}">
              <a16:creationId xmlns:a16="http://schemas.microsoft.com/office/drawing/2014/main" id="{A75D0B22-F45A-BE4E-B769-9B5402AA13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35</xdr:col>
      <xdr:colOff>346364</xdr:colOff>
      <xdr:row>22</xdr:row>
      <xdr:rowOff>72159</xdr:rowOff>
    </xdr:from>
    <xdr:to>
      <xdr:col>37</xdr:col>
      <xdr:colOff>342318</xdr:colOff>
      <xdr:row>23</xdr:row>
      <xdr:rowOff>60863</xdr:rowOff>
    </xdr:to>
    <xdr:sp macro="" textlink="">
      <xdr:nvSpPr>
        <xdr:cNvPr id="93" name="TextBox 92">
          <a:extLst>
            <a:ext uri="{FF2B5EF4-FFF2-40B4-BE49-F238E27FC236}">
              <a16:creationId xmlns:a16="http://schemas.microsoft.com/office/drawing/2014/main" id="{3088FDA7-A21C-F641-BFAA-3FF603080546}"/>
            </a:ext>
          </a:extLst>
        </xdr:cNvPr>
        <xdr:cNvSpPr txBox="1"/>
      </xdr:nvSpPr>
      <xdr:spPr>
        <a:xfrm>
          <a:off x="51019364" y="5939559"/>
          <a:ext cx="1646954" cy="2427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600" b="0" i="0" u="none" strike="noStrike" kern="1200">
              <a:solidFill>
                <a:schemeClr val="tx1"/>
              </a:solidFill>
              <a:latin typeface="Arial"/>
              <a:ea typeface="+mn-ea"/>
              <a:cs typeface="Arial"/>
            </a:rPr>
            <a:t>LOW</a:t>
          </a:r>
        </a:p>
      </xdr:txBody>
    </xdr:sp>
    <xdr:clientData/>
  </xdr:twoCellAnchor>
  <xdr:twoCellAnchor>
    <xdr:from>
      <xdr:col>38</xdr:col>
      <xdr:colOff>227826</xdr:colOff>
      <xdr:row>22</xdr:row>
      <xdr:rowOff>95396</xdr:rowOff>
    </xdr:from>
    <xdr:to>
      <xdr:col>40</xdr:col>
      <xdr:colOff>203975</xdr:colOff>
      <xdr:row>23</xdr:row>
      <xdr:rowOff>84100</xdr:rowOff>
    </xdr:to>
    <xdr:sp macro="" textlink="">
      <xdr:nvSpPr>
        <xdr:cNvPr id="94" name="TextBox 93">
          <a:extLst>
            <a:ext uri="{FF2B5EF4-FFF2-40B4-BE49-F238E27FC236}">
              <a16:creationId xmlns:a16="http://schemas.microsoft.com/office/drawing/2014/main" id="{08826586-736F-364D-98CC-B1F6FCF821B7}"/>
            </a:ext>
          </a:extLst>
        </xdr:cNvPr>
        <xdr:cNvSpPr txBox="1"/>
      </xdr:nvSpPr>
      <xdr:spPr>
        <a:xfrm>
          <a:off x="53377326" y="5962796"/>
          <a:ext cx="2185949" cy="2427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600" b="0" i="0" u="none" strike="noStrike" kern="1200">
              <a:solidFill>
                <a:schemeClr val="tx1"/>
              </a:solidFill>
              <a:latin typeface="Arial"/>
              <a:ea typeface="+mn-ea"/>
              <a:cs typeface="Arial"/>
            </a:rPr>
            <a:t>HIGH</a:t>
          </a:r>
        </a:p>
      </xdr:txBody>
    </xdr:sp>
    <xdr:clientData/>
  </xdr:twoCellAnchor>
  <xdr:twoCellAnchor>
    <xdr:from>
      <xdr:col>2</xdr:col>
      <xdr:colOff>1415748</xdr:colOff>
      <xdr:row>57</xdr:row>
      <xdr:rowOff>238479</xdr:rowOff>
    </xdr:from>
    <xdr:to>
      <xdr:col>5</xdr:col>
      <xdr:colOff>241905</xdr:colOff>
      <xdr:row>61</xdr:row>
      <xdr:rowOff>161271</xdr:rowOff>
    </xdr:to>
    <xdr:sp macro="" textlink="">
      <xdr:nvSpPr>
        <xdr:cNvPr id="95" name="Rounded Rectangle 94">
          <a:extLst>
            <a:ext uri="{FF2B5EF4-FFF2-40B4-BE49-F238E27FC236}">
              <a16:creationId xmlns:a16="http://schemas.microsoft.com/office/drawing/2014/main" id="{2CE98898-BCF7-C748-9E27-356E5E310683}"/>
            </a:ext>
          </a:extLst>
        </xdr:cNvPr>
        <xdr:cNvSpPr/>
      </xdr:nvSpPr>
      <xdr:spPr>
        <a:xfrm>
          <a:off x="7181548" y="15694379"/>
          <a:ext cx="5519057" cy="1002292"/>
        </a:xfrm>
        <a:prstGeom prst="roundRect">
          <a:avLst>
            <a:gd name="adj" fmla="val 30087"/>
          </a:avLst>
        </a:prstGeom>
        <a:noFill/>
        <a:ln w="57150" cap="flat" cmpd="sng" algn="ctr">
          <a:solidFill>
            <a:schemeClr val="accent5">
              <a:lumMod val="75000"/>
            </a:schemeClr>
          </a:solidFill>
          <a:prstDash val="solid"/>
        </a:ln>
        <a:effectLst/>
      </xdr:spPr>
      <xdr:txBody>
        <a:bodyPr vertOverflow="clip" horzOverflow="clip" rtlCol="0" anchor="ctr"/>
        <a:lstStyle/>
        <a:p>
          <a:pPr marL="0" marR="0" lvl="0" indent="0" algn="r" defTabSz="914400" eaLnBrk="1" fontAlgn="auto" latinLnBrk="0" hangingPunct="1">
            <a:lnSpc>
              <a:spcPct val="100000"/>
            </a:lnSpc>
            <a:spcBef>
              <a:spcPts val="0"/>
            </a:spcBef>
            <a:spcAft>
              <a:spcPts val="0"/>
            </a:spcAft>
            <a:buClrTx/>
            <a:buSzTx/>
            <a:buFontTx/>
            <a:buNone/>
            <a:tabLst/>
            <a:defRPr/>
          </a:pPr>
          <a:r>
            <a:rPr kumimoji="0" lang="en-US" sz="18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Average process time for selected process obtained from literature</a:t>
          </a:r>
        </a:p>
      </xdr:txBody>
    </xdr:sp>
    <xdr:clientData/>
  </xdr:twoCellAnchor>
  <xdr:twoCellAnchor>
    <xdr:from>
      <xdr:col>4</xdr:col>
      <xdr:colOff>1342089</xdr:colOff>
      <xdr:row>69</xdr:row>
      <xdr:rowOff>76208</xdr:rowOff>
    </xdr:from>
    <xdr:to>
      <xdr:col>6</xdr:col>
      <xdr:colOff>871997</xdr:colOff>
      <xdr:row>71</xdr:row>
      <xdr:rowOff>177808</xdr:rowOff>
    </xdr:to>
    <xdr:sp macro="" textlink="">
      <xdr:nvSpPr>
        <xdr:cNvPr id="96" name="Rounded Rectangle 95">
          <a:extLst>
            <a:ext uri="{FF2B5EF4-FFF2-40B4-BE49-F238E27FC236}">
              <a16:creationId xmlns:a16="http://schemas.microsoft.com/office/drawing/2014/main" id="{01BCFA96-43B8-FC4A-889B-38D1C66F902E}"/>
            </a:ext>
          </a:extLst>
        </xdr:cNvPr>
        <xdr:cNvSpPr/>
      </xdr:nvSpPr>
      <xdr:spPr>
        <a:xfrm>
          <a:off x="11489389" y="18783308"/>
          <a:ext cx="4152708" cy="609600"/>
        </a:xfrm>
        <a:prstGeom prst="roundRect">
          <a:avLst>
            <a:gd name="adj" fmla="val 30087"/>
          </a:avLst>
        </a:prstGeom>
        <a:noFill/>
        <a:ln w="25400" cap="flat" cmpd="sng" algn="ctr">
          <a:solidFill>
            <a:schemeClr val="accent5">
              <a:lumMod val="75000"/>
            </a:schemeClr>
          </a:solidFill>
          <a:prstDash val="solid"/>
        </a:ln>
        <a:effectLst/>
      </xdr:spPr>
      <xdr:txBody>
        <a:bodyPr vertOverflow="clip" horzOverflow="clip" rtlCol="0" anchor="ctr"/>
        <a:lstStyle/>
        <a:p>
          <a:pPr marL="0" marR="0" lvl="0" indent="0" algn="r" defTabSz="914400" eaLnBrk="1" fontAlgn="auto" latinLnBrk="0" hangingPunct="1">
            <a:lnSpc>
              <a:spcPct val="100000"/>
            </a:lnSpc>
            <a:spcBef>
              <a:spcPts val="0"/>
            </a:spcBef>
            <a:spcAft>
              <a:spcPts val="0"/>
            </a:spcAft>
            <a:buClrTx/>
            <a:buSzTx/>
            <a:buFontTx/>
            <a:buNone/>
            <a:tabLst/>
            <a:defRPr/>
          </a:pPr>
          <a:r>
            <a:rPr lang="en-US" sz="1400" b="1" i="0" u="none" strike="noStrike">
              <a:effectLst/>
              <a:latin typeface="+mn-lt"/>
              <a:ea typeface="+mn-ea"/>
              <a:cs typeface="+mn-cs"/>
            </a:rPr>
            <a:t>kW/kg</a:t>
          </a:r>
          <a:r>
            <a:rPr lang="en-US" sz="1400" b="1" i="0" u="none" strike="noStrike" baseline="0">
              <a:effectLst/>
              <a:latin typeface="+mn-lt"/>
              <a:ea typeface="+mn-ea"/>
              <a:cs typeface="+mn-cs"/>
            </a:rPr>
            <a:t> </a:t>
          </a:r>
          <a:r>
            <a:rPr lang="en-US" sz="1400" b="1" i="0" u="none" strike="noStrike">
              <a:effectLst/>
              <a:latin typeface="+mn-lt"/>
              <a:ea typeface="+mn-ea"/>
              <a:cs typeface="+mn-cs"/>
            </a:rPr>
            <a:t>Value obtained</a:t>
          </a:r>
          <a:r>
            <a:rPr lang="en-US" sz="1400" b="1" i="0" u="none" strike="noStrike" baseline="0">
              <a:effectLst/>
              <a:latin typeface="+mn-lt"/>
              <a:ea typeface="+mn-ea"/>
              <a:cs typeface="+mn-cs"/>
            </a:rPr>
            <a:t> </a:t>
          </a:r>
          <a:r>
            <a:rPr lang="en-US" sz="1400" b="1" i="0" u="none" strike="noStrike">
              <a:effectLst/>
              <a:latin typeface="+mn-lt"/>
              <a:ea typeface="+mn-ea"/>
              <a:cs typeface="+mn-cs"/>
            </a:rPr>
            <a:t>based on literature</a:t>
          </a:r>
          <a:r>
            <a:rPr lang="en-US" sz="1800" b="1"/>
            <a:t> </a:t>
          </a:r>
          <a:endParaRPr kumimoji="0" lang="en-US" sz="18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endParaRPr>
        </a:p>
      </xdr:txBody>
    </xdr:sp>
    <xdr:clientData/>
  </xdr:twoCellAnchor>
  <xdr:twoCellAnchor>
    <xdr:from>
      <xdr:col>4</xdr:col>
      <xdr:colOff>1189596</xdr:colOff>
      <xdr:row>94</xdr:row>
      <xdr:rowOff>109131</xdr:rowOff>
    </xdr:from>
    <xdr:to>
      <xdr:col>7</xdr:col>
      <xdr:colOff>544516</xdr:colOff>
      <xdr:row>98</xdr:row>
      <xdr:rowOff>242502</xdr:rowOff>
    </xdr:to>
    <xdr:sp macro="" textlink="">
      <xdr:nvSpPr>
        <xdr:cNvPr id="97" name="Rounded Rectangle 96">
          <a:extLst>
            <a:ext uri="{FF2B5EF4-FFF2-40B4-BE49-F238E27FC236}">
              <a16:creationId xmlns:a16="http://schemas.microsoft.com/office/drawing/2014/main" id="{F5DE218B-9E67-9349-8EA0-E2366875AF8A}"/>
            </a:ext>
          </a:extLst>
        </xdr:cNvPr>
        <xdr:cNvSpPr/>
      </xdr:nvSpPr>
      <xdr:spPr>
        <a:xfrm>
          <a:off x="11336896" y="25013831"/>
          <a:ext cx="6314520" cy="1162071"/>
        </a:xfrm>
        <a:prstGeom prst="roundRect">
          <a:avLst>
            <a:gd name="adj" fmla="val 30087"/>
          </a:avLst>
        </a:prstGeom>
        <a:noFill/>
        <a:ln w="25400" cap="flat" cmpd="sng" algn="ctr">
          <a:solidFill>
            <a:schemeClr val="accent5">
              <a:lumMod val="75000"/>
            </a:schemeClr>
          </a:solidFill>
          <a:prstDash val="solid"/>
        </a:ln>
        <a:effectLst/>
      </xdr:spPr>
      <xdr:txBody>
        <a:bodyPr vertOverflow="clip" horzOverflow="clip" rtlCol="0" anchor="ctr"/>
        <a:lstStyle/>
        <a:p>
          <a:pPr marL="0" marR="0" lvl="0" indent="0" algn="r" defTabSz="914400" eaLnBrk="1" fontAlgn="auto" latinLnBrk="0" hangingPunct="1">
            <a:lnSpc>
              <a:spcPct val="100000"/>
            </a:lnSpc>
            <a:spcBef>
              <a:spcPts val="0"/>
            </a:spcBef>
            <a:spcAft>
              <a:spcPts val="0"/>
            </a:spcAft>
            <a:buClrTx/>
            <a:buSzTx/>
            <a:buFontTx/>
            <a:buNone/>
            <a:tabLst/>
            <a:defRPr/>
          </a:pPr>
          <a:endParaRPr lang="en-US" sz="1400" b="0" i="0" u="none" strike="noStrike">
            <a:effectLst/>
            <a:latin typeface="+mn-lt"/>
            <a:ea typeface="+mn-ea"/>
            <a:cs typeface="+mn-cs"/>
          </a:endParaRPr>
        </a:p>
        <a:p>
          <a:pPr marL="0" marR="0" lvl="0" indent="0" algn="r" defTabSz="914400" eaLnBrk="1" fontAlgn="auto" latinLnBrk="0" hangingPunct="1">
            <a:lnSpc>
              <a:spcPct val="100000"/>
            </a:lnSpc>
            <a:spcBef>
              <a:spcPts val="0"/>
            </a:spcBef>
            <a:spcAft>
              <a:spcPts val="0"/>
            </a:spcAft>
            <a:buClrTx/>
            <a:buSzTx/>
            <a:buFontTx/>
            <a:buNone/>
            <a:tabLst/>
            <a:defRPr/>
          </a:pPr>
          <a:r>
            <a:rPr lang="en-US" sz="1400" b="0" i="0" u="none" strike="noStrike">
              <a:effectLst/>
              <a:latin typeface="+mn-lt"/>
              <a:ea typeface="+mn-ea"/>
              <a:cs typeface="+mn-cs"/>
            </a:rPr>
            <a:t>As we</a:t>
          </a:r>
          <a:r>
            <a:rPr lang="en-US" sz="1400" b="0" i="0" u="none" strike="noStrike" baseline="0">
              <a:effectLst/>
              <a:latin typeface="+mn-lt"/>
              <a:ea typeface="+mn-ea"/>
              <a:cs typeface="+mn-cs"/>
            </a:rPr>
            <a:t> calculated energy per kg of material process, we are keeping the eqipment volume to accomodate 1L with 80% utilization volume, which requires total volume</a:t>
          </a:r>
        </a:p>
      </xdr:txBody>
    </xdr:sp>
    <xdr:clientData/>
  </xdr:twoCellAnchor>
  <xdr:twoCellAnchor>
    <xdr:from>
      <xdr:col>20</xdr:col>
      <xdr:colOff>660400</xdr:colOff>
      <xdr:row>19</xdr:row>
      <xdr:rowOff>237067</xdr:rowOff>
    </xdr:from>
    <xdr:to>
      <xdr:col>23</xdr:col>
      <xdr:colOff>769119</xdr:colOff>
      <xdr:row>23</xdr:row>
      <xdr:rowOff>101731</xdr:rowOff>
    </xdr:to>
    <xdr:sp macro="" textlink="">
      <xdr:nvSpPr>
        <xdr:cNvPr id="98" name="Rounded Rectangle 97">
          <a:extLst>
            <a:ext uri="{FF2B5EF4-FFF2-40B4-BE49-F238E27FC236}">
              <a16:creationId xmlns:a16="http://schemas.microsoft.com/office/drawing/2014/main" id="{6BB5B407-AD26-624E-8D89-A167DB46B16A}"/>
            </a:ext>
          </a:extLst>
        </xdr:cNvPr>
        <xdr:cNvSpPr/>
      </xdr:nvSpPr>
      <xdr:spPr>
        <a:xfrm>
          <a:off x="30988000" y="5342467"/>
          <a:ext cx="2864619" cy="880664"/>
        </a:xfrm>
        <a:prstGeom prst="roundRect">
          <a:avLst/>
        </a:prstGeom>
        <a:solidFill>
          <a:schemeClr val="accent5">
            <a:lumMod val="40000"/>
            <a:lumOff val="60000"/>
          </a:scheme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Note: Unitilized volume is 80% of the total volume of the equipment</a:t>
          </a:r>
        </a:p>
      </xdr:txBody>
    </xdr:sp>
    <xdr:clientData/>
  </xdr:twoCellAnchor>
  <xdr:twoCellAnchor editAs="oneCell">
    <xdr:from>
      <xdr:col>6</xdr:col>
      <xdr:colOff>1506279</xdr:colOff>
      <xdr:row>55</xdr:row>
      <xdr:rowOff>118138</xdr:rowOff>
    </xdr:from>
    <xdr:to>
      <xdr:col>11</xdr:col>
      <xdr:colOff>648005</xdr:colOff>
      <xdr:row>75</xdr:row>
      <xdr:rowOff>251045</xdr:rowOff>
    </xdr:to>
    <xdr:pic>
      <xdr:nvPicPr>
        <xdr:cNvPr id="99" name="Picture 98">
          <a:extLst>
            <a:ext uri="{FF2B5EF4-FFF2-40B4-BE49-F238E27FC236}">
              <a16:creationId xmlns:a16="http://schemas.microsoft.com/office/drawing/2014/main" id="{32587738-74FF-4448-8B8D-E48081B980C2}"/>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276379" y="15066038"/>
          <a:ext cx="4920226" cy="54161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2</xdr:col>
      <xdr:colOff>888320</xdr:colOff>
      <xdr:row>12</xdr:row>
      <xdr:rowOff>96539</xdr:rowOff>
    </xdr:from>
    <xdr:to>
      <xdr:col>3</xdr:col>
      <xdr:colOff>1731513</xdr:colOff>
      <xdr:row>14</xdr:row>
      <xdr:rowOff>126369</xdr:rowOff>
    </xdr:to>
    <xdr:sp macro="" textlink="">
      <xdr:nvSpPr>
        <xdr:cNvPr id="2" name="Rounded Rectangle 1">
          <a:extLst>
            <a:ext uri="{FF2B5EF4-FFF2-40B4-BE49-F238E27FC236}">
              <a16:creationId xmlns:a16="http://schemas.microsoft.com/office/drawing/2014/main" id="{3C23B3D6-878A-9E47-B0F0-A8A74DF08D58}"/>
            </a:ext>
          </a:extLst>
        </xdr:cNvPr>
        <xdr:cNvSpPr/>
      </xdr:nvSpPr>
      <xdr:spPr>
        <a:xfrm>
          <a:off x="6654120" y="3220739"/>
          <a:ext cx="2913293" cy="664830"/>
        </a:xfrm>
        <a:prstGeom prst="roundRect">
          <a:avLst>
            <a:gd name="adj" fmla="val 46754"/>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&lt; Enter Process Name</a:t>
          </a:r>
        </a:p>
      </xdr:txBody>
    </xdr:sp>
    <xdr:clientData/>
  </xdr:twoCellAnchor>
  <xdr:twoCellAnchor>
    <xdr:from>
      <xdr:col>0</xdr:col>
      <xdr:colOff>272199</xdr:colOff>
      <xdr:row>0</xdr:row>
      <xdr:rowOff>2</xdr:rowOff>
    </xdr:from>
    <xdr:to>
      <xdr:col>14</xdr:col>
      <xdr:colOff>12701</xdr:colOff>
      <xdr:row>4</xdr:row>
      <xdr:rowOff>0</xdr:rowOff>
    </xdr:to>
    <xdr:sp macro="" textlink="">
      <xdr:nvSpPr>
        <xdr:cNvPr id="3" name="Title">
          <a:extLst>
            <a:ext uri="{FF2B5EF4-FFF2-40B4-BE49-F238E27FC236}">
              <a16:creationId xmlns:a16="http://schemas.microsoft.com/office/drawing/2014/main" id="{5451EB70-44F2-094A-8550-FB9F29267141}"/>
            </a:ext>
          </a:extLst>
        </xdr:cNvPr>
        <xdr:cNvSpPr/>
      </xdr:nvSpPr>
      <xdr:spPr>
        <a:xfrm>
          <a:off x="272199" y="2"/>
          <a:ext cx="22765602" cy="1092198"/>
        </a:xfrm>
        <a:prstGeom prst="rect">
          <a:avLst/>
        </a:prstGeom>
        <a:solidFill>
          <a:srgbClr val="004F4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4000"/>
        </a:p>
      </xdr:txBody>
    </xdr:sp>
    <xdr:clientData/>
  </xdr:twoCellAnchor>
  <xdr:twoCellAnchor>
    <xdr:from>
      <xdr:col>0</xdr:col>
      <xdr:colOff>0</xdr:colOff>
      <xdr:row>0</xdr:row>
      <xdr:rowOff>0</xdr:rowOff>
    </xdr:from>
    <xdr:to>
      <xdr:col>0</xdr:col>
      <xdr:colOff>304800</xdr:colOff>
      <xdr:row>4</xdr:row>
      <xdr:rowOff>0</xdr:rowOff>
    </xdr:to>
    <xdr:sp macro="" textlink="">
      <xdr:nvSpPr>
        <xdr:cNvPr id="4" name="_Yellow">
          <a:extLst>
            <a:ext uri="{FF2B5EF4-FFF2-40B4-BE49-F238E27FC236}">
              <a16:creationId xmlns:a16="http://schemas.microsoft.com/office/drawing/2014/main" id="{8C085601-752B-0B4C-83E6-BBB7CF1C73C8}"/>
            </a:ext>
          </a:extLst>
        </xdr:cNvPr>
        <xdr:cNvSpPr/>
      </xdr:nvSpPr>
      <xdr:spPr>
        <a:xfrm>
          <a:off x="0" y="0"/>
          <a:ext cx="304800" cy="1092200"/>
        </a:xfrm>
        <a:prstGeom prst="rect">
          <a:avLst/>
        </a:prstGeom>
        <a:solidFill>
          <a:srgbClr val="FFCD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editAs="oneCell">
    <xdr:from>
      <xdr:col>12</xdr:col>
      <xdr:colOff>429694</xdr:colOff>
      <xdr:row>0</xdr:row>
      <xdr:rowOff>0</xdr:rowOff>
    </xdr:from>
    <xdr:to>
      <xdr:col>14</xdr:col>
      <xdr:colOff>32784</xdr:colOff>
      <xdr:row>4</xdr:row>
      <xdr:rowOff>54738</xdr:rowOff>
    </xdr:to>
    <xdr:pic>
      <xdr:nvPicPr>
        <xdr:cNvPr id="5" name="Clarkson Logo" descr="A logo with white text and black background&#10;&#10;Description automatically generated">
          <a:extLst>
            <a:ext uri="{FF2B5EF4-FFF2-40B4-BE49-F238E27FC236}">
              <a16:creationId xmlns:a16="http://schemas.microsoft.com/office/drawing/2014/main" id="{551A6BC4-7882-474B-A813-20BE99EAEE58}"/>
            </a:ext>
          </a:extLst>
        </xdr:cNvPr>
        <xdr:cNvPicPr>
          <a:picLocks noChangeAspect="1"/>
        </xdr:cNvPicPr>
      </xdr:nvPicPr>
      <xdr:blipFill>
        <a:blip xmlns:r="http://schemas.openxmlformats.org/officeDocument/2006/relationships" r:embed="rId1">
          <a:alphaModFix amt="50000"/>
        </a:blip>
        <a:stretch>
          <a:fillRect/>
        </a:stretch>
      </xdr:blipFill>
      <xdr:spPr>
        <a:xfrm>
          <a:off x="21803794" y="0"/>
          <a:ext cx="1254090" cy="1146938"/>
        </a:xfrm>
        <a:prstGeom prst="rect">
          <a:avLst/>
        </a:prstGeom>
      </xdr:spPr>
    </xdr:pic>
    <xdr:clientData/>
  </xdr:twoCellAnchor>
  <xdr:twoCellAnchor>
    <xdr:from>
      <xdr:col>0</xdr:col>
      <xdr:colOff>490909</xdr:colOff>
      <xdr:row>0</xdr:row>
      <xdr:rowOff>189722</xdr:rowOff>
    </xdr:from>
    <xdr:to>
      <xdr:col>13</xdr:col>
      <xdr:colOff>479581</xdr:colOff>
      <xdr:row>3</xdr:row>
      <xdr:rowOff>168759</xdr:rowOff>
    </xdr:to>
    <xdr:sp macro="" textlink="">
      <xdr:nvSpPr>
        <xdr:cNvPr id="6" name="CO2 eq Framework">
          <a:extLst>
            <a:ext uri="{FF2B5EF4-FFF2-40B4-BE49-F238E27FC236}">
              <a16:creationId xmlns:a16="http://schemas.microsoft.com/office/drawing/2014/main" id="{7A466B29-1457-E943-B17E-4D8B6771F933}"/>
            </a:ext>
          </a:extLst>
        </xdr:cNvPr>
        <xdr:cNvSpPr txBox="1"/>
      </xdr:nvSpPr>
      <xdr:spPr>
        <a:xfrm>
          <a:off x="490909" y="189722"/>
          <a:ext cx="22188272" cy="741037"/>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4400">
              <a:solidFill>
                <a:schemeClr val="bg1"/>
              </a:solidFill>
              <a:latin typeface="Arial" panose="020B0604020202020204" pitchFamily="34" charset="0"/>
              <a:cs typeface="Arial" panose="020B0604020202020204" pitchFamily="34" charset="0"/>
            </a:rPr>
            <a:t>Ceria Particle Synthesis Inventory Data Entry</a:t>
          </a:r>
        </a:p>
      </xdr:txBody>
    </xdr:sp>
    <xdr:clientData/>
  </xdr:twoCellAnchor>
  <xdr:twoCellAnchor>
    <xdr:from>
      <xdr:col>0</xdr:col>
      <xdr:colOff>53287</xdr:colOff>
      <xdr:row>8</xdr:row>
      <xdr:rowOff>146094</xdr:rowOff>
    </xdr:from>
    <xdr:to>
      <xdr:col>3</xdr:col>
      <xdr:colOff>1110140</xdr:colOff>
      <xdr:row>11</xdr:row>
      <xdr:rowOff>228600</xdr:rowOff>
    </xdr:to>
    <xdr:sp macro="" textlink="">
      <xdr:nvSpPr>
        <xdr:cNvPr id="7" name="Rounded Rectangle 6">
          <a:extLst>
            <a:ext uri="{FF2B5EF4-FFF2-40B4-BE49-F238E27FC236}">
              <a16:creationId xmlns:a16="http://schemas.microsoft.com/office/drawing/2014/main" id="{6D997CAD-0AD1-3A4D-B3CF-B18F86FB1BE4}"/>
            </a:ext>
          </a:extLst>
        </xdr:cNvPr>
        <xdr:cNvSpPr/>
      </xdr:nvSpPr>
      <xdr:spPr>
        <a:xfrm>
          <a:off x="53287" y="2254294"/>
          <a:ext cx="8892753" cy="844506"/>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Process Information</a:t>
          </a:r>
        </a:p>
      </xdr:txBody>
    </xdr:sp>
    <xdr:clientData/>
  </xdr:twoCellAnchor>
  <xdr:twoCellAnchor>
    <xdr:from>
      <xdr:col>0</xdr:col>
      <xdr:colOff>110321</xdr:colOff>
      <xdr:row>4</xdr:row>
      <xdr:rowOff>97691</xdr:rowOff>
    </xdr:from>
    <xdr:to>
      <xdr:col>0</xdr:col>
      <xdr:colOff>2944702</xdr:colOff>
      <xdr:row>6</xdr:row>
      <xdr:rowOff>108260</xdr:rowOff>
    </xdr:to>
    <xdr:sp macro="" textlink="">
      <xdr:nvSpPr>
        <xdr:cNvPr id="8" name="Rounded Rectangle 7" descr="Navigation button for Start worksheet">
          <a:hlinkClick xmlns:r="http://schemas.openxmlformats.org/officeDocument/2006/relationships" r:id="rId2"/>
          <a:extLst>
            <a:ext uri="{FF2B5EF4-FFF2-40B4-BE49-F238E27FC236}">
              <a16:creationId xmlns:a16="http://schemas.microsoft.com/office/drawing/2014/main" id="{9247082B-0037-D848-8E87-53C2E7079B21}"/>
            </a:ext>
          </a:extLst>
        </xdr:cNvPr>
        <xdr:cNvSpPr/>
      </xdr:nvSpPr>
      <xdr:spPr>
        <a:xfrm>
          <a:off x="110321" y="1189891"/>
          <a:ext cx="2834381" cy="518569"/>
        </a:xfrm>
        <a:prstGeom prst="roundRect">
          <a:avLst>
            <a:gd name="adj" fmla="val 5000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&lt; Start</a:t>
          </a:r>
        </a:p>
      </xdr:txBody>
    </xdr:sp>
    <xdr:clientData/>
  </xdr:twoCellAnchor>
  <xdr:twoCellAnchor>
    <xdr:from>
      <xdr:col>10</xdr:col>
      <xdr:colOff>586612</xdr:colOff>
      <xdr:row>4</xdr:row>
      <xdr:rowOff>130445</xdr:rowOff>
    </xdr:from>
    <xdr:to>
      <xdr:col>13</xdr:col>
      <xdr:colOff>763080</xdr:colOff>
      <xdr:row>6</xdr:row>
      <xdr:rowOff>141014</xdr:rowOff>
    </xdr:to>
    <xdr:sp macro="" textlink="">
      <xdr:nvSpPr>
        <xdr:cNvPr id="9" name="Rounded Rectangle 8" descr="Navigation button for Inventory pick list worksheet">
          <a:hlinkClick xmlns:r="http://schemas.openxmlformats.org/officeDocument/2006/relationships" r:id="rId3"/>
          <a:extLst>
            <a:ext uri="{FF2B5EF4-FFF2-40B4-BE49-F238E27FC236}">
              <a16:creationId xmlns:a16="http://schemas.microsoft.com/office/drawing/2014/main" id="{2B44C145-1436-6B49-9D70-F2518E42992E}"/>
            </a:ext>
          </a:extLst>
        </xdr:cNvPr>
        <xdr:cNvSpPr/>
      </xdr:nvSpPr>
      <xdr:spPr>
        <a:xfrm>
          <a:off x="20309712" y="1222645"/>
          <a:ext cx="2652968" cy="518569"/>
        </a:xfrm>
        <a:prstGeom prst="roundRect">
          <a:avLst>
            <a:gd name="adj" fmla="val 5000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Process Overview</a:t>
          </a:r>
        </a:p>
      </xdr:txBody>
    </xdr:sp>
    <xdr:clientData/>
  </xdr:twoCellAnchor>
  <xdr:twoCellAnchor>
    <xdr:from>
      <xdr:col>0</xdr:col>
      <xdr:colOff>53287</xdr:colOff>
      <xdr:row>15</xdr:row>
      <xdr:rowOff>262608</xdr:rowOff>
    </xdr:from>
    <xdr:to>
      <xdr:col>2</xdr:col>
      <xdr:colOff>1223395</xdr:colOff>
      <xdr:row>19</xdr:row>
      <xdr:rowOff>3612</xdr:rowOff>
    </xdr:to>
    <xdr:sp macro="" textlink="">
      <xdr:nvSpPr>
        <xdr:cNvPr id="10" name="Rounded Rectangle 9">
          <a:extLst>
            <a:ext uri="{FF2B5EF4-FFF2-40B4-BE49-F238E27FC236}">
              <a16:creationId xmlns:a16="http://schemas.microsoft.com/office/drawing/2014/main" id="{CAE4A809-E372-FE42-B5B8-15E79FB7CB38}"/>
            </a:ext>
          </a:extLst>
        </xdr:cNvPr>
        <xdr:cNvSpPr/>
      </xdr:nvSpPr>
      <xdr:spPr>
        <a:xfrm>
          <a:off x="53287" y="4263108"/>
          <a:ext cx="6935908" cy="845904"/>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20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Input Materials</a:t>
          </a:r>
        </a:p>
      </xdr:txBody>
    </xdr:sp>
    <xdr:clientData/>
  </xdr:twoCellAnchor>
  <xdr:twoCellAnchor>
    <xdr:from>
      <xdr:col>0</xdr:col>
      <xdr:colOff>53287</xdr:colOff>
      <xdr:row>19</xdr:row>
      <xdr:rowOff>138636</xdr:rowOff>
    </xdr:from>
    <xdr:to>
      <xdr:col>1</xdr:col>
      <xdr:colOff>1584588</xdr:colOff>
      <xdr:row>22</xdr:row>
      <xdr:rowOff>203199</xdr:rowOff>
    </xdr:to>
    <xdr:sp macro="" textlink="">
      <xdr:nvSpPr>
        <xdr:cNvPr id="11" name="Rounded Rectangle 10">
          <a:hlinkClick xmlns:r="http://schemas.openxmlformats.org/officeDocument/2006/relationships" r:id="rId4"/>
          <a:extLst>
            <a:ext uri="{FF2B5EF4-FFF2-40B4-BE49-F238E27FC236}">
              <a16:creationId xmlns:a16="http://schemas.microsoft.com/office/drawing/2014/main" id="{D08A5A1D-8503-F245-9B1D-3101DB252AF0}"/>
            </a:ext>
          </a:extLst>
        </xdr:cNvPr>
        <xdr:cNvSpPr/>
      </xdr:nvSpPr>
      <xdr:spPr>
        <a:xfrm>
          <a:off x="53287" y="5244036"/>
          <a:ext cx="5201601" cy="826563"/>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1.1 Precursor Materials(Click here add additional chemicals)</a:t>
          </a:r>
        </a:p>
      </xdr:txBody>
    </xdr:sp>
    <xdr:clientData/>
  </xdr:twoCellAnchor>
  <xdr:twoCellAnchor>
    <xdr:from>
      <xdr:col>2</xdr:col>
      <xdr:colOff>1582625</xdr:colOff>
      <xdr:row>22</xdr:row>
      <xdr:rowOff>254117</xdr:rowOff>
    </xdr:from>
    <xdr:to>
      <xdr:col>4</xdr:col>
      <xdr:colOff>114418</xdr:colOff>
      <xdr:row>26</xdr:row>
      <xdr:rowOff>141797</xdr:rowOff>
    </xdr:to>
    <xdr:sp macro="" textlink="">
      <xdr:nvSpPr>
        <xdr:cNvPr id="12" name="Rounded Rectangle 11">
          <a:extLst>
            <a:ext uri="{FF2B5EF4-FFF2-40B4-BE49-F238E27FC236}">
              <a16:creationId xmlns:a16="http://schemas.microsoft.com/office/drawing/2014/main" id="{64795599-BD23-7F4C-9BEB-2AAA06CCD628}"/>
            </a:ext>
          </a:extLst>
        </xdr:cNvPr>
        <xdr:cNvSpPr/>
      </xdr:nvSpPr>
      <xdr:spPr>
        <a:xfrm>
          <a:off x="7348425" y="6121517"/>
          <a:ext cx="2913293" cy="903680"/>
        </a:xfrm>
        <a:prstGeom prst="roundRect">
          <a:avLst>
            <a:gd name="adj" fmla="val 46754"/>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Enter Amount of Precursor Used in this process </a:t>
          </a:r>
          <a:r>
            <a:rPr lang="en-US" sz="1400" b="0" i="0" u="none" strike="noStrike">
              <a:effectLst/>
              <a:latin typeface="Arial" panose="020B0604020202020204" pitchFamily="34" charset="0"/>
              <a:ea typeface="+mn-ea"/>
              <a:cs typeface="Arial" panose="020B0604020202020204" pitchFamily="34" charset="0"/>
            </a:rPr>
            <a:t>↓</a:t>
          </a:r>
          <a:endPar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endParaRPr>
        </a:p>
      </xdr:txBody>
    </xdr:sp>
    <xdr:clientData/>
  </xdr:twoCellAnchor>
  <xdr:twoCellAnchor>
    <xdr:from>
      <xdr:col>7</xdr:col>
      <xdr:colOff>187538</xdr:colOff>
      <xdr:row>27</xdr:row>
      <xdr:rowOff>37947</xdr:rowOff>
    </xdr:from>
    <xdr:to>
      <xdr:col>10</xdr:col>
      <xdr:colOff>517339</xdr:colOff>
      <xdr:row>29</xdr:row>
      <xdr:rowOff>204822</xdr:rowOff>
    </xdr:to>
    <xdr:sp macro="" textlink="">
      <xdr:nvSpPr>
        <xdr:cNvPr id="13" name="Rounded Rectangle 12">
          <a:hlinkClick xmlns:r="http://schemas.openxmlformats.org/officeDocument/2006/relationships" r:id="rId4"/>
          <a:extLst>
            <a:ext uri="{FF2B5EF4-FFF2-40B4-BE49-F238E27FC236}">
              <a16:creationId xmlns:a16="http://schemas.microsoft.com/office/drawing/2014/main" id="{1BF2DF3C-B5CF-594B-8848-781F15BC5FF9}"/>
            </a:ext>
          </a:extLst>
        </xdr:cNvPr>
        <xdr:cNvSpPr/>
      </xdr:nvSpPr>
      <xdr:spPr>
        <a:xfrm>
          <a:off x="17294438" y="7175347"/>
          <a:ext cx="2946001" cy="954275"/>
        </a:xfrm>
        <a:prstGeom prst="roundRect">
          <a:avLst>
            <a:gd name="adj" fmla="val 24141"/>
          </a:avLst>
        </a:prstGeom>
        <a:solidFill>
          <a:schemeClr val="accent5">
            <a:lumMod val="40000"/>
            <a:lumOff val="60000"/>
          </a:scheme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Theoretical Amount of Product obtained is calcuated based on Molar mass and ratios</a:t>
          </a:r>
        </a:p>
      </xdr:txBody>
    </xdr:sp>
    <xdr:clientData/>
  </xdr:twoCellAnchor>
  <xdr:twoCellAnchor>
    <xdr:from>
      <xdr:col>0</xdr:col>
      <xdr:colOff>53287</xdr:colOff>
      <xdr:row>31</xdr:row>
      <xdr:rowOff>240237</xdr:rowOff>
    </xdr:from>
    <xdr:to>
      <xdr:col>0</xdr:col>
      <xdr:colOff>2870200</xdr:colOff>
      <xdr:row>34</xdr:row>
      <xdr:rowOff>12817</xdr:rowOff>
    </xdr:to>
    <xdr:sp macro="" textlink="">
      <xdr:nvSpPr>
        <xdr:cNvPr id="14" name="Rounded Rectangle 13">
          <a:extLst>
            <a:ext uri="{FF2B5EF4-FFF2-40B4-BE49-F238E27FC236}">
              <a16:creationId xmlns:a16="http://schemas.microsoft.com/office/drawing/2014/main" id="{EE97E6C0-13F4-FD44-83CD-62F34E389F14}"/>
            </a:ext>
          </a:extLst>
        </xdr:cNvPr>
        <xdr:cNvSpPr/>
      </xdr:nvSpPr>
      <xdr:spPr>
        <a:xfrm>
          <a:off x="53287" y="8673037"/>
          <a:ext cx="2816913" cy="534580"/>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1.2 Solvents</a:t>
          </a:r>
        </a:p>
      </xdr:txBody>
    </xdr:sp>
    <xdr:clientData/>
  </xdr:twoCellAnchor>
  <xdr:twoCellAnchor>
    <xdr:from>
      <xdr:col>2</xdr:col>
      <xdr:colOff>387723</xdr:colOff>
      <xdr:row>12</xdr:row>
      <xdr:rowOff>228600</xdr:rowOff>
    </xdr:from>
    <xdr:to>
      <xdr:col>2</xdr:col>
      <xdr:colOff>976939</xdr:colOff>
      <xdr:row>14</xdr:row>
      <xdr:rowOff>46736</xdr:rowOff>
    </xdr:to>
    <xdr:sp macro="" textlink="">
      <xdr:nvSpPr>
        <xdr:cNvPr id="15" name="Text Placeholder 1248">
          <a:extLst>
            <a:ext uri="{FF2B5EF4-FFF2-40B4-BE49-F238E27FC236}">
              <a16:creationId xmlns:a16="http://schemas.microsoft.com/office/drawing/2014/main" id="{5C7FF656-A663-FC4E-8DA5-0C217A3A0F2E}"/>
            </a:ext>
          </a:extLst>
        </xdr:cNvPr>
        <xdr:cNvSpPr>
          <a:spLocks noGrp="1"/>
        </xdr:cNvSpPr>
      </xdr:nvSpPr>
      <xdr:spPr>
        <a:xfrm>
          <a:off x="6153523" y="3352800"/>
          <a:ext cx="589216" cy="453136"/>
        </a:xfrm>
        <a:prstGeom prst="ellipse">
          <a:avLst/>
        </a:prstGeom>
        <a:solidFill>
          <a:srgbClr val="FFC000">
            <a:lumMod val="60000"/>
            <a:lumOff val="40000"/>
          </a:srgbClr>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r>
            <a:rPr lang="en-US">
              <a:latin typeface="Arial" panose="020B0604020202020204" pitchFamily="34" charset="0"/>
              <a:cs typeface="Arial" panose="020B0604020202020204" pitchFamily="34" charset="0"/>
            </a:rPr>
            <a:t>1</a:t>
          </a:r>
        </a:p>
      </xdr:txBody>
    </xdr:sp>
    <xdr:clientData/>
  </xdr:twoCellAnchor>
  <xdr:twoCellAnchor>
    <xdr:from>
      <xdr:col>4</xdr:col>
      <xdr:colOff>1995714</xdr:colOff>
      <xdr:row>7</xdr:row>
      <xdr:rowOff>165100</xdr:rowOff>
    </xdr:from>
    <xdr:to>
      <xdr:col>5</xdr:col>
      <xdr:colOff>262636</xdr:colOff>
      <xdr:row>9</xdr:row>
      <xdr:rowOff>237236</xdr:rowOff>
    </xdr:to>
    <xdr:sp macro="" textlink="">
      <xdr:nvSpPr>
        <xdr:cNvPr id="16" name="Text Placeholder 1248">
          <a:extLst>
            <a:ext uri="{FF2B5EF4-FFF2-40B4-BE49-F238E27FC236}">
              <a16:creationId xmlns:a16="http://schemas.microsoft.com/office/drawing/2014/main" id="{0661412E-F814-674F-AA21-4B5075700F2D}"/>
            </a:ext>
          </a:extLst>
        </xdr:cNvPr>
        <xdr:cNvSpPr>
          <a:spLocks noGrp="1"/>
        </xdr:cNvSpPr>
      </xdr:nvSpPr>
      <xdr:spPr>
        <a:xfrm>
          <a:off x="12143014" y="2019300"/>
          <a:ext cx="578322" cy="580136"/>
        </a:xfrm>
        <a:prstGeom prst="ellipse">
          <a:avLst/>
        </a:prstGeom>
        <a:solidFill>
          <a:srgbClr val="FFC000">
            <a:lumMod val="60000"/>
            <a:lumOff val="40000"/>
          </a:srgbClr>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r>
            <a:rPr lang="en-US"/>
            <a:t>#</a:t>
          </a:r>
        </a:p>
      </xdr:txBody>
    </xdr:sp>
    <xdr:clientData/>
  </xdr:twoCellAnchor>
  <xdr:twoCellAnchor>
    <xdr:from>
      <xdr:col>4</xdr:col>
      <xdr:colOff>1995714</xdr:colOff>
      <xdr:row>10</xdr:row>
      <xdr:rowOff>139700</xdr:rowOff>
    </xdr:from>
    <xdr:to>
      <xdr:col>5</xdr:col>
      <xdr:colOff>262636</xdr:colOff>
      <xdr:row>12</xdr:row>
      <xdr:rowOff>211836</xdr:rowOff>
    </xdr:to>
    <xdr:sp macro="" textlink="">
      <xdr:nvSpPr>
        <xdr:cNvPr id="17" name="Text Placeholder 1248">
          <a:extLst>
            <a:ext uri="{FF2B5EF4-FFF2-40B4-BE49-F238E27FC236}">
              <a16:creationId xmlns:a16="http://schemas.microsoft.com/office/drawing/2014/main" id="{43546725-E24A-794C-9934-C090E6463A2B}"/>
            </a:ext>
          </a:extLst>
        </xdr:cNvPr>
        <xdr:cNvSpPr>
          <a:spLocks noGrp="1"/>
        </xdr:cNvSpPr>
      </xdr:nvSpPr>
      <xdr:spPr>
        <a:xfrm>
          <a:off x="12143014" y="2755900"/>
          <a:ext cx="578322" cy="580136"/>
        </a:xfrm>
        <a:prstGeom prst="ellipse">
          <a:avLst/>
        </a:prstGeom>
        <a:solidFill>
          <a:srgbClr val="60CCF3"/>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r>
            <a:rPr lang="en-US"/>
            <a:t>#</a:t>
          </a:r>
        </a:p>
      </xdr:txBody>
    </xdr:sp>
    <xdr:clientData/>
  </xdr:twoCellAnchor>
  <xdr:twoCellAnchor>
    <xdr:from>
      <xdr:col>5</xdr:col>
      <xdr:colOff>408887</xdr:colOff>
      <xdr:row>7</xdr:row>
      <xdr:rowOff>165100</xdr:rowOff>
    </xdr:from>
    <xdr:to>
      <xdr:col>6</xdr:col>
      <xdr:colOff>914400</xdr:colOff>
      <xdr:row>9</xdr:row>
      <xdr:rowOff>217080</xdr:rowOff>
    </xdr:to>
    <xdr:sp macro="" textlink="">
      <xdr:nvSpPr>
        <xdr:cNvPr id="18" name="Rounded Rectangle 17">
          <a:extLst>
            <a:ext uri="{FF2B5EF4-FFF2-40B4-BE49-F238E27FC236}">
              <a16:creationId xmlns:a16="http://schemas.microsoft.com/office/drawing/2014/main" id="{25F1DCF2-3DBC-7C48-A185-A2B1A7454B99}"/>
            </a:ext>
          </a:extLst>
        </xdr:cNvPr>
        <xdr:cNvSpPr/>
      </xdr:nvSpPr>
      <xdr:spPr>
        <a:xfrm>
          <a:off x="12867587" y="2019300"/>
          <a:ext cx="2816913" cy="559980"/>
        </a:xfrm>
        <a:prstGeom prst="roundRect">
          <a:avLst>
            <a:gd name="adj" fmla="val 43110"/>
          </a:avLst>
        </a:prstGeom>
        <a:solidFill>
          <a:srgbClr val="FFC000">
            <a:lumMod val="60000"/>
            <a:lumOff val="40000"/>
          </a:srgbClr>
        </a:solidFill>
        <a:ln w="44450">
          <a:solidFill>
            <a:sysClr val="windowText" lastClr="000000"/>
          </a:solidFill>
        </a:ln>
      </xdr:spPr>
      <xdr:txBody>
        <a:bodyPr vert="horz" wrap="square" lIns="0" tIns="0" rIns="0" bIns="0" rtlCol="0" anchor="ctr">
          <a:noAutofit/>
        </a:bodyPr>
        <a:lstStyle/>
        <a:p>
          <a:pPr marL="0" marR="0" lvl="0" indent="0" algn="ctr" defTabSz="914400" rtl="0" eaLnBrk="1" fontAlgn="auto" latinLnBrk="0" hangingPunct="1">
            <a:lnSpc>
              <a:spcPct val="100000"/>
            </a:lnSpc>
            <a:spcBef>
              <a:spcPts val="0"/>
            </a:spcBef>
            <a:spcAft>
              <a:spcPts val="0"/>
            </a:spcAft>
            <a:buClrTx/>
            <a:buSzTx/>
            <a:buFont typeface="Arial" panose="020B0604020202020204" pitchFamily="34" charset="0"/>
            <a:buNone/>
            <a:tabLst/>
            <a:defRPr/>
          </a:pPr>
          <a:r>
            <a:rPr lang="en-US" sz="2800" b="1" kern="1200">
              <a:ln w="0">
                <a:noFill/>
              </a:ln>
              <a:solidFill>
                <a:sysClr val="windowText" lastClr="000000"/>
              </a:solidFill>
              <a:latin typeface="Tw Cen MT"/>
              <a:ea typeface="+mn-ea"/>
              <a:cs typeface="+mn-cs"/>
            </a:rPr>
            <a:t>Required</a:t>
          </a:r>
        </a:p>
      </xdr:txBody>
    </xdr:sp>
    <xdr:clientData/>
  </xdr:twoCellAnchor>
  <xdr:twoCellAnchor>
    <xdr:from>
      <xdr:col>5</xdr:col>
      <xdr:colOff>408887</xdr:colOff>
      <xdr:row>10</xdr:row>
      <xdr:rowOff>190500</xdr:rowOff>
    </xdr:from>
    <xdr:to>
      <xdr:col>6</xdr:col>
      <xdr:colOff>914400</xdr:colOff>
      <xdr:row>12</xdr:row>
      <xdr:rowOff>242480</xdr:rowOff>
    </xdr:to>
    <xdr:sp macro="" textlink="">
      <xdr:nvSpPr>
        <xdr:cNvPr id="19" name="Rounded Rectangle 18">
          <a:extLst>
            <a:ext uri="{FF2B5EF4-FFF2-40B4-BE49-F238E27FC236}">
              <a16:creationId xmlns:a16="http://schemas.microsoft.com/office/drawing/2014/main" id="{69C032CD-437D-334B-ACAE-6322378DCCD1}"/>
            </a:ext>
          </a:extLst>
        </xdr:cNvPr>
        <xdr:cNvSpPr/>
      </xdr:nvSpPr>
      <xdr:spPr>
        <a:xfrm>
          <a:off x="12867587" y="2806700"/>
          <a:ext cx="2816913" cy="559980"/>
        </a:xfrm>
        <a:prstGeom prst="roundRect">
          <a:avLst>
            <a:gd name="adj" fmla="val 43110"/>
          </a:avLst>
        </a:prstGeom>
        <a:solidFill>
          <a:srgbClr val="60CCF3"/>
        </a:solidFill>
        <a:ln w="44450">
          <a:solidFill>
            <a:sysClr val="windowText" lastClr="000000"/>
          </a:solidFill>
        </a:ln>
      </xdr:spPr>
      <xdr:txBody>
        <a:bodyPr vert="horz" wrap="square" lIns="0" tIns="0" rIns="0" bIns="0" rtlCol="0" anchor="ctr">
          <a:noAutofit/>
        </a:bodyPr>
        <a:lstStyle/>
        <a:p>
          <a:pPr marL="0" marR="0" lvl="0" indent="0" algn="ctr" defTabSz="914400" rtl="0" eaLnBrk="1" fontAlgn="auto" latinLnBrk="0" hangingPunct="1">
            <a:lnSpc>
              <a:spcPct val="100000"/>
            </a:lnSpc>
            <a:spcBef>
              <a:spcPts val="0"/>
            </a:spcBef>
            <a:spcAft>
              <a:spcPts val="0"/>
            </a:spcAft>
            <a:buClrTx/>
            <a:buSzTx/>
            <a:buFont typeface="Arial" panose="020B0604020202020204" pitchFamily="34" charset="0"/>
            <a:buNone/>
            <a:tabLst/>
            <a:defRPr/>
          </a:pPr>
          <a:r>
            <a:rPr lang="en-US" sz="2800" b="1" kern="1200">
              <a:ln w="0">
                <a:noFill/>
              </a:ln>
              <a:solidFill>
                <a:sysClr val="windowText" lastClr="000000"/>
              </a:solidFill>
              <a:latin typeface="Tw Cen MT"/>
              <a:ea typeface="+mn-ea"/>
              <a:cs typeface="+mn-cs"/>
            </a:rPr>
            <a:t>Optional</a:t>
          </a:r>
        </a:p>
      </xdr:txBody>
    </xdr:sp>
    <xdr:clientData/>
  </xdr:twoCellAnchor>
  <xdr:twoCellAnchor>
    <xdr:from>
      <xdr:col>0</xdr:col>
      <xdr:colOff>3500325</xdr:colOff>
      <xdr:row>22</xdr:row>
      <xdr:rowOff>254117</xdr:rowOff>
    </xdr:from>
    <xdr:to>
      <xdr:col>2</xdr:col>
      <xdr:colOff>190618</xdr:colOff>
      <xdr:row>26</xdr:row>
      <xdr:rowOff>141797</xdr:rowOff>
    </xdr:to>
    <xdr:sp macro="" textlink="">
      <xdr:nvSpPr>
        <xdr:cNvPr id="20" name="Rounded Rectangle 19">
          <a:extLst>
            <a:ext uri="{FF2B5EF4-FFF2-40B4-BE49-F238E27FC236}">
              <a16:creationId xmlns:a16="http://schemas.microsoft.com/office/drawing/2014/main" id="{45074054-CCA3-F245-AAEC-C449D21A67FC}"/>
            </a:ext>
          </a:extLst>
        </xdr:cNvPr>
        <xdr:cNvSpPr/>
      </xdr:nvSpPr>
      <xdr:spPr>
        <a:xfrm>
          <a:off x="3500325" y="6121517"/>
          <a:ext cx="2456093" cy="903680"/>
        </a:xfrm>
        <a:prstGeom prst="roundRect">
          <a:avLst>
            <a:gd name="adj" fmla="val 46754"/>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Choose from known precursors from drop down menu</a:t>
          </a:r>
        </a:p>
      </xdr:txBody>
    </xdr:sp>
    <xdr:clientData/>
  </xdr:twoCellAnchor>
  <xdr:twoCellAnchor>
    <xdr:from>
      <xdr:col>0</xdr:col>
      <xdr:colOff>3233697</xdr:colOff>
      <xdr:row>23</xdr:row>
      <xdr:rowOff>190500</xdr:rowOff>
    </xdr:from>
    <xdr:to>
      <xdr:col>1</xdr:col>
      <xdr:colOff>135636</xdr:colOff>
      <xdr:row>25</xdr:row>
      <xdr:rowOff>249936</xdr:rowOff>
    </xdr:to>
    <xdr:sp macro="" textlink="">
      <xdr:nvSpPr>
        <xdr:cNvPr id="21" name="Text Placeholder 1248">
          <a:extLst>
            <a:ext uri="{FF2B5EF4-FFF2-40B4-BE49-F238E27FC236}">
              <a16:creationId xmlns:a16="http://schemas.microsoft.com/office/drawing/2014/main" id="{676CD3EA-FAB2-6040-8490-DC6F365EDDF8}"/>
            </a:ext>
          </a:extLst>
        </xdr:cNvPr>
        <xdr:cNvSpPr>
          <a:spLocks noGrp="1"/>
        </xdr:cNvSpPr>
      </xdr:nvSpPr>
      <xdr:spPr>
        <a:xfrm>
          <a:off x="3233697" y="6311900"/>
          <a:ext cx="572239" cy="567436"/>
        </a:xfrm>
        <a:prstGeom prst="ellipse">
          <a:avLst/>
        </a:prstGeom>
        <a:solidFill>
          <a:srgbClr val="60CCF3"/>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r>
            <a:rPr lang="en-US">
              <a:latin typeface="Arial" panose="020B0604020202020204" pitchFamily="34" charset="0"/>
              <a:cs typeface="Arial" panose="020B0604020202020204" pitchFamily="34" charset="0"/>
            </a:rPr>
            <a:t>2</a:t>
          </a:r>
        </a:p>
      </xdr:txBody>
    </xdr:sp>
    <xdr:clientData/>
  </xdr:twoCellAnchor>
  <xdr:twoCellAnchor>
    <xdr:from>
      <xdr:col>2</xdr:col>
      <xdr:colOff>1248656</xdr:colOff>
      <xdr:row>23</xdr:row>
      <xdr:rowOff>190500</xdr:rowOff>
    </xdr:from>
    <xdr:to>
      <xdr:col>2</xdr:col>
      <xdr:colOff>1816100</xdr:colOff>
      <xdr:row>25</xdr:row>
      <xdr:rowOff>249936</xdr:rowOff>
    </xdr:to>
    <xdr:sp macro="" textlink="">
      <xdr:nvSpPr>
        <xdr:cNvPr id="22" name="Text Placeholder 1248">
          <a:extLst>
            <a:ext uri="{FF2B5EF4-FFF2-40B4-BE49-F238E27FC236}">
              <a16:creationId xmlns:a16="http://schemas.microsoft.com/office/drawing/2014/main" id="{7FA72E68-74D5-4943-87A4-E07E312611C1}"/>
            </a:ext>
          </a:extLst>
        </xdr:cNvPr>
        <xdr:cNvSpPr>
          <a:spLocks noGrp="1"/>
        </xdr:cNvSpPr>
      </xdr:nvSpPr>
      <xdr:spPr>
        <a:xfrm>
          <a:off x="7014456" y="6311900"/>
          <a:ext cx="567444" cy="567436"/>
        </a:xfrm>
        <a:prstGeom prst="ellipse">
          <a:avLst/>
        </a:prstGeom>
        <a:solidFill>
          <a:srgbClr val="60CCF3"/>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r>
            <a:rPr lang="en-US">
              <a:latin typeface="Arial" panose="020B0604020202020204" pitchFamily="34" charset="0"/>
              <a:cs typeface="Arial" panose="020B0604020202020204" pitchFamily="34" charset="0"/>
            </a:rPr>
            <a:t>3</a:t>
          </a:r>
        </a:p>
      </xdr:txBody>
    </xdr:sp>
    <xdr:clientData/>
  </xdr:twoCellAnchor>
  <xdr:twoCellAnchor>
    <xdr:from>
      <xdr:col>1</xdr:col>
      <xdr:colOff>2804</xdr:colOff>
      <xdr:row>33</xdr:row>
      <xdr:rowOff>232402</xdr:rowOff>
    </xdr:from>
    <xdr:to>
      <xdr:col>1</xdr:col>
      <xdr:colOff>1727791</xdr:colOff>
      <xdr:row>35</xdr:row>
      <xdr:rowOff>207800</xdr:rowOff>
    </xdr:to>
    <xdr:sp macro="" textlink="">
      <xdr:nvSpPr>
        <xdr:cNvPr id="23" name="Rounded Rectangle 22">
          <a:extLst>
            <a:ext uri="{FF2B5EF4-FFF2-40B4-BE49-F238E27FC236}">
              <a16:creationId xmlns:a16="http://schemas.microsoft.com/office/drawing/2014/main" id="{3EA324D2-605C-9F47-AAC2-A3E0D70D4750}"/>
            </a:ext>
          </a:extLst>
        </xdr:cNvPr>
        <xdr:cNvSpPr/>
      </xdr:nvSpPr>
      <xdr:spPr>
        <a:xfrm>
          <a:off x="3673104" y="9173202"/>
          <a:ext cx="1724987" cy="483398"/>
        </a:xfrm>
        <a:prstGeom prst="roundRect">
          <a:avLst>
            <a:gd name="adj" fmla="val 46754"/>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Choose Solvent</a:t>
          </a:r>
        </a:p>
      </xdr:txBody>
    </xdr:sp>
    <xdr:clientData/>
  </xdr:twoCellAnchor>
  <xdr:twoCellAnchor>
    <xdr:from>
      <xdr:col>0</xdr:col>
      <xdr:colOff>3293533</xdr:colOff>
      <xdr:row>33</xdr:row>
      <xdr:rowOff>190383</xdr:rowOff>
    </xdr:from>
    <xdr:to>
      <xdr:col>1</xdr:col>
      <xdr:colOff>211836</xdr:colOff>
      <xdr:row>35</xdr:row>
      <xdr:rowOff>249819</xdr:rowOff>
    </xdr:to>
    <xdr:sp macro="" textlink="">
      <xdr:nvSpPr>
        <xdr:cNvPr id="24" name="Text Placeholder 1248">
          <a:extLst>
            <a:ext uri="{FF2B5EF4-FFF2-40B4-BE49-F238E27FC236}">
              <a16:creationId xmlns:a16="http://schemas.microsoft.com/office/drawing/2014/main" id="{5BF883D9-6DFD-D548-8799-57C1ED3D6A99}"/>
            </a:ext>
          </a:extLst>
        </xdr:cNvPr>
        <xdr:cNvSpPr>
          <a:spLocks noGrp="1"/>
        </xdr:cNvSpPr>
      </xdr:nvSpPr>
      <xdr:spPr>
        <a:xfrm>
          <a:off x="3293533" y="9131183"/>
          <a:ext cx="588603" cy="567436"/>
        </a:xfrm>
        <a:prstGeom prst="ellipse">
          <a:avLst/>
        </a:prstGeom>
        <a:solidFill>
          <a:srgbClr val="60CCF3"/>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r>
            <a:rPr lang="en-US">
              <a:latin typeface="Arial" panose="020B0604020202020204" pitchFamily="34" charset="0"/>
              <a:cs typeface="Arial" panose="020B0604020202020204" pitchFamily="34" charset="0"/>
            </a:rPr>
            <a:t>4</a:t>
          </a:r>
        </a:p>
      </xdr:txBody>
    </xdr:sp>
    <xdr:clientData/>
  </xdr:twoCellAnchor>
  <xdr:twoCellAnchor>
    <xdr:from>
      <xdr:col>2</xdr:col>
      <xdr:colOff>334184</xdr:colOff>
      <xdr:row>33</xdr:row>
      <xdr:rowOff>216011</xdr:rowOff>
    </xdr:from>
    <xdr:to>
      <xdr:col>3</xdr:col>
      <xdr:colOff>317500</xdr:colOff>
      <xdr:row>35</xdr:row>
      <xdr:rowOff>192591</xdr:rowOff>
    </xdr:to>
    <xdr:sp macro="" textlink="">
      <xdr:nvSpPr>
        <xdr:cNvPr id="25" name="Rounded Rectangle 24">
          <a:extLst>
            <a:ext uri="{FF2B5EF4-FFF2-40B4-BE49-F238E27FC236}">
              <a16:creationId xmlns:a16="http://schemas.microsoft.com/office/drawing/2014/main" id="{DCB82522-1C39-5041-A104-55B368F01180}"/>
            </a:ext>
          </a:extLst>
        </xdr:cNvPr>
        <xdr:cNvSpPr/>
      </xdr:nvSpPr>
      <xdr:spPr>
        <a:xfrm>
          <a:off x="6099984" y="9156811"/>
          <a:ext cx="2053416" cy="484580"/>
        </a:xfrm>
        <a:prstGeom prst="roundRect">
          <a:avLst>
            <a:gd name="adj" fmla="val 46754"/>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Enter Solvent</a:t>
          </a:r>
        </a:p>
      </xdr:txBody>
    </xdr:sp>
    <xdr:clientData/>
  </xdr:twoCellAnchor>
  <xdr:twoCellAnchor>
    <xdr:from>
      <xdr:col>1</xdr:col>
      <xdr:colOff>1998920</xdr:colOff>
      <xdr:row>33</xdr:row>
      <xdr:rowOff>168233</xdr:rowOff>
    </xdr:from>
    <xdr:to>
      <xdr:col>2</xdr:col>
      <xdr:colOff>529630</xdr:colOff>
      <xdr:row>35</xdr:row>
      <xdr:rowOff>240369</xdr:rowOff>
    </xdr:to>
    <xdr:sp macro="" textlink="">
      <xdr:nvSpPr>
        <xdr:cNvPr id="26" name="Text Placeholder 1248">
          <a:extLst>
            <a:ext uri="{FF2B5EF4-FFF2-40B4-BE49-F238E27FC236}">
              <a16:creationId xmlns:a16="http://schemas.microsoft.com/office/drawing/2014/main" id="{4738ABEF-3C44-B54A-93DC-1663C2AB7BEE}"/>
            </a:ext>
          </a:extLst>
        </xdr:cNvPr>
        <xdr:cNvSpPr>
          <a:spLocks noGrp="1"/>
        </xdr:cNvSpPr>
      </xdr:nvSpPr>
      <xdr:spPr>
        <a:xfrm>
          <a:off x="5669220" y="9109033"/>
          <a:ext cx="626210" cy="580136"/>
        </a:xfrm>
        <a:prstGeom prst="ellipse">
          <a:avLst/>
        </a:prstGeom>
        <a:solidFill>
          <a:srgbClr val="60CCF3"/>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r>
            <a:rPr lang="en-US">
              <a:latin typeface="Arial" panose="020B0604020202020204" pitchFamily="34" charset="0"/>
              <a:cs typeface="Arial" panose="020B0604020202020204" pitchFamily="34" charset="0"/>
            </a:rPr>
            <a:t>5</a:t>
          </a:r>
        </a:p>
      </xdr:txBody>
    </xdr:sp>
    <xdr:clientData/>
  </xdr:twoCellAnchor>
  <xdr:twoCellAnchor>
    <xdr:from>
      <xdr:col>0</xdr:col>
      <xdr:colOff>53287</xdr:colOff>
      <xdr:row>41</xdr:row>
      <xdr:rowOff>11637</xdr:rowOff>
    </xdr:from>
    <xdr:to>
      <xdr:col>0</xdr:col>
      <xdr:colOff>2870200</xdr:colOff>
      <xdr:row>43</xdr:row>
      <xdr:rowOff>63617</xdr:rowOff>
    </xdr:to>
    <xdr:sp macro="" textlink="">
      <xdr:nvSpPr>
        <xdr:cNvPr id="27" name="Rounded Rectangle 26">
          <a:extLst>
            <a:ext uri="{FF2B5EF4-FFF2-40B4-BE49-F238E27FC236}">
              <a16:creationId xmlns:a16="http://schemas.microsoft.com/office/drawing/2014/main" id="{4104D2ED-965A-BA46-A3C5-A42FAD224E11}"/>
            </a:ext>
          </a:extLst>
        </xdr:cNvPr>
        <xdr:cNvSpPr/>
      </xdr:nvSpPr>
      <xdr:spPr>
        <a:xfrm>
          <a:off x="53287" y="11022537"/>
          <a:ext cx="2816913" cy="559980"/>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1.3 Water</a:t>
          </a:r>
        </a:p>
      </xdr:txBody>
    </xdr:sp>
    <xdr:clientData/>
  </xdr:twoCellAnchor>
  <xdr:twoCellAnchor>
    <xdr:from>
      <xdr:col>1</xdr:col>
      <xdr:colOff>84026</xdr:colOff>
      <xdr:row>43</xdr:row>
      <xdr:rowOff>85761</xdr:rowOff>
    </xdr:from>
    <xdr:to>
      <xdr:col>1</xdr:col>
      <xdr:colOff>1557966</xdr:colOff>
      <xdr:row>45</xdr:row>
      <xdr:rowOff>62341</xdr:rowOff>
    </xdr:to>
    <xdr:sp macro="" textlink="">
      <xdr:nvSpPr>
        <xdr:cNvPr id="28" name="Rounded Rectangle 27">
          <a:extLst>
            <a:ext uri="{FF2B5EF4-FFF2-40B4-BE49-F238E27FC236}">
              <a16:creationId xmlns:a16="http://schemas.microsoft.com/office/drawing/2014/main" id="{3106A06E-FB07-D44B-91C3-C1BB02496D60}"/>
            </a:ext>
          </a:extLst>
        </xdr:cNvPr>
        <xdr:cNvSpPr/>
      </xdr:nvSpPr>
      <xdr:spPr>
        <a:xfrm>
          <a:off x="3754326" y="11604661"/>
          <a:ext cx="1473940" cy="662380"/>
        </a:xfrm>
        <a:prstGeom prst="roundRect">
          <a:avLst>
            <a:gd name="adj" fmla="val 46754"/>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Choose Type</a:t>
          </a:r>
        </a:p>
      </xdr:txBody>
    </xdr:sp>
    <xdr:clientData/>
  </xdr:twoCellAnchor>
  <xdr:twoCellAnchor>
    <xdr:from>
      <xdr:col>0</xdr:col>
      <xdr:colOff>3274533</xdr:colOff>
      <xdr:row>43</xdr:row>
      <xdr:rowOff>94651</xdr:rowOff>
    </xdr:from>
    <xdr:to>
      <xdr:col>1</xdr:col>
      <xdr:colOff>200000</xdr:colOff>
      <xdr:row>45</xdr:row>
      <xdr:rowOff>6668</xdr:rowOff>
    </xdr:to>
    <xdr:sp macro="" textlink="">
      <xdr:nvSpPr>
        <xdr:cNvPr id="29" name="Text Placeholder 1248">
          <a:extLst>
            <a:ext uri="{FF2B5EF4-FFF2-40B4-BE49-F238E27FC236}">
              <a16:creationId xmlns:a16="http://schemas.microsoft.com/office/drawing/2014/main" id="{4CF85EE6-3CF9-094D-AB68-10114FFB1192}"/>
            </a:ext>
          </a:extLst>
        </xdr:cNvPr>
        <xdr:cNvSpPr>
          <a:spLocks noGrp="1"/>
        </xdr:cNvSpPr>
      </xdr:nvSpPr>
      <xdr:spPr>
        <a:xfrm>
          <a:off x="3274533" y="11613551"/>
          <a:ext cx="595767" cy="597817"/>
        </a:xfrm>
        <a:prstGeom prst="ellipse">
          <a:avLst/>
        </a:prstGeom>
        <a:solidFill>
          <a:srgbClr val="60CCF3"/>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r>
            <a:rPr lang="en-US">
              <a:latin typeface="Arial" panose="020B0604020202020204" pitchFamily="34" charset="0"/>
              <a:cs typeface="Arial" panose="020B0604020202020204" pitchFamily="34" charset="0"/>
            </a:rPr>
            <a:t>6</a:t>
          </a:r>
        </a:p>
      </xdr:txBody>
    </xdr:sp>
    <xdr:clientData/>
  </xdr:twoCellAnchor>
  <xdr:twoCellAnchor>
    <xdr:from>
      <xdr:col>2</xdr:col>
      <xdr:colOff>228895</xdr:colOff>
      <xdr:row>43</xdr:row>
      <xdr:rowOff>93145</xdr:rowOff>
    </xdr:from>
    <xdr:to>
      <xdr:col>3</xdr:col>
      <xdr:colOff>114300</xdr:colOff>
      <xdr:row>45</xdr:row>
      <xdr:rowOff>69725</xdr:rowOff>
    </xdr:to>
    <xdr:sp macro="" textlink="">
      <xdr:nvSpPr>
        <xdr:cNvPr id="30" name="Rounded Rectangle 29">
          <a:extLst>
            <a:ext uri="{FF2B5EF4-FFF2-40B4-BE49-F238E27FC236}">
              <a16:creationId xmlns:a16="http://schemas.microsoft.com/office/drawing/2014/main" id="{0A48DDF9-7061-934F-8535-BBE2E05FA911}"/>
            </a:ext>
          </a:extLst>
        </xdr:cNvPr>
        <xdr:cNvSpPr/>
      </xdr:nvSpPr>
      <xdr:spPr>
        <a:xfrm>
          <a:off x="5994695" y="11612045"/>
          <a:ext cx="1955505" cy="662380"/>
        </a:xfrm>
        <a:prstGeom prst="roundRect">
          <a:avLst>
            <a:gd name="adj" fmla="val 46754"/>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Enter Quantity</a:t>
          </a:r>
        </a:p>
      </xdr:txBody>
    </xdr:sp>
    <xdr:clientData/>
  </xdr:twoCellAnchor>
  <xdr:twoCellAnchor>
    <xdr:from>
      <xdr:col>1</xdr:col>
      <xdr:colOff>1799560</xdr:colOff>
      <xdr:row>43</xdr:row>
      <xdr:rowOff>45367</xdr:rowOff>
    </xdr:from>
    <xdr:to>
      <xdr:col>2</xdr:col>
      <xdr:colOff>350000</xdr:colOff>
      <xdr:row>45</xdr:row>
      <xdr:rowOff>13333</xdr:rowOff>
    </xdr:to>
    <xdr:sp macro="" textlink="">
      <xdr:nvSpPr>
        <xdr:cNvPr id="31" name="Text Placeholder 1248">
          <a:extLst>
            <a:ext uri="{FF2B5EF4-FFF2-40B4-BE49-F238E27FC236}">
              <a16:creationId xmlns:a16="http://schemas.microsoft.com/office/drawing/2014/main" id="{BB8F476E-BA1D-0D45-A1E2-AE67BB186F80}"/>
            </a:ext>
          </a:extLst>
        </xdr:cNvPr>
        <xdr:cNvSpPr>
          <a:spLocks noGrp="1"/>
        </xdr:cNvSpPr>
      </xdr:nvSpPr>
      <xdr:spPr>
        <a:xfrm>
          <a:off x="5469860" y="11564267"/>
          <a:ext cx="645940" cy="653766"/>
        </a:xfrm>
        <a:prstGeom prst="ellipse">
          <a:avLst/>
        </a:prstGeom>
        <a:solidFill>
          <a:srgbClr val="60CCF3"/>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r>
            <a:rPr lang="en-US">
              <a:latin typeface="Arial" panose="020B0604020202020204" pitchFamily="34" charset="0"/>
              <a:cs typeface="Arial" panose="020B0604020202020204" pitchFamily="34" charset="0"/>
            </a:rPr>
            <a:t>7</a:t>
          </a:r>
        </a:p>
      </xdr:txBody>
    </xdr:sp>
    <xdr:clientData/>
  </xdr:twoCellAnchor>
  <xdr:twoCellAnchor>
    <xdr:from>
      <xdr:col>0</xdr:col>
      <xdr:colOff>53287</xdr:colOff>
      <xdr:row>51</xdr:row>
      <xdr:rowOff>209595</xdr:rowOff>
    </xdr:from>
    <xdr:to>
      <xdr:col>3</xdr:col>
      <xdr:colOff>1110140</xdr:colOff>
      <xdr:row>54</xdr:row>
      <xdr:rowOff>84666</xdr:rowOff>
    </xdr:to>
    <xdr:sp macro="" textlink="">
      <xdr:nvSpPr>
        <xdr:cNvPr id="32" name="Rounded Rectangle 31">
          <a:extLst>
            <a:ext uri="{FF2B5EF4-FFF2-40B4-BE49-F238E27FC236}">
              <a16:creationId xmlns:a16="http://schemas.microsoft.com/office/drawing/2014/main" id="{A893B110-B7C8-B143-84ED-A1513C95169E}"/>
            </a:ext>
          </a:extLst>
        </xdr:cNvPr>
        <xdr:cNvSpPr/>
      </xdr:nvSpPr>
      <xdr:spPr>
        <a:xfrm>
          <a:off x="53287" y="14141495"/>
          <a:ext cx="8892753" cy="637071"/>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20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Process Time Information</a:t>
          </a:r>
        </a:p>
      </xdr:txBody>
    </xdr:sp>
    <xdr:clientData/>
  </xdr:twoCellAnchor>
  <xdr:twoCellAnchor>
    <xdr:from>
      <xdr:col>1</xdr:col>
      <xdr:colOff>84025</xdr:colOff>
      <xdr:row>55</xdr:row>
      <xdr:rowOff>127000</xdr:rowOff>
    </xdr:from>
    <xdr:to>
      <xdr:col>1</xdr:col>
      <xdr:colOff>2015066</xdr:colOff>
      <xdr:row>58</xdr:row>
      <xdr:rowOff>104674</xdr:rowOff>
    </xdr:to>
    <xdr:sp macro="" textlink="">
      <xdr:nvSpPr>
        <xdr:cNvPr id="33" name="Rounded Rectangle 32">
          <a:extLst>
            <a:ext uri="{FF2B5EF4-FFF2-40B4-BE49-F238E27FC236}">
              <a16:creationId xmlns:a16="http://schemas.microsoft.com/office/drawing/2014/main" id="{FB38BCD7-004B-704C-BE19-1B6A8CC7B7B1}"/>
            </a:ext>
          </a:extLst>
        </xdr:cNvPr>
        <xdr:cNvSpPr/>
      </xdr:nvSpPr>
      <xdr:spPr>
        <a:xfrm>
          <a:off x="3754325" y="15074900"/>
          <a:ext cx="1931041" cy="739674"/>
        </a:xfrm>
        <a:prstGeom prst="roundRect">
          <a:avLst>
            <a:gd name="adj" fmla="val 46754"/>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Replace with your Process Time</a:t>
          </a:r>
        </a:p>
      </xdr:txBody>
    </xdr:sp>
    <xdr:clientData/>
  </xdr:twoCellAnchor>
  <xdr:twoCellAnchor>
    <xdr:from>
      <xdr:col>0</xdr:col>
      <xdr:colOff>3124200</xdr:colOff>
      <xdr:row>55</xdr:row>
      <xdr:rowOff>177682</xdr:rowOff>
    </xdr:from>
    <xdr:to>
      <xdr:col>1</xdr:col>
      <xdr:colOff>84836</xdr:colOff>
      <xdr:row>58</xdr:row>
      <xdr:rowOff>12752</xdr:rowOff>
    </xdr:to>
    <xdr:sp macro="" textlink="">
      <xdr:nvSpPr>
        <xdr:cNvPr id="34" name="Text Placeholder 1248">
          <a:extLst>
            <a:ext uri="{FF2B5EF4-FFF2-40B4-BE49-F238E27FC236}">
              <a16:creationId xmlns:a16="http://schemas.microsoft.com/office/drawing/2014/main" id="{FC8C3095-8519-2249-96F9-228A0BDF56A9}"/>
            </a:ext>
          </a:extLst>
        </xdr:cNvPr>
        <xdr:cNvSpPr>
          <a:spLocks noGrp="1"/>
        </xdr:cNvSpPr>
      </xdr:nvSpPr>
      <xdr:spPr>
        <a:xfrm>
          <a:off x="3124200" y="15125582"/>
          <a:ext cx="630936" cy="597070"/>
        </a:xfrm>
        <a:prstGeom prst="ellipse">
          <a:avLst/>
        </a:prstGeom>
        <a:solidFill>
          <a:srgbClr val="FFC000">
            <a:lumMod val="60000"/>
            <a:lumOff val="40000"/>
          </a:srgbClr>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pPr marL="0" indent="0" algn="ctr" defTabSz="914400" rtl="0" eaLnBrk="1" latinLnBrk="0" hangingPunct="1">
            <a:lnSpc>
              <a:spcPct val="100000"/>
            </a:lnSpc>
            <a:spcBef>
              <a:spcPts val="0"/>
            </a:spcBef>
            <a:buFont typeface="Arial" panose="020B0604020202020204" pitchFamily="34" charset="0"/>
            <a:buNone/>
          </a:pPr>
          <a:r>
            <a:rPr lang="en-US" sz="2800" b="1" kern="1200">
              <a:ln w="0">
                <a:noFill/>
              </a:ln>
              <a:solidFill>
                <a:sysClr val="windowText" lastClr="000000"/>
              </a:solidFill>
              <a:latin typeface="Arial" panose="020B0604020202020204" pitchFamily="34" charset="0"/>
              <a:ea typeface="+mn-ea"/>
              <a:cs typeface="Arial" panose="020B0604020202020204" pitchFamily="34" charset="0"/>
            </a:rPr>
            <a:t>8</a:t>
          </a:r>
        </a:p>
      </xdr:txBody>
    </xdr:sp>
    <xdr:clientData/>
  </xdr:twoCellAnchor>
  <xdr:twoCellAnchor>
    <xdr:from>
      <xdr:col>0</xdr:col>
      <xdr:colOff>53287</xdr:colOff>
      <xdr:row>65</xdr:row>
      <xdr:rowOff>135467</xdr:rowOff>
    </xdr:from>
    <xdr:to>
      <xdr:col>3</xdr:col>
      <xdr:colOff>1110140</xdr:colOff>
      <xdr:row>68</xdr:row>
      <xdr:rowOff>12701</xdr:rowOff>
    </xdr:to>
    <xdr:sp macro="" textlink="">
      <xdr:nvSpPr>
        <xdr:cNvPr id="35" name="Rounded Rectangle 34">
          <a:extLst>
            <a:ext uri="{FF2B5EF4-FFF2-40B4-BE49-F238E27FC236}">
              <a16:creationId xmlns:a16="http://schemas.microsoft.com/office/drawing/2014/main" id="{F869BA52-BC35-C944-A3F2-E3DAE10D7180}"/>
            </a:ext>
          </a:extLst>
        </xdr:cNvPr>
        <xdr:cNvSpPr/>
      </xdr:nvSpPr>
      <xdr:spPr>
        <a:xfrm>
          <a:off x="53287" y="17826567"/>
          <a:ext cx="8892753" cy="639234"/>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Equipment Power Information</a:t>
          </a:r>
        </a:p>
      </xdr:txBody>
    </xdr:sp>
    <xdr:clientData/>
  </xdr:twoCellAnchor>
  <xdr:twoCellAnchor>
    <xdr:from>
      <xdr:col>2</xdr:col>
      <xdr:colOff>833868</xdr:colOff>
      <xdr:row>61</xdr:row>
      <xdr:rowOff>220998</xdr:rowOff>
    </xdr:from>
    <xdr:to>
      <xdr:col>3</xdr:col>
      <xdr:colOff>1684866</xdr:colOff>
      <xdr:row>64</xdr:row>
      <xdr:rowOff>34731</xdr:rowOff>
    </xdr:to>
    <xdr:sp macro="" textlink="">
      <xdr:nvSpPr>
        <xdr:cNvPr id="36" name="Rounded Rectangle 35">
          <a:extLst>
            <a:ext uri="{FF2B5EF4-FFF2-40B4-BE49-F238E27FC236}">
              <a16:creationId xmlns:a16="http://schemas.microsoft.com/office/drawing/2014/main" id="{C398891C-890B-D74B-A4FF-26C90192BDCD}"/>
            </a:ext>
          </a:extLst>
        </xdr:cNvPr>
        <xdr:cNvSpPr/>
      </xdr:nvSpPr>
      <xdr:spPr>
        <a:xfrm>
          <a:off x="6599668" y="16756398"/>
          <a:ext cx="2921098" cy="715433"/>
        </a:xfrm>
        <a:prstGeom prst="roundRect">
          <a:avLst>
            <a:gd name="adj" fmla="val 46754"/>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Enter additional time information</a:t>
          </a:r>
        </a:p>
      </xdr:txBody>
    </xdr:sp>
    <xdr:clientData/>
  </xdr:twoCellAnchor>
  <xdr:twoCellAnchor>
    <xdr:from>
      <xdr:col>2</xdr:col>
      <xdr:colOff>368300</xdr:colOff>
      <xdr:row>61</xdr:row>
      <xdr:rowOff>244196</xdr:rowOff>
    </xdr:from>
    <xdr:to>
      <xdr:col>2</xdr:col>
      <xdr:colOff>998744</xdr:colOff>
      <xdr:row>63</xdr:row>
      <xdr:rowOff>214733</xdr:rowOff>
    </xdr:to>
    <xdr:sp macro="" textlink="">
      <xdr:nvSpPr>
        <xdr:cNvPr id="37" name="Text Placeholder 1248">
          <a:extLst>
            <a:ext uri="{FF2B5EF4-FFF2-40B4-BE49-F238E27FC236}">
              <a16:creationId xmlns:a16="http://schemas.microsoft.com/office/drawing/2014/main" id="{38CEE326-5079-C240-A149-FC695C67549C}"/>
            </a:ext>
          </a:extLst>
        </xdr:cNvPr>
        <xdr:cNvSpPr>
          <a:spLocks noGrp="1"/>
        </xdr:cNvSpPr>
      </xdr:nvSpPr>
      <xdr:spPr>
        <a:xfrm>
          <a:off x="6134100" y="16779596"/>
          <a:ext cx="630444" cy="618237"/>
        </a:xfrm>
        <a:prstGeom prst="ellipse">
          <a:avLst/>
        </a:prstGeom>
        <a:solidFill>
          <a:srgbClr val="60CCF3"/>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r>
            <a:rPr lang="en-US">
              <a:latin typeface="Arial" panose="020B0604020202020204" pitchFamily="34" charset="0"/>
              <a:cs typeface="Arial" panose="020B0604020202020204" pitchFamily="34" charset="0"/>
            </a:rPr>
            <a:t>9</a:t>
          </a:r>
        </a:p>
      </xdr:txBody>
    </xdr:sp>
    <xdr:clientData/>
  </xdr:twoCellAnchor>
  <xdr:twoCellAnchor>
    <xdr:from>
      <xdr:col>3</xdr:col>
      <xdr:colOff>1698428</xdr:colOff>
      <xdr:row>66</xdr:row>
      <xdr:rowOff>89252</xdr:rowOff>
    </xdr:from>
    <xdr:to>
      <xdr:col>4</xdr:col>
      <xdr:colOff>1845056</xdr:colOff>
      <xdr:row>69</xdr:row>
      <xdr:rowOff>39590</xdr:rowOff>
    </xdr:to>
    <xdr:sp macro="" textlink="">
      <xdr:nvSpPr>
        <xdr:cNvPr id="38" name="Rounded Rectangle 37">
          <a:extLst>
            <a:ext uri="{FF2B5EF4-FFF2-40B4-BE49-F238E27FC236}">
              <a16:creationId xmlns:a16="http://schemas.microsoft.com/office/drawing/2014/main" id="{32993A36-7DBF-934A-A9E7-1C7D57C3FF2D}"/>
            </a:ext>
          </a:extLst>
        </xdr:cNvPr>
        <xdr:cNvSpPr/>
      </xdr:nvSpPr>
      <xdr:spPr>
        <a:xfrm>
          <a:off x="9534328" y="18034352"/>
          <a:ext cx="2458028" cy="712338"/>
        </a:xfrm>
        <a:prstGeom prst="roundRect">
          <a:avLst>
            <a:gd name="adj" fmla="val 46754"/>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Replace with your Power Rating information</a:t>
          </a:r>
        </a:p>
      </xdr:txBody>
    </xdr:sp>
    <xdr:clientData/>
  </xdr:twoCellAnchor>
  <xdr:twoCellAnchor>
    <xdr:from>
      <xdr:col>3</xdr:col>
      <xdr:colOff>1232860</xdr:colOff>
      <xdr:row>66</xdr:row>
      <xdr:rowOff>137850</xdr:rowOff>
    </xdr:from>
    <xdr:to>
      <xdr:col>3</xdr:col>
      <xdr:colOff>1863304</xdr:colOff>
      <xdr:row>68</xdr:row>
      <xdr:rowOff>244992</xdr:rowOff>
    </xdr:to>
    <xdr:sp macro="" textlink="">
      <xdr:nvSpPr>
        <xdr:cNvPr id="39" name="Text Placeholder 1248">
          <a:extLst>
            <a:ext uri="{FF2B5EF4-FFF2-40B4-BE49-F238E27FC236}">
              <a16:creationId xmlns:a16="http://schemas.microsoft.com/office/drawing/2014/main" id="{B692B84C-0167-D543-B7EA-D3CC78409841}"/>
            </a:ext>
          </a:extLst>
        </xdr:cNvPr>
        <xdr:cNvSpPr>
          <a:spLocks noGrp="1"/>
        </xdr:cNvSpPr>
      </xdr:nvSpPr>
      <xdr:spPr>
        <a:xfrm>
          <a:off x="9068760" y="18082950"/>
          <a:ext cx="630444" cy="615142"/>
        </a:xfrm>
        <a:prstGeom prst="ellipse">
          <a:avLst/>
        </a:prstGeom>
        <a:solidFill>
          <a:srgbClr val="FFC000">
            <a:lumMod val="60000"/>
            <a:lumOff val="40000"/>
          </a:srgbClr>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pPr marL="0" indent="0" algn="ctr" defTabSz="914400" rtl="0" eaLnBrk="1" latinLnBrk="0" hangingPunct="1">
            <a:lnSpc>
              <a:spcPct val="100000"/>
            </a:lnSpc>
            <a:spcBef>
              <a:spcPts val="0"/>
            </a:spcBef>
            <a:buFont typeface="Arial" panose="020B0604020202020204" pitchFamily="34" charset="0"/>
            <a:buNone/>
          </a:pPr>
          <a:r>
            <a:rPr lang="en-US" sz="2800" b="1" kern="1200">
              <a:ln w="0">
                <a:noFill/>
              </a:ln>
              <a:solidFill>
                <a:sysClr val="windowText" lastClr="000000"/>
              </a:solidFill>
              <a:latin typeface="Arial" panose="020B0604020202020204" pitchFamily="34" charset="0"/>
              <a:ea typeface="+mn-ea"/>
              <a:cs typeface="Arial" panose="020B0604020202020204" pitchFamily="34" charset="0"/>
            </a:rPr>
            <a:t>10</a:t>
          </a:r>
        </a:p>
      </xdr:txBody>
    </xdr:sp>
    <xdr:clientData/>
  </xdr:twoCellAnchor>
  <xdr:twoCellAnchor>
    <xdr:from>
      <xdr:col>0</xdr:col>
      <xdr:colOff>53287</xdr:colOff>
      <xdr:row>76</xdr:row>
      <xdr:rowOff>220845</xdr:rowOff>
    </xdr:from>
    <xdr:to>
      <xdr:col>3</xdr:col>
      <xdr:colOff>1110140</xdr:colOff>
      <xdr:row>79</xdr:row>
      <xdr:rowOff>98079</xdr:rowOff>
    </xdr:to>
    <xdr:sp macro="" textlink="">
      <xdr:nvSpPr>
        <xdr:cNvPr id="40" name="Rounded Rectangle 39">
          <a:extLst>
            <a:ext uri="{FF2B5EF4-FFF2-40B4-BE49-F238E27FC236}">
              <a16:creationId xmlns:a16="http://schemas.microsoft.com/office/drawing/2014/main" id="{D5BBF5E3-23AC-3C4C-9243-FCFFC9DDB74C}"/>
            </a:ext>
          </a:extLst>
        </xdr:cNvPr>
        <xdr:cNvSpPr/>
      </xdr:nvSpPr>
      <xdr:spPr>
        <a:xfrm>
          <a:off x="53287" y="20705945"/>
          <a:ext cx="8892753" cy="639234"/>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Process Conditions</a:t>
          </a:r>
        </a:p>
      </xdr:txBody>
    </xdr:sp>
    <xdr:clientData/>
  </xdr:twoCellAnchor>
  <xdr:twoCellAnchor>
    <xdr:from>
      <xdr:col>0</xdr:col>
      <xdr:colOff>53287</xdr:colOff>
      <xdr:row>85</xdr:row>
      <xdr:rowOff>93845</xdr:rowOff>
    </xdr:from>
    <xdr:to>
      <xdr:col>3</xdr:col>
      <xdr:colOff>1110140</xdr:colOff>
      <xdr:row>88</xdr:row>
      <xdr:rowOff>9179</xdr:rowOff>
    </xdr:to>
    <xdr:sp macro="" textlink="">
      <xdr:nvSpPr>
        <xdr:cNvPr id="41" name="Rounded Rectangle 40">
          <a:extLst>
            <a:ext uri="{FF2B5EF4-FFF2-40B4-BE49-F238E27FC236}">
              <a16:creationId xmlns:a16="http://schemas.microsoft.com/office/drawing/2014/main" id="{17EA583D-5CC5-7945-82C4-18FD000AEA9F}"/>
            </a:ext>
          </a:extLst>
        </xdr:cNvPr>
        <xdr:cNvSpPr/>
      </xdr:nvSpPr>
      <xdr:spPr>
        <a:xfrm>
          <a:off x="53287" y="22864945"/>
          <a:ext cx="8892753" cy="639234"/>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Equipment Volume Utilization Calculation</a:t>
          </a:r>
        </a:p>
      </xdr:txBody>
    </xdr:sp>
    <xdr:clientData/>
  </xdr:twoCellAnchor>
  <xdr:twoCellAnchor>
    <xdr:from>
      <xdr:col>2</xdr:col>
      <xdr:colOff>115931</xdr:colOff>
      <xdr:row>88</xdr:row>
      <xdr:rowOff>63617</xdr:rowOff>
    </xdr:from>
    <xdr:to>
      <xdr:col>3</xdr:col>
      <xdr:colOff>1440927</xdr:colOff>
      <xdr:row>93</xdr:row>
      <xdr:rowOff>76200</xdr:rowOff>
    </xdr:to>
    <xdr:sp macro="" textlink="">
      <xdr:nvSpPr>
        <xdr:cNvPr id="42" name="Rounded Rectangle 41">
          <a:hlinkClick xmlns:r="http://schemas.openxmlformats.org/officeDocument/2006/relationships" r:id="rId5"/>
          <a:extLst>
            <a:ext uri="{FF2B5EF4-FFF2-40B4-BE49-F238E27FC236}">
              <a16:creationId xmlns:a16="http://schemas.microsoft.com/office/drawing/2014/main" id="{F9EE7C9C-547A-3E47-BB10-093A949BB9F4}"/>
            </a:ext>
          </a:extLst>
        </xdr:cNvPr>
        <xdr:cNvSpPr/>
      </xdr:nvSpPr>
      <xdr:spPr>
        <a:xfrm>
          <a:off x="5881731" y="23558617"/>
          <a:ext cx="3395096" cy="1168283"/>
        </a:xfrm>
        <a:prstGeom prst="roundRect">
          <a:avLst>
            <a:gd name="adj" fmla="val 24141"/>
          </a:avLst>
        </a:prstGeom>
        <a:solidFill>
          <a:schemeClr val="accent5">
            <a:lumMod val="40000"/>
            <a:lumOff val="60000"/>
          </a:scheme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Production volume is calculated based on all the </a:t>
          </a:r>
          <a:r>
            <a:rPr kumimoji="0" lang="en-US" sz="14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Input materials </a:t>
          </a: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entered above</a:t>
          </a:r>
          <a:b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b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(1L =~ 1Kg)</a:t>
          </a:r>
        </a:p>
      </xdr:txBody>
    </xdr:sp>
    <xdr:clientData/>
  </xdr:twoCellAnchor>
  <xdr:twoCellAnchor>
    <xdr:from>
      <xdr:col>4</xdr:col>
      <xdr:colOff>669728</xdr:colOff>
      <xdr:row>80</xdr:row>
      <xdr:rowOff>140052</xdr:rowOff>
    </xdr:from>
    <xdr:to>
      <xdr:col>5</xdr:col>
      <xdr:colOff>816356</xdr:colOff>
      <xdr:row>83</xdr:row>
      <xdr:rowOff>90390</xdr:rowOff>
    </xdr:to>
    <xdr:sp macro="" textlink="">
      <xdr:nvSpPr>
        <xdr:cNvPr id="43" name="Rounded Rectangle 42">
          <a:extLst>
            <a:ext uri="{FF2B5EF4-FFF2-40B4-BE49-F238E27FC236}">
              <a16:creationId xmlns:a16="http://schemas.microsoft.com/office/drawing/2014/main" id="{C3BFD795-329B-2A4E-ABEA-D6AC686ECF72}"/>
            </a:ext>
          </a:extLst>
        </xdr:cNvPr>
        <xdr:cNvSpPr/>
      </xdr:nvSpPr>
      <xdr:spPr>
        <a:xfrm>
          <a:off x="10817028" y="21641152"/>
          <a:ext cx="2458028" cy="712338"/>
        </a:xfrm>
        <a:prstGeom prst="roundRect">
          <a:avLst>
            <a:gd name="adj" fmla="val 46754"/>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Enter additional information</a:t>
          </a:r>
        </a:p>
      </xdr:txBody>
    </xdr:sp>
    <xdr:clientData/>
  </xdr:twoCellAnchor>
  <xdr:twoCellAnchor>
    <xdr:from>
      <xdr:col>4</xdr:col>
      <xdr:colOff>140660</xdr:colOff>
      <xdr:row>80</xdr:row>
      <xdr:rowOff>188650</xdr:rowOff>
    </xdr:from>
    <xdr:to>
      <xdr:col>4</xdr:col>
      <xdr:colOff>771104</xdr:colOff>
      <xdr:row>83</xdr:row>
      <xdr:rowOff>41792</xdr:rowOff>
    </xdr:to>
    <xdr:sp macro="" textlink="">
      <xdr:nvSpPr>
        <xdr:cNvPr id="44" name="Text Placeholder 1248">
          <a:extLst>
            <a:ext uri="{FF2B5EF4-FFF2-40B4-BE49-F238E27FC236}">
              <a16:creationId xmlns:a16="http://schemas.microsoft.com/office/drawing/2014/main" id="{9F2ABEFC-B973-8041-B43F-C6DBCAC29641}"/>
            </a:ext>
          </a:extLst>
        </xdr:cNvPr>
        <xdr:cNvSpPr>
          <a:spLocks noGrp="1"/>
        </xdr:cNvSpPr>
      </xdr:nvSpPr>
      <xdr:spPr>
        <a:xfrm>
          <a:off x="10287960" y="21689750"/>
          <a:ext cx="630444" cy="615142"/>
        </a:xfrm>
        <a:prstGeom prst="ellipse">
          <a:avLst/>
        </a:prstGeom>
        <a:solidFill>
          <a:srgbClr val="60CCF3"/>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pPr marL="0" indent="0" algn="ctr" defTabSz="914400" rtl="0" eaLnBrk="1" latinLnBrk="0" hangingPunct="1">
            <a:lnSpc>
              <a:spcPct val="100000"/>
            </a:lnSpc>
            <a:spcBef>
              <a:spcPts val="0"/>
            </a:spcBef>
            <a:buFont typeface="Arial" panose="020B0604020202020204" pitchFamily="34" charset="0"/>
            <a:buNone/>
          </a:pPr>
          <a:r>
            <a:rPr lang="en-US" sz="2800" b="1" kern="1200">
              <a:ln w="0">
                <a:noFill/>
              </a:ln>
              <a:solidFill>
                <a:sysClr val="windowText" lastClr="000000"/>
              </a:solidFill>
              <a:latin typeface="Arial" panose="020B0604020202020204" pitchFamily="34" charset="0"/>
              <a:ea typeface="+mn-ea"/>
              <a:cs typeface="Arial" panose="020B0604020202020204" pitchFamily="34" charset="0"/>
            </a:rPr>
            <a:t>11</a:t>
          </a:r>
        </a:p>
      </xdr:txBody>
    </xdr:sp>
    <xdr:clientData/>
  </xdr:twoCellAnchor>
  <xdr:twoCellAnchor>
    <xdr:from>
      <xdr:col>2</xdr:col>
      <xdr:colOff>659568</xdr:colOff>
      <xdr:row>93</xdr:row>
      <xdr:rowOff>236572</xdr:rowOff>
    </xdr:from>
    <xdr:to>
      <xdr:col>3</xdr:col>
      <xdr:colOff>1504696</xdr:colOff>
      <xdr:row>96</xdr:row>
      <xdr:rowOff>174210</xdr:rowOff>
    </xdr:to>
    <xdr:sp macro="" textlink="">
      <xdr:nvSpPr>
        <xdr:cNvPr id="45" name="Rounded Rectangle 44">
          <a:extLst>
            <a:ext uri="{FF2B5EF4-FFF2-40B4-BE49-F238E27FC236}">
              <a16:creationId xmlns:a16="http://schemas.microsoft.com/office/drawing/2014/main" id="{8B6B61AF-89E2-5D48-8FC2-CF0A35A8A67E}"/>
            </a:ext>
          </a:extLst>
        </xdr:cNvPr>
        <xdr:cNvSpPr/>
      </xdr:nvSpPr>
      <xdr:spPr>
        <a:xfrm>
          <a:off x="6425368" y="24887272"/>
          <a:ext cx="2915228" cy="712338"/>
        </a:xfrm>
        <a:prstGeom prst="roundRect">
          <a:avLst>
            <a:gd name="adj" fmla="val 46754"/>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Replace with your volume</a:t>
          </a:r>
        </a:p>
      </xdr:txBody>
    </xdr:sp>
    <xdr:clientData/>
  </xdr:twoCellAnchor>
  <xdr:twoCellAnchor>
    <xdr:from>
      <xdr:col>2</xdr:col>
      <xdr:colOff>130500</xdr:colOff>
      <xdr:row>94</xdr:row>
      <xdr:rowOff>71810</xdr:rowOff>
    </xdr:from>
    <xdr:to>
      <xdr:col>2</xdr:col>
      <xdr:colOff>760944</xdr:colOff>
      <xdr:row>96</xdr:row>
      <xdr:rowOff>166252</xdr:rowOff>
    </xdr:to>
    <xdr:sp macro="" textlink="">
      <xdr:nvSpPr>
        <xdr:cNvPr id="46" name="Text Placeholder 1248">
          <a:extLst>
            <a:ext uri="{FF2B5EF4-FFF2-40B4-BE49-F238E27FC236}">
              <a16:creationId xmlns:a16="http://schemas.microsoft.com/office/drawing/2014/main" id="{BB7C6FA7-6AF7-FD40-A264-08C93FF7B84D}"/>
            </a:ext>
          </a:extLst>
        </xdr:cNvPr>
        <xdr:cNvSpPr>
          <a:spLocks noGrp="1"/>
        </xdr:cNvSpPr>
      </xdr:nvSpPr>
      <xdr:spPr>
        <a:xfrm>
          <a:off x="5896300" y="24976510"/>
          <a:ext cx="630444" cy="615142"/>
        </a:xfrm>
        <a:prstGeom prst="ellipse">
          <a:avLst/>
        </a:prstGeom>
        <a:solidFill>
          <a:srgbClr val="60CCF3"/>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pPr marL="0" indent="0" algn="ctr" defTabSz="914400" rtl="0" eaLnBrk="1" latinLnBrk="0" hangingPunct="1">
            <a:lnSpc>
              <a:spcPct val="100000"/>
            </a:lnSpc>
            <a:spcBef>
              <a:spcPts val="0"/>
            </a:spcBef>
            <a:buFont typeface="Arial" panose="020B0604020202020204" pitchFamily="34" charset="0"/>
            <a:buNone/>
          </a:pPr>
          <a:r>
            <a:rPr lang="en-US" sz="2800" b="1" kern="1200">
              <a:ln w="0">
                <a:noFill/>
              </a:ln>
              <a:solidFill>
                <a:sysClr val="windowText" lastClr="000000"/>
              </a:solidFill>
              <a:latin typeface="Arial" panose="020B0604020202020204" pitchFamily="34" charset="0"/>
              <a:ea typeface="+mn-ea"/>
              <a:cs typeface="Arial" panose="020B0604020202020204" pitchFamily="34" charset="0"/>
            </a:rPr>
            <a:t>12</a:t>
          </a:r>
        </a:p>
      </xdr:txBody>
    </xdr:sp>
    <xdr:clientData/>
  </xdr:twoCellAnchor>
  <xdr:twoCellAnchor>
    <xdr:from>
      <xdr:col>2</xdr:col>
      <xdr:colOff>523137</xdr:colOff>
      <xdr:row>98</xdr:row>
      <xdr:rowOff>1612</xdr:rowOff>
    </xdr:from>
    <xdr:to>
      <xdr:col>4</xdr:col>
      <xdr:colOff>38906</xdr:colOff>
      <xdr:row>99</xdr:row>
      <xdr:rowOff>174776</xdr:rowOff>
    </xdr:to>
    <xdr:sp macro="" textlink="">
      <xdr:nvSpPr>
        <xdr:cNvPr id="47" name="Rounded Rectangle 46">
          <a:extLst>
            <a:ext uri="{FF2B5EF4-FFF2-40B4-BE49-F238E27FC236}">
              <a16:creationId xmlns:a16="http://schemas.microsoft.com/office/drawing/2014/main" id="{3DFB6CE2-F8C4-5544-8A99-9E074F0DA7D2}"/>
            </a:ext>
          </a:extLst>
        </xdr:cNvPr>
        <xdr:cNvSpPr/>
      </xdr:nvSpPr>
      <xdr:spPr>
        <a:xfrm>
          <a:off x="6288937" y="25935012"/>
          <a:ext cx="3897269" cy="706564"/>
        </a:xfrm>
        <a:prstGeom prst="roundRect">
          <a:avLst>
            <a:gd name="adj" fmla="val 24141"/>
          </a:avLst>
        </a:prstGeom>
        <a:solidFill>
          <a:schemeClr val="accent5">
            <a:lumMod val="40000"/>
            <a:lumOff val="60000"/>
          </a:scheme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Volume Utilized fraction is ratio of </a:t>
          </a:r>
          <a:r>
            <a:rPr kumimoji="0" lang="en-US" sz="14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Production</a:t>
          </a: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 to </a:t>
          </a:r>
          <a:r>
            <a:rPr kumimoji="0" lang="en-US" sz="14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Equipment</a:t>
          </a: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 Volume</a:t>
          </a:r>
        </a:p>
      </xdr:txBody>
    </xdr:sp>
    <xdr:clientData/>
  </xdr:twoCellAnchor>
  <xdr:twoCellAnchor>
    <xdr:from>
      <xdr:col>2</xdr:col>
      <xdr:colOff>68756</xdr:colOff>
      <xdr:row>139</xdr:row>
      <xdr:rowOff>116377</xdr:rowOff>
    </xdr:from>
    <xdr:to>
      <xdr:col>3</xdr:col>
      <xdr:colOff>2235108</xdr:colOff>
      <xdr:row>141</xdr:row>
      <xdr:rowOff>247180</xdr:rowOff>
    </xdr:to>
    <xdr:sp macro="" textlink="">
      <xdr:nvSpPr>
        <xdr:cNvPr id="48" name="Rounded Rectangle 47">
          <a:extLst>
            <a:ext uri="{FF2B5EF4-FFF2-40B4-BE49-F238E27FC236}">
              <a16:creationId xmlns:a16="http://schemas.microsoft.com/office/drawing/2014/main" id="{37391B36-BCA4-CA47-BD4C-7CFCBF815A1C}"/>
            </a:ext>
          </a:extLst>
        </xdr:cNvPr>
        <xdr:cNvSpPr/>
      </xdr:nvSpPr>
      <xdr:spPr>
        <a:xfrm>
          <a:off x="5834556" y="37022577"/>
          <a:ext cx="4236452" cy="638803"/>
        </a:xfrm>
        <a:prstGeom prst="roundRect">
          <a:avLst>
            <a:gd name="adj" fmla="val 24141"/>
          </a:avLst>
        </a:prstGeom>
        <a:solidFill>
          <a:schemeClr val="accent5">
            <a:lumMod val="40000"/>
            <a:lumOff val="60000"/>
          </a:scheme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Calculated as the sum of Theoritical Yield from the 1.1 Precursor Materials Table</a:t>
          </a:r>
        </a:p>
      </xdr:txBody>
    </xdr:sp>
    <xdr:clientData/>
  </xdr:twoCellAnchor>
  <xdr:twoCellAnchor>
    <xdr:from>
      <xdr:col>0</xdr:col>
      <xdr:colOff>53287</xdr:colOff>
      <xdr:row>137</xdr:row>
      <xdr:rowOff>25399</xdr:rowOff>
    </xdr:from>
    <xdr:to>
      <xdr:col>3</xdr:col>
      <xdr:colOff>1110140</xdr:colOff>
      <xdr:row>139</xdr:row>
      <xdr:rowOff>85378</xdr:rowOff>
    </xdr:to>
    <xdr:sp macro="" textlink="">
      <xdr:nvSpPr>
        <xdr:cNvPr id="49" name="Rounded Rectangle 48">
          <a:extLst>
            <a:ext uri="{FF2B5EF4-FFF2-40B4-BE49-F238E27FC236}">
              <a16:creationId xmlns:a16="http://schemas.microsoft.com/office/drawing/2014/main" id="{5ECFC5DB-61BF-F247-BF1B-DBDA3887B26A}"/>
            </a:ext>
          </a:extLst>
        </xdr:cNvPr>
        <xdr:cNvSpPr/>
      </xdr:nvSpPr>
      <xdr:spPr>
        <a:xfrm>
          <a:off x="53287" y="36423599"/>
          <a:ext cx="8892753" cy="567979"/>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Yield Calculation for this process</a:t>
          </a:r>
        </a:p>
      </xdr:txBody>
    </xdr:sp>
    <xdr:clientData/>
  </xdr:twoCellAnchor>
  <xdr:twoCellAnchor>
    <xdr:from>
      <xdr:col>0</xdr:col>
      <xdr:colOff>53287</xdr:colOff>
      <xdr:row>100</xdr:row>
      <xdr:rowOff>253865</xdr:rowOff>
    </xdr:from>
    <xdr:to>
      <xdr:col>3</xdr:col>
      <xdr:colOff>1110140</xdr:colOff>
      <xdr:row>103</xdr:row>
      <xdr:rowOff>131099</xdr:rowOff>
    </xdr:to>
    <xdr:sp macro="" textlink="">
      <xdr:nvSpPr>
        <xdr:cNvPr id="50" name="Rounded Rectangle 49">
          <a:extLst>
            <a:ext uri="{FF2B5EF4-FFF2-40B4-BE49-F238E27FC236}">
              <a16:creationId xmlns:a16="http://schemas.microsoft.com/office/drawing/2014/main" id="{20930FC2-BB28-3840-8EFC-07FD70F56950}"/>
            </a:ext>
          </a:extLst>
        </xdr:cNvPr>
        <xdr:cNvSpPr/>
      </xdr:nvSpPr>
      <xdr:spPr>
        <a:xfrm>
          <a:off x="53287" y="26974665"/>
          <a:ext cx="8892753" cy="639234"/>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1.3 Energy Consumption Estimation</a:t>
          </a:r>
        </a:p>
      </xdr:txBody>
    </xdr:sp>
    <xdr:clientData/>
  </xdr:twoCellAnchor>
  <xdr:twoCellAnchor>
    <xdr:from>
      <xdr:col>4</xdr:col>
      <xdr:colOff>1995714</xdr:colOff>
      <xdr:row>13</xdr:row>
      <xdr:rowOff>63500</xdr:rowOff>
    </xdr:from>
    <xdr:to>
      <xdr:col>5</xdr:col>
      <xdr:colOff>262636</xdr:colOff>
      <xdr:row>14</xdr:row>
      <xdr:rowOff>241300</xdr:rowOff>
    </xdr:to>
    <xdr:sp macro="" textlink="">
      <xdr:nvSpPr>
        <xdr:cNvPr id="51" name="Text Placeholder 1248">
          <a:extLst>
            <a:ext uri="{FF2B5EF4-FFF2-40B4-BE49-F238E27FC236}">
              <a16:creationId xmlns:a16="http://schemas.microsoft.com/office/drawing/2014/main" id="{4813F3C8-9340-B645-8BE1-A6DE38374FB5}"/>
            </a:ext>
          </a:extLst>
        </xdr:cNvPr>
        <xdr:cNvSpPr>
          <a:spLocks noGrp="1"/>
        </xdr:cNvSpPr>
      </xdr:nvSpPr>
      <xdr:spPr>
        <a:xfrm>
          <a:off x="12143014" y="3441700"/>
          <a:ext cx="578322" cy="558800"/>
        </a:xfrm>
        <a:prstGeom prst="ellipse">
          <a:avLst/>
        </a:prstGeom>
        <a:solidFill>
          <a:schemeClr val="accent5">
            <a:lumMod val="40000"/>
            <a:lumOff val="60000"/>
          </a:schemeClr>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r>
            <a:rPr lang="en-US"/>
            <a:t>#</a:t>
          </a:r>
        </a:p>
      </xdr:txBody>
    </xdr:sp>
    <xdr:clientData/>
  </xdr:twoCellAnchor>
  <xdr:twoCellAnchor>
    <xdr:from>
      <xdr:col>5</xdr:col>
      <xdr:colOff>408887</xdr:colOff>
      <xdr:row>13</xdr:row>
      <xdr:rowOff>101600</xdr:rowOff>
    </xdr:from>
    <xdr:to>
      <xdr:col>6</xdr:col>
      <xdr:colOff>914400</xdr:colOff>
      <xdr:row>14</xdr:row>
      <xdr:rowOff>215900</xdr:rowOff>
    </xdr:to>
    <xdr:sp macro="" textlink="">
      <xdr:nvSpPr>
        <xdr:cNvPr id="52" name="Rounded Rectangle 51">
          <a:extLst>
            <a:ext uri="{FF2B5EF4-FFF2-40B4-BE49-F238E27FC236}">
              <a16:creationId xmlns:a16="http://schemas.microsoft.com/office/drawing/2014/main" id="{021839CE-9F5A-D74A-A88D-C83C8CA04B3B}"/>
            </a:ext>
          </a:extLst>
        </xdr:cNvPr>
        <xdr:cNvSpPr/>
      </xdr:nvSpPr>
      <xdr:spPr>
        <a:xfrm>
          <a:off x="12867587" y="3479800"/>
          <a:ext cx="2816913" cy="495300"/>
        </a:xfrm>
        <a:prstGeom prst="roundRect">
          <a:avLst>
            <a:gd name="adj" fmla="val 43110"/>
          </a:avLst>
        </a:prstGeom>
        <a:solidFill>
          <a:schemeClr val="accent5">
            <a:lumMod val="40000"/>
            <a:lumOff val="60000"/>
          </a:schemeClr>
        </a:solidFill>
        <a:ln w="44450">
          <a:solidFill>
            <a:sysClr val="windowText" lastClr="000000"/>
          </a:solidFill>
        </a:ln>
      </xdr:spPr>
      <xdr:txBody>
        <a:bodyPr vert="horz" wrap="square" lIns="0" tIns="0" rIns="0" bIns="0" rtlCol="0" anchor="ctr">
          <a:noAutofit/>
        </a:bodyPr>
        <a:lstStyle/>
        <a:p>
          <a:pPr marL="0" marR="0" lvl="0" indent="0" algn="ctr" defTabSz="914400" rtl="0" eaLnBrk="1" fontAlgn="auto" latinLnBrk="0" hangingPunct="1">
            <a:lnSpc>
              <a:spcPct val="100000"/>
            </a:lnSpc>
            <a:spcBef>
              <a:spcPts val="0"/>
            </a:spcBef>
            <a:spcAft>
              <a:spcPts val="0"/>
            </a:spcAft>
            <a:buClrTx/>
            <a:buSzTx/>
            <a:buFont typeface="Arial" panose="020B0604020202020204" pitchFamily="34" charset="0"/>
            <a:buNone/>
            <a:tabLst/>
            <a:defRPr/>
          </a:pPr>
          <a:r>
            <a:rPr lang="en-US" sz="2800" b="1" kern="1200">
              <a:ln w="0">
                <a:noFill/>
              </a:ln>
              <a:solidFill>
                <a:sysClr val="windowText" lastClr="000000"/>
              </a:solidFill>
              <a:latin typeface="Tw Cen MT"/>
              <a:ea typeface="+mn-ea"/>
              <a:cs typeface="+mn-cs"/>
            </a:rPr>
            <a:t>Estimated</a:t>
          </a:r>
        </a:p>
      </xdr:txBody>
    </xdr:sp>
    <xdr:clientData/>
  </xdr:twoCellAnchor>
  <xdr:twoCellAnchor>
    <xdr:from>
      <xdr:col>2</xdr:col>
      <xdr:colOff>417867</xdr:colOff>
      <xdr:row>104</xdr:row>
      <xdr:rowOff>241592</xdr:rowOff>
    </xdr:from>
    <xdr:to>
      <xdr:col>5</xdr:col>
      <xdr:colOff>329259</xdr:colOff>
      <xdr:row>107</xdr:row>
      <xdr:rowOff>179429</xdr:rowOff>
    </xdr:to>
    <xdr:sp macro="" textlink="">
      <xdr:nvSpPr>
        <xdr:cNvPr id="53" name="Rounded Rectangle 52">
          <a:extLst>
            <a:ext uri="{FF2B5EF4-FFF2-40B4-BE49-F238E27FC236}">
              <a16:creationId xmlns:a16="http://schemas.microsoft.com/office/drawing/2014/main" id="{264E3CCF-EF24-B842-BD09-EF8969426BEB}"/>
            </a:ext>
          </a:extLst>
        </xdr:cNvPr>
        <xdr:cNvSpPr/>
      </xdr:nvSpPr>
      <xdr:spPr>
        <a:xfrm>
          <a:off x="6183667" y="27978392"/>
          <a:ext cx="6604292" cy="699837"/>
        </a:xfrm>
        <a:prstGeom prst="roundRect">
          <a:avLst>
            <a:gd name="adj" fmla="val 24141"/>
          </a:avLst>
        </a:prstGeom>
        <a:solidFill>
          <a:schemeClr val="accent5">
            <a:lumMod val="40000"/>
            <a:lumOff val="60000"/>
          </a:scheme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Estimated based on the </a:t>
          </a:r>
        </a:p>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 process time(h) * power rating consumption(kW)/L * Equipment Volume(L)</a:t>
          </a:r>
        </a:p>
      </xdr:txBody>
    </xdr:sp>
    <xdr:clientData/>
  </xdr:twoCellAnchor>
  <xdr:twoCellAnchor>
    <xdr:from>
      <xdr:col>2</xdr:col>
      <xdr:colOff>711948</xdr:colOff>
      <xdr:row>108</xdr:row>
      <xdr:rowOff>71120</xdr:rowOff>
    </xdr:from>
    <xdr:to>
      <xdr:col>3</xdr:col>
      <xdr:colOff>1557076</xdr:colOff>
      <xdr:row>111</xdr:row>
      <xdr:rowOff>10160</xdr:rowOff>
    </xdr:to>
    <xdr:sp macro="" textlink="">
      <xdr:nvSpPr>
        <xdr:cNvPr id="54" name="Rounded Rectangle 53">
          <a:extLst>
            <a:ext uri="{FF2B5EF4-FFF2-40B4-BE49-F238E27FC236}">
              <a16:creationId xmlns:a16="http://schemas.microsoft.com/office/drawing/2014/main" id="{D147993E-DFEC-6642-AB0F-94A059C3F3BF}"/>
            </a:ext>
          </a:extLst>
        </xdr:cNvPr>
        <xdr:cNvSpPr/>
      </xdr:nvSpPr>
      <xdr:spPr>
        <a:xfrm>
          <a:off x="6477748" y="28823920"/>
          <a:ext cx="2915228" cy="701040"/>
        </a:xfrm>
        <a:prstGeom prst="roundRect">
          <a:avLst>
            <a:gd name="adj" fmla="val 46754"/>
          </a:avLst>
        </a:prstGeom>
        <a:solidFill>
          <a:srgbClr val="B9D4B1"/>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Enter any auxilary energy usage</a:t>
          </a:r>
        </a:p>
      </xdr:txBody>
    </xdr:sp>
    <xdr:clientData/>
  </xdr:twoCellAnchor>
  <xdr:twoCellAnchor>
    <xdr:from>
      <xdr:col>2</xdr:col>
      <xdr:colOff>152400</xdr:colOff>
      <xdr:row>108</xdr:row>
      <xdr:rowOff>68918</xdr:rowOff>
    </xdr:from>
    <xdr:to>
      <xdr:col>2</xdr:col>
      <xdr:colOff>782844</xdr:colOff>
      <xdr:row>110</xdr:row>
      <xdr:rowOff>173520</xdr:rowOff>
    </xdr:to>
    <xdr:sp macro="" textlink="">
      <xdr:nvSpPr>
        <xdr:cNvPr id="55" name="Text Placeholder 1248">
          <a:extLst>
            <a:ext uri="{FF2B5EF4-FFF2-40B4-BE49-F238E27FC236}">
              <a16:creationId xmlns:a16="http://schemas.microsoft.com/office/drawing/2014/main" id="{1103F863-EF55-1140-9E11-286EBC042646}"/>
            </a:ext>
          </a:extLst>
        </xdr:cNvPr>
        <xdr:cNvSpPr>
          <a:spLocks noGrp="1"/>
        </xdr:cNvSpPr>
      </xdr:nvSpPr>
      <xdr:spPr>
        <a:xfrm>
          <a:off x="5918200" y="28821718"/>
          <a:ext cx="630444" cy="612602"/>
        </a:xfrm>
        <a:prstGeom prst="ellipse">
          <a:avLst/>
        </a:prstGeom>
        <a:solidFill>
          <a:srgbClr val="60CCF3"/>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pPr marL="0" indent="0" algn="ctr" defTabSz="914400" rtl="0" eaLnBrk="1" latinLnBrk="0" hangingPunct="1">
            <a:lnSpc>
              <a:spcPct val="100000"/>
            </a:lnSpc>
            <a:spcBef>
              <a:spcPts val="0"/>
            </a:spcBef>
            <a:buFont typeface="Arial" panose="020B0604020202020204" pitchFamily="34" charset="0"/>
            <a:buNone/>
          </a:pPr>
          <a:r>
            <a:rPr lang="en-US" sz="2800" b="1" kern="1200">
              <a:ln w="0">
                <a:noFill/>
              </a:ln>
              <a:solidFill>
                <a:sysClr val="windowText" lastClr="000000"/>
              </a:solidFill>
              <a:latin typeface="Arial" panose="020B0604020202020204" pitchFamily="34" charset="0"/>
              <a:ea typeface="+mn-ea"/>
              <a:cs typeface="Arial" panose="020B0604020202020204" pitchFamily="34" charset="0"/>
            </a:rPr>
            <a:t>13</a:t>
          </a:r>
        </a:p>
      </xdr:txBody>
    </xdr:sp>
    <xdr:clientData/>
  </xdr:twoCellAnchor>
  <xdr:twoCellAnchor>
    <xdr:from>
      <xdr:col>0</xdr:col>
      <xdr:colOff>0</xdr:colOff>
      <xdr:row>104</xdr:row>
      <xdr:rowOff>91440</xdr:rowOff>
    </xdr:from>
    <xdr:to>
      <xdr:col>1</xdr:col>
      <xdr:colOff>901700</xdr:colOff>
      <xdr:row>106</xdr:row>
      <xdr:rowOff>118020</xdr:rowOff>
    </xdr:to>
    <xdr:sp macro="" textlink="">
      <xdr:nvSpPr>
        <xdr:cNvPr id="56" name="Rounded Rectangle 55">
          <a:extLst>
            <a:ext uri="{FF2B5EF4-FFF2-40B4-BE49-F238E27FC236}">
              <a16:creationId xmlns:a16="http://schemas.microsoft.com/office/drawing/2014/main" id="{63D6BDA5-F4FC-F045-9436-5D0F2AAEFA64}"/>
            </a:ext>
          </a:extLst>
        </xdr:cNvPr>
        <xdr:cNvSpPr/>
      </xdr:nvSpPr>
      <xdr:spPr>
        <a:xfrm>
          <a:off x="0" y="27828240"/>
          <a:ext cx="4572000" cy="534580"/>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Best Estimate: With idle Electricity</a:t>
          </a:r>
        </a:p>
      </xdr:txBody>
    </xdr:sp>
    <xdr:clientData/>
  </xdr:twoCellAnchor>
  <xdr:twoCellAnchor>
    <xdr:from>
      <xdr:col>0</xdr:col>
      <xdr:colOff>53287</xdr:colOff>
      <xdr:row>117</xdr:row>
      <xdr:rowOff>74768</xdr:rowOff>
    </xdr:from>
    <xdr:to>
      <xdr:col>3</xdr:col>
      <xdr:colOff>1110140</xdr:colOff>
      <xdr:row>119</xdr:row>
      <xdr:rowOff>208704</xdr:rowOff>
    </xdr:to>
    <xdr:sp macro="" textlink="">
      <xdr:nvSpPr>
        <xdr:cNvPr id="57" name="Rounded Rectangle 56">
          <a:extLst>
            <a:ext uri="{FF2B5EF4-FFF2-40B4-BE49-F238E27FC236}">
              <a16:creationId xmlns:a16="http://schemas.microsoft.com/office/drawing/2014/main" id="{0CC65B20-1C02-1745-B097-8038629967F9}"/>
            </a:ext>
          </a:extLst>
        </xdr:cNvPr>
        <xdr:cNvSpPr/>
      </xdr:nvSpPr>
      <xdr:spPr>
        <a:xfrm>
          <a:off x="53287" y="31113568"/>
          <a:ext cx="8892753" cy="641936"/>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1.4 Carbon Dioxide Equivalent Estimate</a:t>
          </a:r>
        </a:p>
      </xdr:txBody>
    </xdr:sp>
    <xdr:clientData/>
  </xdr:twoCellAnchor>
  <xdr:twoCellAnchor>
    <xdr:from>
      <xdr:col>0</xdr:col>
      <xdr:colOff>0</xdr:colOff>
      <xdr:row>121</xdr:row>
      <xdr:rowOff>80491</xdr:rowOff>
    </xdr:from>
    <xdr:to>
      <xdr:col>0</xdr:col>
      <xdr:colOff>2816913</xdr:colOff>
      <xdr:row>123</xdr:row>
      <xdr:rowOff>107072</xdr:rowOff>
    </xdr:to>
    <xdr:sp macro="" textlink="">
      <xdr:nvSpPr>
        <xdr:cNvPr id="58" name="Rounded Rectangle 57">
          <a:extLst>
            <a:ext uri="{FF2B5EF4-FFF2-40B4-BE49-F238E27FC236}">
              <a16:creationId xmlns:a16="http://schemas.microsoft.com/office/drawing/2014/main" id="{3216B344-8179-AD48-A8E1-DFF818E78C78}"/>
            </a:ext>
          </a:extLst>
        </xdr:cNvPr>
        <xdr:cNvSpPr/>
      </xdr:nvSpPr>
      <xdr:spPr>
        <a:xfrm>
          <a:off x="0" y="32135291"/>
          <a:ext cx="2816913" cy="534581"/>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1.4.1 Good Estimate</a:t>
          </a:r>
        </a:p>
      </xdr:txBody>
    </xdr:sp>
    <xdr:clientData/>
  </xdr:twoCellAnchor>
  <xdr:twoCellAnchor>
    <xdr:from>
      <xdr:col>1</xdr:col>
      <xdr:colOff>411362</xdr:colOff>
      <xdr:row>120</xdr:row>
      <xdr:rowOff>101493</xdr:rowOff>
    </xdr:from>
    <xdr:to>
      <xdr:col>2</xdr:col>
      <xdr:colOff>770107</xdr:colOff>
      <xdr:row>123</xdr:row>
      <xdr:rowOff>40532</xdr:rowOff>
    </xdr:to>
    <xdr:sp macro="" textlink="">
      <xdr:nvSpPr>
        <xdr:cNvPr id="59" name="Rounded Rectangle 58">
          <a:extLst>
            <a:ext uri="{FF2B5EF4-FFF2-40B4-BE49-F238E27FC236}">
              <a16:creationId xmlns:a16="http://schemas.microsoft.com/office/drawing/2014/main" id="{C02B08E1-2F16-424B-8D89-58014019B869}"/>
            </a:ext>
          </a:extLst>
        </xdr:cNvPr>
        <xdr:cNvSpPr/>
      </xdr:nvSpPr>
      <xdr:spPr>
        <a:xfrm>
          <a:off x="4081662" y="31902293"/>
          <a:ext cx="2454245" cy="701039"/>
        </a:xfrm>
        <a:prstGeom prst="roundRect">
          <a:avLst>
            <a:gd name="adj" fmla="val 46754"/>
          </a:avLst>
        </a:prstGeom>
        <a:solidFill>
          <a:srgbClr val="B9D4B1"/>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Select location of power source</a:t>
          </a:r>
        </a:p>
      </xdr:txBody>
    </xdr:sp>
    <xdr:clientData/>
  </xdr:twoCellAnchor>
  <xdr:twoCellAnchor>
    <xdr:from>
      <xdr:col>0</xdr:col>
      <xdr:colOff>3526708</xdr:colOff>
      <xdr:row>120</xdr:row>
      <xdr:rowOff>99291</xdr:rowOff>
    </xdr:from>
    <xdr:to>
      <xdr:col>1</xdr:col>
      <xdr:colOff>482258</xdr:colOff>
      <xdr:row>122</xdr:row>
      <xdr:rowOff>203892</xdr:rowOff>
    </xdr:to>
    <xdr:sp macro="" textlink="">
      <xdr:nvSpPr>
        <xdr:cNvPr id="60" name="Text Placeholder 1248">
          <a:extLst>
            <a:ext uri="{FF2B5EF4-FFF2-40B4-BE49-F238E27FC236}">
              <a16:creationId xmlns:a16="http://schemas.microsoft.com/office/drawing/2014/main" id="{45FBF3CD-EF23-B840-BBE6-8DCFB82B0908}"/>
            </a:ext>
          </a:extLst>
        </xdr:cNvPr>
        <xdr:cNvSpPr>
          <a:spLocks noGrp="1"/>
        </xdr:cNvSpPr>
      </xdr:nvSpPr>
      <xdr:spPr>
        <a:xfrm>
          <a:off x="3526708" y="31900091"/>
          <a:ext cx="625850" cy="612601"/>
        </a:xfrm>
        <a:prstGeom prst="ellipse">
          <a:avLst/>
        </a:prstGeom>
        <a:solidFill>
          <a:srgbClr val="60CCF3"/>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pPr marL="0" indent="0" algn="ctr" defTabSz="914400" rtl="0" eaLnBrk="1" latinLnBrk="0" hangingPunct="1">
            <a:lnSpc>
              <a:spcPct val="100000"/>
            </a:lnSpc>
            <a:spcBef>
              <a:spcPts val="0"/>
            </a:spcBef>
            <a:buFont typeface="Arial" panose="020B0604020202020204" pitchFamily="34" charset="0"/>
            <a:buNone/>
          </a:pPr>
          <a:r>
            <a:rPr lang="en-US" sz="2800" b="1" kern="1200">
              <a:ln w="0">
                <a:noFill/>
              </a:ln>
              <a:solidFill>
                <a:sysClr val="windowText" lastClr="000000"/>
              </a:solidFill>
              <a:latin typeface="Arial" panose="020B0604020202020204" pitchFamily="34" charset="0"/>
              <a:ea typeface="+mn-ea"/>
              <a:cs typeface="Arial" panose="020B0604020202020204" pitchFamily="34" charset="0"/>
            </a:rPr>
            <a:t>14</a:t>
          </a:r>
        </a:p>
      </xdr:txBody>
    </xdr:sp>
    <xdr:clientData/>
  </xdr:twoCellAnchor>
  <xdr:twoCellAnchor>
    <xdr:from>
      <xdr:col>2</xdr:col>
      <xdr:colOff>532526</xdr:colOff>
      <xdr:row>142</xdr:row>
      <xdr:rowOff>110286</xdr:rowOff>
    </xdr:from>
    <xdr:to>
      <xdr:col>3</xdr:col>
      <xdr:colOff>2283297</xdr:colOff>
      <xdr:row>145</xdr:row>
      <xdr:rowOff>49326</xdr:rowOff>
    </xdr:to>
    <xdr:sp macro="" textlink="">
      <xdr:nvSpPr>
        <xdr:cNvPr id="61" name="Rounded Rectangle 60">
          <a:extLst>
            <a:ext uri="{FF2B5EF4-FFF2-40B4-BE49-F238E27FC236}">
              <a16:creationId xmlns:a16="http://schemas.microsoft.com/office/drawing/2014/main" id="{022003E9-BFDF-8E41-879A-A59A69E4F5DC}"/>
            </a:ext>
          </a:extLst>
        </xdr:cNvPr>
        <xdr:cNvSpPr/>
      </xdr:nvSpPr>
      <xdr:spPr>
        <a:xfrm>
          <a:off x="6298326" y="37778486"/>
          <a:ext cx="3820871" cy="701040"/>
        </a:xfrm>
        <a:prstGeom prst="roundRect">
          <a:avLst>
            <a:gd name="adj" fmla="val 46754"/>
          </a:avLst>
        </a:prstGeom>
        <a:solidFill>
          <a:srgbClr val="B9D4B1"/>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Enter total amount of final product obtained in this process</a:t>
          </a:r>
        </a:p>
      </xdr:txBody>
    </xdr:sp>
    <xdr:clientData/>
  </xdr:twoCellAnchor>
  <xdr:twoCellAnchor>
    <xdr:from>
      <xdr:col>2</xdr:col>
      <xdr:colOff>65609</xdr:colOff>
      <xdr:row>142</xdr:row>
      <xdr:rowOff>199524</xdr:rowOff>
    </xdr:from>
    <xdr:to>
      <xdr:col>2</xdr:col>
      <xdr:colOff>650489</xdr:colOff>
      <xdr:row>145</xdr:row>
      <xdr:rowOff>50126</xdr:rowOff>
    </xdr:to>
    <xdr:sp macro="" textlink="">
      <xdr:nvSpPr>
        <xdr:cNvPr id="62" name="Text Placeholder 1248">
          <a:extLst>
            <a:ext uri="{FF2B5EF4-FFF2-40B4-BE49-F238E27FC236}">
              <a16:creationId xmlns:a16="http://schemas.microsoft.com/office/drawing/2014/main" id="{925B6C53-FDE6-284E-A323-6E21A67AFA75}"/>
            </a:ext>
          </a:extLst>
        </xdr:cNvPr>
        <xdr:cNvSpPr>
          <a:spLocks noGrp="1"/>
        </xdr:cNvSpPr>
      </xdr:nvSpPr>
      <xdr:spPr>
        <a:xfrm>
          <a:off x="5831409" y="37867724"/>
          <a:ext cx="584880" cy="612602"/>
        </a:xfrm>
        <a:prstGeom prst="ellipse">
          <a:avLst/>
        </a:prstGeom>
        <a:solidFill>
          <a:srgbClr val="FFCD00"/>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pPr marL="0" indent="0" algn="ctr" defTabSz="914400" rtl="0" eaLnBrk="1" latinLnBrk="0" hangingPunct="1">
            <a:lnSpc>
              <a:spcPct val="100000"/>
            </a:lnSpc>
            <a:spcBef>
              <a:spcPts val="0"/>
            </a:spcBef>
            <a:buFont typeface="Arial" panose="020B0604020202020204" pitchFamily="34" charset="0"/>
            <a:buNone/>
          </a:pPr>
          <a:r>
            <a:rPr lang="en-US" sz="2800" b="1" kern="1200">
              <a:ln w="0">
                <a:noFill/>
              </a:ln>
              <a:solidFill>
                <a:sysClr val="windowText" lastClr="000000"/>
              </a:solidFill>
              <a:latin typeface="Arial" panose="020B0604020202020204" pitchFamily="34" charset="0"/>
              <a:ea typeface="+mn-ea"/>
              <a:cs typeface="Arial" panose="020B0604020202020204" pitchFamily="34" charset="0"/>
            </a:rPr>
            <a:t>15</a:t>
          </a:r>
        </a:p>
      </xdr:txBody>
    </xdr:sp>
    <xdr:clientData/>
  </xdr:twoCellAnchor>
  <xdr:twoCellAnchor>
    <xdr:from>
      <xdr:col>2</xdr:col>
      <xdr:colOff>972767</xdr:colOff>
      <xdr:row>120</xdr:row>
      <xdr:rowOff>62164</xdr:rowOff>
    </xdr:from>
    <xdr:to>
      <xdr:col>4</xdr:col>
      <xdr:colOff>494697</xdr:colOff>
      <xdr:row>123</xdr:row>
      <xdr:rowOff>1</xdr:rowOff>
    </xdr:to>
    <xdr:sp macro="" textlink="">
      <xdr:nvSpPr>
        <xdr:cNvPr id="63" name="Rounded Rectangle 62">
          <a:hlinkClick xmlns:r="http://schemas.openxmlformats.org/officeDocument/2006/relationships" r:id="rId6"/>
          <a:extLst>
            <a:ext uri="{FF2B5EF4-FFF2-40B4-BE49-F238E27FC236}">
              <a16:creationId xmlns:a16="http://schemas.microsoft.com/office/drawing/2014/main" id="{398BE18F-E584-4E41-93D1-2BE6455ED345}"/>
            </a:ext>
          </a:extLst>
        </xdr:cNvPr>
        <xdr:cNvSpPr/>
      </xdr:nvSpPr>
      <xdr:spPr>
        <a:xfrm>
          <a:off x="6738567" y="31862964"/>
          <a:ext cx="3903430" cy="699837"/>
        </a:xfrm>
        <a:prstGeom prst="roundRect">
          <a:avLst>
            <a:gd name="adj" fmla="val 24141"/>
          </a:avLst>
        </a:prstGeom>
        <a:solidFill>
          <a:schemeClr val="accent5">
            <a:lumMod val="40000"/>
            <a:lumOff val="60000"/>
          </a:scheme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Click to view CO2e data from each state</a:t>
          </a:r>
        </a:p>
      </xdr:txBody>
    </xdr:sp>
    <xdr:clientData/>
  </xdr:twoCellAnchor>
  <xdr:twoCellAnchor>
    <xdr:from>
      <xdr:col>0</xdr:col>
      <xdr:colOff>0</xdr:colOff>
      <xdr:row>150</xdr:row>
      <xdr:rowOff>0</xdr:rowOff>
    </xdr:from>
    <xdr:to>
      <xdr:col>3</xdr:col>
      <xdr:colOff>1056853</xdr:colOff>
      <xdr:row>153</xdr:row>
      <xdr:rowOff>82507</xdr:rowOff>
    </xdr:to>
    <xdr:sp macro="" textlink="">
      <xdr:nvSpPr>
        <xdr:cNvPr id="64" name="Rounded Rectangle 63">
          <a:extLst>
            <a:ext uri="{FF2B5EF4-FFF2-40B4-BE49-F238E27FC236}">
              <a16:creationId xmlns:a16="http://schemas.microsoft.com/office/drawing/2014/main" id="{18B901AF-5239-054E-AD93-C9F50349E729}"/>
            </a:ext>
          </a:extLst>
        </xdr:cNvPr>
        <xdr:cNvSpPr/>
      </xdr:nvSpPr>
      <xdr:spPr>
        <a:xfrm>
          <a:off x="0" y="39700200"/>
          <a:ext cx="8892753" cy="844507"/>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2. Outputs</a:t>
          </a:r>
        </a:p>
      </xdr:txBody>
    </xdr:sp>
    <xdr:clientData/>
  </xdr:twoCellAnchor>
  <xdr:twoCellAnchor>
    <xdr:from>
      <xdr:col>0</xdr:col>
      <xdr:colOff>0</xdr:colOff>
      <xdr:row>153</xdr:row>
      <xdr:rowOff>148617</xdr:rowOff>
    </xdr:from>
    <xdr:to>
      <xdr:col>1</xdr:col>
      <xdr:colOff>1567234</xdr:colOff>
      <xdr:row>155</xdr:row>
      <xdr:rowOff>231123</xdr:rowOff>
    </xdr:to>
    <xdr:sp macro="" textlink="">
      <xdr:nvSpPr>
        <xdr:cNvPr id="65" name="Rounded Rectangle 64">
          <a:extLst>
            <a:ext uri="{FF2B5EF4-FFF2-40B4-BE49-F238E27FC236}">
              <a16:creationId xmlns:a16="http://schemas.microsoft.com/office/drawing/2014/main" id="{92607AB9-71E1-464D-AD81-00636FA8C431}"/>
            </a:ext>
          </a:extLst>
        </xdr:cNvPr>
        <xdr:cNvSpPr/>
      </xdr:nvSpPr>
      <xdr:spPr>
        <a:xfrm>
          <a:off x="0" y="40610817"/>
          <a:ext cx="5237534" cy="590506"/>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2.1 Products</a:t>
          </a:r>
        </a:p>
      </xdr:txBody>
    </xdr:sp>
    <xdr:clientData/>
  </xdr:twoCellAnchor>
  <xdr:twoCellAnchor>
    <xdr:from>
      <xdr:col>0</xdr:col>
      <xdr:colOff>0</xdr:colOff>
      <xdr:row>164</xdr:row>
      <xdr:rowOff>229680</xdr:rowOff>
    </xdr:from>
    <xdr:to>
      <xdr:col>1</xdr:col>
      <xdr:colOff>1567234</xdr:colOff>
      <xdr:row>167</xdr:row>
      <xdr:rowOff>55485</xdr:rowOff>
    </xdr:to>
    <xdr:sp macro="" textlink="">
      <xdr:nvSpPr>
        <xdr:cNvPr id="66" name="Rounded Rectangle 65">
          <a:extLst>
            <a:ext uri="{FF2B5EF4-FFF2-40B4-BE49-F238E27FC236}">
              <a16:creationId xmlns:a16="http://schemas.microsoft.com/office/drawing/2014/main" id="{810CE723-39AA-FC45-95D9-A84193E60495}"/>
            </a:ext>
          </a:extLst>
        </xdr:cNvPr>
        <xdr:cNvSpPr/>
      </xdr:nvSpPr>
      <xdr:spPr>
        <a:xfrm>
          <a:off x="0" y="43485880"/>
          <a:ext cx="5237534" cy="587805"/>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2.2. Emissions</a:t>
          </a:r>
        </a:p>
      </xdr:txBody>
    </xdr:sp>
    <xdr:clientData/>
  </xdr:twoCellAnchor>
  <xdr:twoCellAnchor>
    <xdr:from>
      <xdr:col>2</xdr:col>
      <xdr:colOff>684374</xdr:colOff>
      <xdr:row>156</xdr:row>
      <xdr:rowOff>187222</xdr:rowOff>
    </xdr:from>
    <xdr:to>
      <xdr:col>4</xdr:col>
      <xdr:colOff>129819</xdr:colOff>
      <xdr:row>160</xdr:row>
      <xdr:rowOff>82827</xdr:rowOff>
    </xdr:to>
    <xdr:sp macro="" textlink="">
      <xdr:nvSpPr>
        <xdr:cNvPr id="67" name="Rounded Rectangle 66">
          <a:extLst>
            <a:ext uri="{FF2B5EF4-FFF2-40B4-BE49-F238E27FC236}">
              <a16:creationId xmlns:a16="http://schemas.microsoft.com/office/drawing/2014/main" id="{27C98839-610F-A54D-B0D2-DB89A66F53CF}"/>
            </a:ext>
          </a:extLst>
        </xdr:cNvPr>
        <xdr:cNvSpPr/>
      </xdr:nvSpPr>
      <xdr:spPr>
        <a:xfrm>
          <a:off x="6450174" y="41411422"/>
          <a:ext cx="3826945" cy="911605"/>
        </a:xfrm>
        <a:prstGeom prst="roundRect">
          <a:avLst>
            <a:gd name="adj" fmla="val 46754"/>
          </a:avLst>
        </a:prstGeom>
        <a:solidFill>
          <a:srgbClr val="B9D4B1"/>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By-products information and wastewater</a:t>
          </a:r>
        </a:p>
      </xdr:txBody>
    </xdr:sp>
    <xdr:clientData/>
  </xdr:twoCellAnchor>
  <xdr:twoCellAnchor>
    <xdr:from>
      <xdr:col>2</xdr:col>
      <xdr:colOff>120716</xdr:colOff>
      <xdr:row>157</xdr:row>
      <xdr:rowOff>39063</xdr:rowOff>
    </xdr:from>
    <xdr:to>
      <xdr:col>2</xdr:col>
      <xdr:colOff>755271</xdr:colOff>
      <xdr:row>159</xdr:row>
      <xdr:rowOff>143665</xdr:rowOff>
    </xdr:to>
    <xdr:sp macro="" textlink="">
      <xdr:nvSpPr>
        <xdr:cNvPr id="68" name="Text Placeholder 1248">
          <a:extLst>
            <a:ext uri="{FF2B5EF4-FFF2-40B4-BE49-F238E27FC236}">
              <a16:creationId xmlns:a16="http://schemas.microsoft.com/office/drawing/2014/main" id="{424C4187-C411-744D-8BC3-4A944DB36A5D}"/>
            </a:ext>
          </a:extLst>
        </xdr:cNvPr>
        <xdr:cNvSpPr>
          <a:spLocks noGrp="1"/>
        </xdr:cNvSpPr>
      </xdr:nvSpPr>
      <xdr:spPr>
        <a:xfrm>
          <a:off x="5886516" y="41517263"/>
          <a:ext cx="634555" cy="612602"/>
        </a:xfrm>
        <a:prstGeom prst="ellipse">
          <a:avLst/>
        </a:prstGeom>
        <a:solidFill>
          <a:srgbClr val="60CCF3"/>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pPr marL="0" indent="0" algn="ctr" defTabSz="914400" rtl="0" eaLnBrk="1" latinLnBrk="0" hangingPunct="1">
            <a:lnSpc>
              <a:spcPct val="100000"/>
            </a:lnSpc>
            <a:spcBef>
              <a:spcPts val="0"/>
            </a:spcBef>
            <a:buFont typeface="Arial" panose="020B0604020202020204" pitchFamily="34" charset="0"/>
            <a:buNone/>
          </a:pPr>
          <a:r>
            <a:rPr lang="en-US" sz="2800" b="1" kern="1200">
              <a:ln w="0">
                <a:noFill/>
              </a:ln>
              <a:solidFill>
                <a:sysClr val="windowText" lastClr="000000"/>
              </a:solidFill>
              <a:latin typeface="Arial" panose="020B0604020202020204" pitchFamily="34" charset="0"/>
              <a:ea typeface="+mn-ea"/>
              <a:cs typeface="Arial" panose="020B0604020202020204" pitchFamily="34" charset="0"/>
            </a:rPr>
            <a:t>16</a:t>
          </a:r>
        </a:p>
      </xdr:txBody>
    </xdr:sp>
    <xdr:clientData/>
  </xdr:twoCellAnchor>
  <xdr:twoCellAnchor>
    <xdr:from>
      <xdr:col>0</xdr:col>
      <xdr:colOff>0</xdr:colOff>
      <xdr:row>179</xdr:row>
      <xdr:rowOff>77832</xdr:rowOff>
    </xdr:from>
    <xdr:to>
      <xdr:col>1</xdr:col>
      <xdr:colOff>1567234</xdr:colOff>
      <xdr:row>181</xdr:row>
      <xdr:rowOff>152115</xdr:rowOff>
    </xdr:to>
    <xdr:sp macro="" textlink="">
      <xdr:nvSpPr>
        <xdr:cNvPr id="69" name="Rounded Rectangle 68">
          <a:extLst>
            <a:ext uri="{FF2B5EF4-FFF2-40B4-BE49-F238E27FC236}">
              <a16:creationId xmlns:a16="http://schemas.microsoft.com/office/drawing/2014/main" id="{C9E026D7-22FC-7D4D-AA5B-7CEF448E772F}"/>
            </a:ext>
          </a:extLst>
        </xdr:cNvPr>
        <xdr:cNvSpPr/>
      </xdr:nvSpPr>
      <xdr:spPr>
        <a:xfrm>
          <a:off x="0" y="47144032"/>
          <a:ext cx="5237534" cy="582283"/>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2.3. Water Consumption</a:t>
          </a:r>
        </a:p>
      </xdr:txBody>
    </xdr:sp>
    <xdr:clientData/>
  </xdr:twoCellAnchor>
  <xdr:twoCellAnchor>
    <xdr:from>
      <xdr:col>0</xdr:col>
      <xdr:colOff>0</xdr:colOff>
      <xdr:row>184</xdr:row>
      <xdr:rowOff>160658</xdr:rowOff>
    </xdr:from>
    <xdr:to>
      <xdr:col>1</xdr:col>
      <xdr:colOff>1567234</xdr:colOff>
      <xdr:row>186</xdr:row>
      <xdr:rowOff>234941</xdr:rowOff>
    </xdr:to>
    <xdr:sp macro="" textlink="">
      <xdr:nvSpPr>
        <xdr:cNvPr id="70" name="Rounded Rectangle 69">
          <a:extLst>
            <a:ext uri="{FF2B5EF4-FFF2-40B4-BE49-F238E27FC236}">
              <a16:creationId xmlns:a16="http://schemas.microsoft.com/office/drawing/2014/main" id="{6C12CC3D-4651-8F40-A84B-388DBB12EB7C}"/>
            </a:ext>
          </a:extLst>
        </xdr:cNvPr>
        <xdr:cNvSpPr/>
      </xdr:nvSpPr>
      <xdr:spPr>
        <a:xfrm>
          <a:off x="0" y="48496858"/>
          <a:ext cx="5237534" cy="582283"/>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2.4 Emission Outputs </a:t>
          </a:r>
        </a:p>
      </xdr:txBody>
    </xdr:sp>
    <xdr:clientData/>
  </xdr:twoCellAnchor>
  <xdr:twoCellAnchor>
    <xdr:from>
      <xdr:col>0</xdr:col>
      <xdr:colOff>0</xdr:colOff>
      <xdr:row>191</xdr:row>
      <xdr:rowOff>8811</xdr:rowOff>
    </xdr:from>
    <xdr:to>
      <xdr:col>1</xdr:col>
      <xdr:colOff>1567234</xdr:colOff>
      <xdr:row>193</xdr:row>
      <xdr:rowOff>83093</xdr:rowOff>
    </xdr:to>
    <xdr:sp macro="" textlink="">
      <xdr:nvSpPr>
        <xdr:cNvPr id="71" name="Rounded Rectangle 70">
          <a:extLst>
            <a:ext uri="{FF2B5EF4-FFF2-40B4-BE49-F238E27FC236}">
              <a16:creationId xmlns:a16="http://schemas.microsoft.com/office/drawing/2014/main" id="{4D761F7C-8436-7140-BF0C-5771548FCCA1}"/>
            </a:ext>
          </a:extLst>
        </xdr:cNvPr>
        <xdr:cNvSpPr/>
      </xdr:nvSpPr>
      <xdr:spPr>
        <a:xfrm>
          <a:off x="0" y="50148411"/>
          <a:ext cx="5237534" cy="582282"/>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2.5 Energy Consumption Calculation</a:t>
          </a:r>
        </a:p>
      </xdr:txBody>
    </xdr:sp>
    <xdr:clientData/>
  </xdr:twoCellAnchor>
  <xdr:twoCellAnchor>
    <xdr:from>
      <xdr:col>4</xdr:col>
      <xdr:colOff>711983</xdr:colOff>
      <xdr:row>163</xdr:row>
      <xdr:rowOff>173419</xdr:rowOff>
    </xdr:from>
    <xdr:to>
      <xdr:col>5</xdr:col>
      <xdr:colOff>1772537</xdr:colOff>
      <xdr:row>167</xdr:row>
      <xdr:rowOff>69024</xdr:rowOff>
    </xdr:to>
    <xdr:sp macro="" textlink="">
      <xdr:nvSpPr>
        <xdr:cNvPr id="72" name="Rounded Rectangle 71">
          <a:extLst>
            <a:ext uri="{FF2B5EF4-FFF2-40B4-BE49-F238E27FC236}">
              <a16:creationId xmlns:a16="http://schemas.microsoft.com/office/drawing/2014/main" id="{BB5969CA-1423-8C4D-A5ED-8E3731D62CF4}"/>
            </a:ext>
          </a:extLst>
        </xdr:cNvPr>
        <xdr:cNvSpPr/>
      </xdr:nvSpPr>
      <xdr:spPr>
        <a:xfrm>
          <a:off x="10859283" y="43175619"/>
          <a:ext cx="3371954" cy="911605"/>
        </a:xfrm>
        <a:prstGeom prst="roundRect">
          <a:avLst>
            <a:gd name="adj" fmla="val 46754"/>
          </a:avLst>
        </a:prstGeom>
        <a:solidFill>
          <a:srgbClr val="B9D4B1"/>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Enter information regarding air and solid waste emission to environment</a:t>
          </a:r>
        </a:p>
      </xdr:txBody>
    </xdr:sp>
    <xdr:clientData/>
  </xdr:twoCellAnchor>
  <xdr:twoCellAnchor>
    <xdr:from>
      <xdr:col>4</xdr:col>
      <xdr:colOff>148325</xdr:colOff>
      <xdr:row>164</xdr:row>
      <xdr:rowOff>25259</xdr:rowOff>
    </xdr:from>
    <xdr:to>
      <xdr:col>4</xdr:col>
      <xdr:colOff>782880</xdr:colOff>
      <xdr:row>166</xdr:row>
      <xdr:rowOff>129861</xdr:rowOff>
    </xdr:to>
    <xdr:sp macro="" textlink="">
      <xdr:nvSpPr>
        <xdr:cNvPr id="73" name="Text Placeholder 1248">
          <a:extLst>
            <a:ext uri="{FF2B5EF4-FFF2-40B4-BE49-F238E27FC236}">
              <a16:creationId xmlns:a16="http://schemas.microsoft.com/office/drawing/2014/main" id="{5663ED0B-D07A-F244-B4BA-2B9B63BD9DEA}"/>
            </a:ext>
          </a:extLst>
        </xdr:cNvPr>
        <xdr:cNvSpPr>
          <a:spLocks noGrp="1"/>
        </xdr:cNvSpPr>
      </xdr:nvSpPr>
      <xdr:spPr>
        <a:xfrm>
          <a:off x="10295625" y="43281459"/>
          <a:ext cx="634555" cy="612602"/>
        </a:xfrm>
        <a:prstGeom prst="ellipse">
          <a:avLst/>
        </a:prstGeom>
        <a:solidFill>
          <a:srgbClr val="60CCF3"/>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pPr marL="0" indent="0" algn="ctr" defTabSz="914400" rtl="0" eaLnBrk="1" latinLnBrk="0" hangingPunct="1">
            <a:lnSpc>
              <a:spcPct val="100000"/>
            </a:lnSpc>
            <a:spcBef>
              <a:spcPts val="0"/>
            </a:spcBef>
            <a:buFont typeface="Arial" panose="020B0604020202020204" pitchFamily="34" charset="0"/>
            <a:buNone/>
          </a:pPr>
          <a:r>
            <a:rPr lang="en-US" sz="2800" b="1" kern="1200">
              <a:ln w="0">
                <a:noFill/>
              </a:ln>
              <a:solidFill>
                <a:sysClr val="windowText" lastClr="000000"/>
              </a:solidFill>
              <a:latin typeface="Arial" panose="020B0604020202020204" pitchFamily="34" charset="0"/>
              <a:ea typeface="+mn-ea"/>
              <a:cs typeface="Arial" panose="020B0604020202020204" pitchFamily="34" charset="0"/>
            </a:rPr>
            <a:t>17</a:t>
          </a:r>
        </a:p>
      </xdr:txBody>
    </xdr:sp>
    <xdr:clientData/>
  </xdr:twoCellAnchor>
  <xdr:twoCellAnchor>
    <xdr:from>
      <xdr:col>0</xdr:col>
      <xdr:colOff>0</xdr:colOff>
      <xdr:row>197</xdr:row>
      <xdr:rowOff>138043</xdr:rowOff>
    </xdr:from>
    <xdr:to>
      <xdr:col>3</xdr:col>
      <xdr:colOff>1056853</xdr:colOff>
      <xdr:row>200</xdr:row>
      <xdr:rowOff>220550</xdr:rowOff>
    </xdr:to>
    <xdr:sp macro="" textlink="">
      <xdr:nvSpPr>
        <xdr:cNvPr id="74" name="Rounded Rectangle 73">
          <a:extLst>
            <a:ext uri="{FF2B5EF4-FFF2-40B4-BE49-F238E27FC236}">
              <a16:creationId xmlns:a16="http://schemas.microsoft.com/office/drawing/2014/main" id="{59B16358-A069-CA47-874A-2DEF33F37A98}"/>
            </a:ext>
          </a:extLst>
        </xdr:cNvPr>
        <xdr:cNvSpPr/>
      </xdr:nvSpPr>
      <xdr:spPr>
        <a:xfrm>
          <a:off x="0" y="51801643"/>
          <a:ext cx="8892753" cy="844507"/>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3. Impact Assessment</a:t>
          </a:r>
        </a:p>
      </xdr:txBody>
    </xdr:sp>
    <xdr:clientData/>
  </xdr:twoCellAnchor>
  <xdr:twoCellAnchor>
    <xdr:from>
      <xdr:col>0</xdr:col>
      <xdr:colOff>0</xdr:colOff>
      <xdr:row>213</xdr:row>
      <xdr:rowOff>0</xdr:rowOff>
    </xdr:from>
    <xdr:to>
      <xdr:col>0</xdr:col>
      <xdr:colOff>2834381</xdr:colOff>
      <xdr:row>215</xdr:row>
      <xdr:rowOff>10569</xdr:rowOff>
    </xdr:to>
    <xdr:sp macro="" textlink="">
      <xdr:nvSpPr>
        <xdr:cNvPr id="75" name="Rounded Rectangle 74" descr="Navigation button for Start worksheet">
          <a:hlinkClick xmlns:r="http://schemas.openxmlformats.org/officeDocument/2006/relationships" r:id="rId7"/>
          <a:extLst>
            <a:ext uri="{FF2B5EF4-FFF2-40B4-BE49-F238E27FC236}">
              <a16:creationId xmlns:a16="http://schemas.microsoft.com/office/drawing/2014/main" id="{86050BC2-1F98-714F-910A-707413D76BB7}"/>
            </a:ext>
          </a:extLst>
        </xdr:cNvPr>
        <xdr:cNvSpPr/>
      </xdr:nvSpPr>
      <xdr:spPr>
        <a:xfrm>
          <a:off x="0" y="55727600"/>
          <a:ext cx="2834381" cy="518569"/>
        </a:xfrm>
        <a:prstGeom prst="roundRect">
          <a:avLst>
            <a:gd name="adj" fmla="val 5000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Back to top</a:t>
          </a:r>
        </a:p>
      </xdr:txBody>
    </xdr:sp>
    <xdr:clientData/>
  </xdr:twoCellAnchor>
  <xdr:twoCellAnchor>
    <xdr:from>
      <xdr:col>16</xdr:col>
      <xdr:colOff>272198</xdr:colOff>
      <xdr:row>0</xdr:row>
      <xdr:rowOff>2</xdr:rowOff>
    </xdr:from>
    <xdr:to>
      <xdr:col>47</xdr:col>
      <xdr:colOff>679634</xdr:colOff>
      <xdr:row>5</xdr:row>
      <xdr:rowOff>158797</xdr:rowOff>
    </xdr:to>
    <xdr:sp macro="" textlink="">
      <xdr:nvSpPr>
        <xdr:cNvPr id="76" name="Title">
          <a:extLst>
            <a:ext uri="{FF2B5EF4-FFF2-40B4-BE49-F238E27FC236}">
              <a16:creationId xmlns:a16="http://schemas.microsoft.com/office/drawing/2014/main" id="{F8BFF622-A6E5-3F41-9534-89BD72CAEB7E}"/>
            </a:ext>
          </a:extLst>
        </xdr:cNvPr>
        <xdr:cNvSpPr/>
      </xdr:nvSpPr>
      <xdr:spPr>
        <a:xfrm>
          <a:off x="24948298" y="2"/>
          <a:ext cx="37377136" cy="1504995"/>
        </a:xfrm>
        <a:prstGeom prst="rect">
          <a:avLst/>
        </a:prstGeom>
        <a:solidFill>
          <a:srgbClr val="004F4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4000"/>
        </a:p>
      </xdr:txBody>
    </xdr:sp>
    <xdr:clientData/>
  </xdr:twoCellAnchor>
  <xdr:twoCellAnchor>
    <xdr:from>
      <xdr:col>16</xdr:col>
      <xdr:colOff>0</xdr:colOff>
      <xdr:row>0</xdr:row>
      <xdr:rowOff>0</xdr:rowOff>
    </xdr:from>
    <xdr:to>
      <xdr:col>16</xdr:col>
      <xdr:colOff>292100</xdr:colOff>
      <xdr:row>5</xdr:row>
      <xdr:rowOff>146097</xdr:rowOff>
    </xdr:to>
    <xdr:sp macro="" textlink="">
      <xdr:nvSpPr>
        <xdr:cNvPr id="77" name="_Yellow">
          <a:extLst>
            <a:ext uri="{FF2B5EF4-FFF2-40B4-BE49-F238E27FC236}">
              <a16:creationId xmlns:a16="http://schemas.microsoft.com/office/drawing/2014/main" id="{CA0E374F-3867-5B47-9DDC-DA9EF4BBD959}"/>
            </a:ext>
          </a:extLst>
        </xdr:cNvPr>
        <xdr:cNvSpPr/>
      </xdr:nvSpPr>
      <xdr:spPr>
        <a:xfrm>
          <a:off x="24676100" y="0"/>
          <a:ext cx="292100" cy="1492297"/>
        </a:xfrm>
        <a:prstGeom prst="rect">
          <a:avLst/>
        </a:prstGeom>
        <a:solidFill>
          <a:srgbClr val="FFCD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16</xdr:col>
      <xdr:colOff>399550</xdr:colOff>
      <xdr:row>1</xdr:row>
      <xdr:rowOff>42809</xdr:rowOff>
    </xdr:from>
    <xdr:to>
      <xdr:col>38</xdr:col>
      <xdr:colOff>806552</xdr:colOff>
      <xdr:row>3</xdr:row>
      <xdr:rowOff>287524</xdr:rowOff>
    </xdr:to>
    <xdr:sp macro="" textlink="">
      <xdr:nvSpPr>
        <xdr:cNvPr id="78" name="sheet title">
          <a:extLst>
            <a:ext uri="{FF2B5EF4-FFF2-40B4-BE49-F238E27FC236}">
              <a16:creationId xmlns:a16="http://schemas.microsoft.com/office/drawing/2014/main" id="{8A5FC573-C15E-0B4D-B360-DF0633A8F7D2}"/>
            </a:ext>
          </a:extLst>
        </xdr:cNvPr>
        <xdr:cNvSpPr txBox="1"/>
      </xdr:nvSpPr>
      <xdr:spPr>
        <a:xfrm>
          <a:off x="25075650" y="296809"/>
          <a:ext cx="28880402" cy="75271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4400">
              <a:solidFill>
                <a:schemeClr val="bg1"/>
              </a:solidFill>
              <a:latin typeface="Arial" panose="020B0604020202020204" pitchFamily="34" charset="0"/>
              <a:cs typeface="Arial" panose="020B0604020202020204" pitchFamily="34" charset="0"/>
            </a:rPr>
            <a:t>Major</a:t>
          </a:r>
          <a:r>
            <a:rPr lang="en-US" sz="4400" baseline="0">
              <a:solidFill>
                <a:schemeClr val="bg1"/>
              </a:solidFill>
              <a:latin typeface="Arial" panose="020B0604020202020204" pitchFamily="34" charset="0"/>
              <a:cs typeface="Arial" panose="020B0604020202020204" pitchFamily="34" charset="0"/>
            </a:rPr>
            <a:t> S</a:t>
          </a:r>
          <a:r>
            <a:rPr lang="en-US" sz="4400">
              <a:solidFill>
                <a:schemeClr val="bg1"/>
              </a:solidFill>
              <a:latin typeface="Arial" panose="020B0604020202020204" pitchFamily="34" charset="0"/>
              <a:cs typeface="Arial" panose="020B0604020202020204" pitchFamily="34" charset="0"/>
            </a:rPr>
            <a:t>lurry</a:t>
          </a:r>
          <a:r>
            <a:rPr lang="en-US" sz="4400" baseline="0">
              <a:solidFill>
                <a:schemeClr val="bg1"/>
              </a:solidFill>
              <a:latin typeface="Arial" panose="020B0604020202020204" pitchFamily="34" charset="0"/>
              <a:cs typeface="Arial" panose="020B0604020202020204" pitchFamily="34" charset="0"/>
            </a:rPr>
            <a:t> Manufacturing Processes Overview</a:t>
          </a:r>
          <a:endParaRPr lang="en-US" sz="4400">
            <a:solidFill>
              <a:schemeClr val="bg1"/>
            </a:solidFill>
            <a:latin typeface="Arial" panose="020B0604020202020204" pitchFamily="34" charset="0"/>
            <a:cs typeface="Arial" panose="020B0604020202020204" pitchFamily="34" charset="0"/>
          </a:endParaRPr>
        </a:p>
      </xdr:txBody>
    </xdr:sp>
    <xdr:clientData/>
  </xdr:twoCellAnchor>
  <xdr:twoCellAnchor>
    <xdr:from>
      <xdr:col>16</xdr:col>
      <xdr:colOff>57079</xdr:colOff>
      <xdr:row>6</xdr:row>
      <xdr:rowOff>71348</xdr:rowOff>
    </xdr:from>
    <xdr:to>
      <xdr:col>24</xdr:col>
      <xdr:colOff>98039</xdr:colOff>
      <xdr:row>12</xdr:row>
      <xdr:rowOff>21093</xdr:rowOff>
    </xdr:to>
    <xdr:sp macro="" textlink="">
      <xdr:nvSpPr>
        <xdr:cNvPr id="79" name="Rounded Rectangle 78">
          <a:extLst>
            <a:ext uri="{FF2B5EF4-FFF2-40B4-BE49-F238E27FC236}">
              <a16:creationId xmlns:a16="http://schemas.microsoft.com/office/drawing/2014/main" id="{A154A3DA-510B-7A4D-A7C7-2972692E3A93}"/>
            </a:ext>
          </a:extLst>
        </xdr:cNvPr>
        <xdr:cNvSpPr/>
      </xdr:nvSpPr>
      <xdr:spPr>
        <a:xfrm>
          <a:off x="24733179" y="1671548"/>
          <a:ext cx="9286560" cy="1473745"/>
        </a:xfrm>
        <a:prstGeom prst="roundRect">
          <a:avLst>
            <a:gd name="adj" fmla="val 24167"/>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8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We gather default equipment values from websites and literature to compile a comprehensive database of various tools with a wide range of specifications.</a:t>
          </a:r>
        </a:p>
      </xdr:txBody>
    </xdr:sp>
    <xdr:clientData/>
  </xdr:twoCellAnchor>
  <xdr:twoCellAnchor>
    <xdr:from>
      <xdr:col>24</xdr:col>
      <xdr:colOff>391654</xdr:colOff>
      <xdr:row>13</xdr:row>
      <xdr:rowOff>0</xdr:rowOff>
    </xdr:from>
    <xdr:to>
      <xdr:col>27</xdr:col>
      <xdr:colOff>416521</xdr:colOff>
      <xdr:row>15</xdr:row>
      <xdr:rowOff>110102</xdr:rowOff>
    </xdr:to>
    <xdr:sp macro="" textlink="">
      <xdr:nvSpPr>
        <xdr:cNvPr id="80" name="Rounded Rectangle 79">
          <a:extLst>
            <a:ext uri="{FF2B5EF4-FFF2-40B4-BE49-F238E27FC236}">
              <a16:creationId xmlns:a16="http://schemas.microsoft.com/office/drawing/2014/main" id="{D15F8282-A83A-CA41-A9BD-0441E9813C56}"/>
            </a:ext>
          </a:extLst>
        </xdr:cNvPr>
        <xdr:cNvSpPr/>
      </xdr:nvSpPr>
      <xdr:spPr>
        <a:xfrm>
          <a:off x="34313354" y="3378200"/>
          <a:ext cx="6285967" cy="745102"/>
        </a:xfrm>
        <a:prstGeom prst="roundRect">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Enter your process values to compare against values in literature</a:t>
          </a:r>
        </a:p>
      </xdr:txBody>
    </xdr:sp>
    <xdr:clientData/>
  </xdr:twoCellAnchor>
  <xdr:twoCellAnchor>
    <xdr:from>
      <xdr:col>24</xdr:col>
      <xdr:colOff>120952</xdr:colOff>
      <xdr:row>13</xdr:row>
      <xdr:rowOff>173033</xdr:rowOff>
    </xdr:from>
    <xdr:to>
      <xdr:col>24</xdr:col>
      <xdr:colOff>589216</xdr:colOff>
      <xdr:row>14</xdr:row>
      <xdr:rowOff>241905</xdr:rowOff>
    </xdr:to>
    <xdr:sp macro="" textlink="">
      <xdr:nvSpPr>
        <xdr:cNvPr id="81" name="Text Placeholder 1248">
          <a:extLst>
            <a:ext uri="{FF2B5EF4-FFF2-40B4-BE49-F238E27FC236}">
              <a16:creationId xmlns:a16="http://schemas.microsoft.com/office/drawing/2014/main" id="{D8A5CF14-AB9B-0D46-9886-76BD3F68FC90}"/>
            </a:ext>
          </a:extLst>
        </xdr:cNvPr>
        <xdr:cNvSpPr>
          <a:spLocks noGrp="1"/>
        </xdr:cNvSpPr>
      </xdr:nvSpPr>
      <xdr:spPr>
        <a:xfrm>
          <a:off x="34042652" y="3551233"/>
          <a:ext cx="468264" cy="449872"/>
        </a:xfrm>
        <a:prstGeom prst="ellipse">
          <a:avLst/>
        </a:prstGeom>
        <a:solidFill>
          <a:srgbClr val="FFC000">
            <a:lumMod val="60000"/>
            <a:lumOff val="40000"/>
          </a:srgbClr>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r>
            <a:rPr lang="en-US">
              <a:latin typeface="Arial" panose="020B0604020202020204" pitchFamily="34" charset="0"/>
              <a:cs typeface="Arial" panose="020B0604020202020204" pitchFamily="34" charset="0"/>
            </a:rPr>
            <a:t>1</a:t>
          </a:r>
        </a:p>
      </xdr:txBody>
    </xdr:sp>
    <xdr:clientData/>
  </xdr:twoCellAnchor>
  <xdr:twoCellAnchor>
    <xdr:from>
      <xdr:col>38</xdr:col>
      <xdr:colOff>50800</xdr:colOff>
      <xdr:row>39</xdr:row>
      <xdr:rowOff>33866</xdr:rowOff>
    </xdr:from>
    <xdr:to>
      <xdr:col>51</xdr:col>
      <xdr:colOff>513033</xdr:colOff>
      <xdr:row>42</xdr:row>
      <xdr:rowOff>121670</xdr:rowOff>
    </xdr:to>
    <xdr:sp macro="" textlink="">
      <xdr:nvSpPr>
        <xdr:cNvPr id="82" name="Rounded Rectangle 81">
          <a:extLst>
            <a:ext uri="{FF2B5EF4-FFF2-40B4-BE49-F238E27FC236}">
              <a16:creationId xmlns:a16="http://schemas.microsoft.com/office/drawing/2014/main" id="{CFCBE814-93F9-7A4D-918A-4C34024AABDA}"/>
            </a:ext>
          </a:extLst>
        </xdr:cNvPr>
        <xdr:cNvSpPr/>
      </xdr:nvSpPr>
      <xdr:spPr>
        <a:xfrm>
          <a:off x="53200300" y="10498666"/>
          <a:ext cx="12895533" cy="887904"/>
        </a:xfrm>
        <a:prstGeom prst="roundRect">
          <a:avLst>
            <a:gd name="adj" fmla="val 5000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a:ln>
                <a:noFill/>
              </a:ln>
              <a:solidFill>
                <a:schemeClr val="tx1"/>
              </a:solidFill>
              <a:effectLst/>
              <a:uLnTx/>
              <a:uFillTx/>
              <a:latin typeface="Arial" panose="020B0604020202020204" pitchFamily="34" charset="0"/>
              <a:ea typeface="+mn-ea"/>
              <a:cs typeface="Arial" panose="020B0604020202020204" pitchFamily="34" charset="0"/>
            </a:rPr>
            <a:t>Process time information found in the literature</a:t>
          </a:r>
        </a:p>
      </xdr:txBody>
    </xdr:sp>
    <xdr:clientData/>
  </xdr:twoCellAnchor>
  <xdr:twoCellAnchor>
    <xdr:from>
      <xdr:col>17</xdr:col>
      <xdr:colOff>0</xdr:colOff>
      <xdr:row>39</xdr:row>
      <xdr:rowOff>0</xdr:rowOff>
    </xdr:from>
    <xdr:to>
      <xdr:col>24</xdr:col>
      <xdr:colOff>3085981</xdr:colOff>
      <xdr:row>42</xdr:row>
      <xdr:rowOff>87804</xdr:rowOff>
    </xdr:to>
    <xdr:sp macro="" textlink="">
      <xdr:nvSpPr>
        <xdr:cNvPr id="83" name="Rounded Rectangle 82">
          <a:extLst>
            <a:ext uri="{FF2B5EF4-FFF2-40B4-BE49-F238E27FC236}">
              <a16:creationId xmlns:a16="http://schemas.microsoft.com/office/drawing/2014/main" id="{AE2F8955-229A-5E4E-8F74-A8CE1CE5B1AB}"/>
            </a:ext>
          </a:extLst>
        </xdr:cNvPr>
        <xdr:cNvSpPr/>
      </xdr:nvSpPr>
      <xdr:spPr>
        <a:xfrm>
          <a:off x="25501600" y="10464800"/>
          <a:ext cx="11506081" cy="887904"/>
        </a:xfrm>
        <a:prstGeom prst="roundRect">
          <a:avLst>
            <a:gd name="adj" fmla="val 5000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Tools related to this precific process and their power and volume specifications</a:t>
          </a:r>
        </a:p>
      </xdr:txBody>
    </xdr:sp>
    <xdr:clientData/>
  </xdr:twoCellAnchor>
  <xdr:twoCellAnchor>
    <xdr:from>
      <xdr:col>25</xdr:col>
      <xdr:colOff>1358019</xdr:colOff>
      <xdr:row>24</xdr:row>
      <xdr:rowOff>100594</xdr:rowOff>
    </xdr:from>
    <xdr:to>
      <xdr:col>26</xdr:col>
      <xdr:colOff>406400</xdr:colOff>
      <xdr:row>26</xdr:row>
      <xdr:rowOff>177760</xdr:rowOff>
    </xdr:to>
    <xdr:sp macro="" textlink="">
      <xdr:nvSpPr>
        <xdr:cNvPr id="84" name="Text Placeholder 1248">
          <a:extLst>
            <a:ext uri="{FF2B5EF4-FFF2-40B4-BE49-F238E27FC236}">
              <a16:creationId xmlns:a16="http://schemas.microsoft.com/office/drawing/2014/main" id="{8DA771E5-66C1-344B-A710-0AF15C5DB867}"/>
            </a:ext>
          </a:extLst>
        </xdr:cNvPr>
        <xdr:cNvSpPr>
          <a:spLocks noGrp="1"/>
        </xdr:cNvSpPr>
      </xdr:nvSpPr>
      <xdr:spPr>
        <a:xfrm>
          <a:off x="39153219" y="6475994"/>
          <a:ext cx="585081" cy="585166"/>
        </a:xfrm>
        <a:prstGeom prst="ellipse">
          <a:avLst/>
        </a:prstGeom>
        <a:solidFill>
          <a:srgbClr val="FFC000">
            <a:lumMod val="60000"/>
            <a:lumOff val="40000"/>
          </a:srgbClr>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r>
            <a:rPr lang="en-US">
              <a:latin typeface="Arial" panose="020B0604020202020204" pitchFamily="34" charset="0"/>
              <a:cs typeface="Arial" panose="020B0604020202020204" pitchFamily="34" charset="0"/>
            </a:rPr>
            <a:t>2</a:t>
          </a:r>
        </a:p>
      </xdr:txBody>
    </xdr:sp>
    <xdr:clientData/>
  </xdr:twoCellAnchor>
  <xdr:twoCellAnchor>
    <xdr:from>
      <xdr:col>25</xdr:col>
      <xdr:colOff>1358019</xdr:colOff>
      <xdr:row>28</xdr:row>
      <xdr:rowOff>100594</xdr:rowOff>
    </xdr:from>
    <xdr:to>
      <xdr:col>26</xdr:col>
      <xdr:colOff>406400</xdr:colOff>
      <xdr:row>30</xdr:row>
      <xdr:rowOff>177760</xdr:rowOff>
    </xdr:to>
    <xdr:sp macro="" textlink="">
      <xdr:nvSpPr>
        <xdr:cNvPr id="85" name="Text Placeholder 1248">
          <a:extLst>
            <a:ext uri="{FF2B5EF4-FFF2-40B4-BE49-F238E27FC236}">
              <a16:creationId xmlns:a16="http://schemas.microsoft.com/office/drawing/2014/main" id="{54E7A3BD-49ED-FA42-A1EE-7F5FA16123F2}"/>
            </a:ext>
          </a:extLst>
        </xdr:cNvPr>
        <xdr:cNvSpPr>
          <a:spLocks noGrp="1"/>
        </xdr:cNvSpPr>
      </xdr:nvSpPr>
      <xdr:spPr>
        <a:xfrm>
          <a:off x="39153219" y="7771394"/>
          <a:ext cx="585081" cy="585166"/>
        </a:xfrm>
        <a:prstGeom prst="ellipse">
          <a:avLst/>
        </a:prstGeom>
        <a:solidFill>
          <a:srgbClr val="FFC000">
            <a:lumMod val="60000"/>
            <a:lumOff val="40000"/>
          </a:srgbClr>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r>
            <a:rPr lang="en-US">
              <a:latin typeface="Arial" panose="020B0604020202020204" pitchFamily="34" charset="0"/>
              <a:cs typeface="Arial" panose="020B0604020202020204" pitchFamily="34" charset="0"/>
            </a:rPr>
            <a:t>3</a:t>
          </a:r>
        </a:p>
      </xdr:txBody>
    </xdr:sp>
    <xdr:clientData/>
  </xdr:twoCellAnchor>
  <xdr:twoCellAnchor>
    <xdr:from>
      <xdr:col>26</xdr:col>
      <xdr:colOff>135467</xdr:colOff>
      <xdr:row>26</xdr:row>
      <xdr:rowOff>101601</xdr:rowOff>
    </xdr:from>
    <xdr:to>
      <xdr:col>29</xdr:col>
      <xdr:colOff>588567</xdr:colOff>
      <xdr:row>28</xdr:row>
      <xdr:rowOff>189405</xdr:rowOff>
    </xdr:to>
    <xdr:sp macro="" textlink="">
      <xdr:nvSpPr>
        <xdr:cNvPr id="86" name="Rounded Rectangle 85">
          <a:extLst>
            <a:ext uri="{FF2B5EF4-FFF2-40B4-BE49-F238E27FC236}">
              <a16:creationId xmlns:a16="http://schemas.microsoft.com/office/drawing/2014/main" id="{02B33A37-8F70-904A-8245-E513AB6F3565}"/>
            </a:ext>
          </a:extLst>
        </xdr:cNvPr>
        <xdr:cNvSpPr/>
      </xdr:nvSpPr>
      <xdr:spPr>
        <a:xfrm>
          <a:off x="39467367" y="6985001"/>
          <a:ext cx="3336000" cy="875204"/>
        </a:xfrm>
        <a:prstGeom prst="roundRect">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Enter your tool power rating to check range</a:t>
          </a:r>
        </a:p>
      </xdr:txBody>
    </xdr:sp>
    <xdr:clientData/>
  </xdr:twoCellAnchor>
  <xdr:twoCellAnchor>
    <xdr:from>
      <xdr:col>26</xdr:col>
      <xdr:colOff>0</xdr:colOff>
      <xdr:row>30</xdr:row>
      <xdr:rowOff>203200</xdr:rowOff>
    </xdr:from>
    <xdr:to>
      <xdr:col>29</xdr:col>
      <xdr:colOff>7119</xdr:colOff>
      <xdr:row>34</xdr:row>
      <xdr:rowOff>67864</xdr:rowOff>
    </xdr:to>
    <xdr:sp macro="" textlink="">
      <xdr:nvSpPr>
        <xdr:cNvPr id="87" name="Rounded Rectangle 86">
          <a:extLst>
            <a:ext uri="{FF2B5EF4-FFF2-40B4-BE49-F238E27FC236}">
              <a16:creationId xmlns:a16="http://schemas.microsoft.com/office/drawing/2014/main" id="{350D3982-0C34-5342-AB61-0ABC7D0FC04B}"/>
            </a:ext>
          </a:extLst>
        </xdr:cNvPr>
        <xdr:cNvSpPr/>
      </xdr:nvSpPr>
      <xdr:spPr>
        <a:xfrm>
          <a:off x="39331900" y="8382000"/>
          <a:ext cx="2890019" cy="880664"/>
        </a:xfrm>
        <a:prstGeom prst="roundRect">
          <a:avLst/>
        </a:prstGeom>
        <a:solidFill>
          <a:schemeClr val="accent5">
            <a:lumMod val="40000"/>
            <a:lumOff val="60000"/>
          </a:scheme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Calcualted based on process time and tool power rating(kW)</a:t>
          </a:r>
        </a:p>
      </xdr:txBody>
    </xdr:sp>
    <xdr:clientData/>
  </xdr:twoCellAnchor>
  <xdr:twoCellAnchor>
    <xdr:from>
      <xdr:col>33</xdr:col>
      <xdr:colOff>276377</xdr:colOff>
      <xdr:row>13</xdr:row>
      <xdr:rowOff>294519</xdr:rowOff>
    </xdr:from>
    <xdr:to>
      <xdr:col>40</xdr:col>
      <xdr:colOff>432695</xdr:colOff>
      <xdr:row>15</xdr:row>
      <xdr:rowOff>46141</xdr:rowOff>
    </xdr:to>
    <xdr:grpSp>
      <xdr:nvGrpSpPr>
        <xdr:cNvPr id="88" name="Group 87">
          <a:extLst>
            <a:ext uri="{FF2B5EF4-FFF2-40B4-BE49-F238E27FC236}">
              <a16:creationId xmlns:a16="http://schemas.microsoft.com/office/drawing/2014/main" id="{AC6515B7-B62A-694F-9B72-4E13DD52EF1F}"/>
            </a:ext>
          </a:extLst>
        </xdr:cNvPr>
        <xdr:cNvGrpSpPr/>
      </xdr:nvGrpSpPr>
      <xdr:grpSpPr>
        <a:xfrm>
          <a:off x="49298377" y="3672719"/>
          <a:ext cx="6493618" cy="386622"/>
          <a:chOff x="20803705" y="3035855"/>
          <a:chExt cx="6029371" cy="995751"/>
        </a:xfrm>
      </xdr:grpSpPr>
      <xdr:sp macro="" textlink="">
        <xdr:nvSpPr>
          <xdr:cNvPr id="89" name="Rounded Rectangle 88">
            <a:extLst>
              <a:ext uri="{FF2B5EF4-FFF2-40B4-BE49-F238E27FC236}">
                <a16:creationId xmlns:a16="http://schemas.microsoft.com/office/drawing/2014/main" id="{7C00B3F2-B7D1-27E2-FB9E-9F364CB9E2AB}"/>
              </a:ext>
            </a:extLst>
          </xdr:cNvPr>
          <xdr:cNvSpPr/>
        </xdr:nvSpPr>
        <xdr:spPr>
          <a:xfrm>
            <a:off x="20803705" y="3035855"/>
            <a:ext cx="6029371" cy="995751"/>
          </a:xfrm>
          <a:prstGeom prst="roundRect">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b"/>
          <a:lstStyle/>
          <a:p>
            <a:pPr algn="r"/>
            <a:r>
              <a:rPr lang="en-US" sz="2000" kern="1200">
                <a:latin typeface="Arial" panose="020B0604020202020204" pitchFamily="34" charset="0"/>
                <a:cs typeface="Arial" panose="020B0604020202020204" pitchFamily="34" charset="0"/>
              </a:rPr>
              <a:t>tool power rating overview</a:t>
            </a:r>
          </a:p>
        </xdr:txBody>
      </xdr:sp>
      <xdr:sp macro="" textlink="$E$19">
        <xdr:nvSpPr>
          <xdr:cNvPr id="90" name="TextBox 89">
            <a:extLst>
              <a:ext uri="{FF2B5EF4-FFF2-40B4-BE49-F238E27FC236}">
                <a16:creationId xmlns:a16="http://schemas.microsoft.com/office/drawing/2014/main" id="{0488CD77-D1B4-187A-52D9-F0EBC20312DE}"/>
              </a:ext>
            </a:extLst>
          </xdr:cNvPr>
          <xdr:cNvSpPr txBox="1"/>
        </xdr:nvSpPr>
        <xdr:spPr>
          <a:xfrm>
            <a:off x="20917443" y="3144274"/>
            <a:ext cx="2290048" cy="553647"/>
          </a:xfrm>
          <a:prstGeom prst="rect">
            <a:avLst/>
          </a:prstGeom>
          <a:solidFill>
            <a:srgbClr val="4DA72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A722FA6-ADBD-BF4A-B652-57345CB45E96}" type="TxLink">
              <a:rPr lang="en-US" sz="2000" b="0" i="0" u="none" strike="noStrike" kern="1200">
                <a:solidFill>
                  <a:schemeClr val="bg1"/>
                </a:solidFill>
                <a:latin typeface="Arial"/>
                <a:cs typeface="Arial"/>
              </a:rPr>
              <a:pPr/>
              <a:t> </a:t>
            </a:fld>
            <a:endParaRPr lang="en-US" sz="900" kern="1200">
              <a:solidFill>
                <a:schemeClr val="bg1"/>
              </a:solidFill>
            </a:endParaRPr>
          </a:p>
        </xdr:txBody>
      </xdr:sp>
    </xdr:grpSp>
    <xdr:clientData/>
  </xdr:twoCellAnchor>
  <xdr:twoCellAnchor>
    <xdr:from>
      <xdr:col>33</xdr:col>
      <xdr:colOff>750455</xdr:colOff>
      <xdr:row>16</xdr:row>
      <xdr:rowOff>129887</xdr:rowOff>
    </xdr:from>
    <xdr:to>
      <xdr:col>40</xdr:col>
      <xdr:colOff>341292</xdr:colOff>
      <xdr:row>30</xdr:row>
      <xdr:rowOff>63115</xdr:rowOff>
    </xdr:to>
    <xdr:graphicFrame macro="">
      <xdr:nvGraphicFramePr>
        <xdr:cNvPr id="91" name="Chart 90">
          <a:extLst>
            <a:ext uri="{FF2B5EF4-FFF2-40B4-BE49-F238E27FC236}">
              <a16:creationId xmlns:a16="http://schemas.microsoft.com/office/drawing/2014/main" id="{E120BB88-02E0-0B4C-874D-9F41F4EF50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33</xdr:col>
      <xdr:colOff>745507</xdr:colOff>
      <xdr:row>16</xdr:row>
      <xdr:rowOff>130711</xdr:rowOff>
    </xdr:from>
    <xdr:to>
      <xdr:col>40</xdr:col>
      <xdr:colOff>336344</xdr:colOff>
      <xdr:row>30</xdr:row>
      <xdr:rowOff>63939</xdr:rowOff>
    </xdr:to>
    <xdr:graphicFrame macro="">
      <xdr:nvGraphicFramePr>
        <xdr:cNvPr id="92" name="Chart 91">
          <a:extLst>
            <a:ext uri="{FF2B5EF4-FFF2-40B4-BE49-F238E27FC236}">
              <a16:creationId xmlns:a16="http://schemas.microsoft.com/office/drawing/2014/main" id="{5C9B9918-D043-C849-BF08-E0813772B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35</xdr:col>
      <xdr:colOff>346364</xdr:colOff>
      <xdr:row>22</xdr:row>
      <xdr:rowOff>72159</xdr:rowOff>
    </xdr:from>
    <xdr:to>
      <xdr:col>37</xdr:col>
      <xdr:colOff>342318</xdr:colOff>
      <xdr:row>23</xdr:row>
      <xdr:rowOff>60863</xdr:rowOff>
    </xdr:to>
    <xdr:sp macro="" textlink="">
      <xdr:nvSpPr>
        <xdr:cNvPr id="93" name="TextBox 92">
          <a:extLst>
            <a:ext uri="{FF2B5EF4-FFF2-40B4-BE49-F238E27FC236}">
              <a16:creationId xmlns:a16="http://schemas.microsoft.com/office/drawing/2014/main" id="{EDF43D7B-9962-824D-B363-7C4106F5BE01}"/>
            </a:ext>
          </a:extLst>
        </xdr:cNvPr>
        <xdr:cNvSpPr txBox="1"/>
      </xdr:nvSpPr>
      <xdr:spPr>
        <a:xfrm>
          <a:off x="51019364" y="5939559"/>
          <a:ext cx="1646954" cy="2427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600" b="0" i="0" u="none" strike="noStrike" kern="1200">
              <a:solidFill>
                <a:schemeClr val="tx1"/>
              </a:solidFill>
              <a:latin typeface="Arial"/>
              <a:ea typeface="+mn-ea"/>
              <a:cs typeface="Arial"/>
            </a:rPr>
            <a:t>LOW</a:t>
          </a:r>
        </a:p>
      </xdr:txBody>
    </xdr:sp>
    <xdr:clientData/>
  </xdr:twoCellAnchor>
  <xdr:twoCellAnchor>
    <xdr:from>
      <xdr:col>38</xdr:col>
      <xdr:colOff>227826</xdr:colOff>
      <xdr:row>22</xdr:row>
      <xdr:rowOff>95396</xdr:rowOff>
    </xdr:from>
    <xdr:to>
      <xdr:col>40</xdr:col>
      <xdr:colOff>203975</xdr:colOff>
      <xdr:row>23</xdr:row>
      <xdr:rowOff>84100</xdr:rowOff>
    </xdr:to>
    <xdr:sp macro="" textlink="">
      <xdr:nvSpPr>
        <xdr:cNvPr id="94" name="TextBox 93">
          <a:extLst>
            <a:ext uri="{FF2B5EF4-FFF2-40B4-BE49-F238E27FC236}">
              <a16:creationId xmlns:a16="http://schemas.microsoft.com/office/drawing/2014/main" id="{C044EB6C-E36D-0947-8254-A0EA0B6E72E9}"/>
            </a:ext>
          </a:extLst>
        </xdr:cNvPr>
        <xdr:cNvSpPr txBox="1"/>
      </xdr:nvSpPr>
      <xdr:spPr>
        <a:xfrm>
          <a:off x="53377326" y="5962796"/>
          <a:ext cx="2185949" cy="2427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600" b="0" i="0" u="none" strike="noStrike" kern="1200">
              <a:solidFill>
                <a:schemeClr val="tx1"/>
              </a:solidFill>
              <a:latin typeface="Arial"/>
              <a:ea typeface="+mn-ea"/>
              <a:cs typeface="Arial"/>
            </a:rPr>
            <a:t>HIGH</a:t>
          </a:r>
        </a:p>
      </xdr:txBody>
    </xdr:sp>
    <xdr:clientData/>
  </xdr:twoCellAnchor>
  <xdr:twoCellAnchor>
    <xdr:from>
      <xdr:col>2</xdr:col>
      <xdr:colOff>1415748</xdr:colOff>
      <xdr:row>57</xdr:row>
      <xdr:rowOff>238479</xdr:rowOff>
    </xdr:from>
    <xdr:to>
      <xdr:col>5</xdr:col>
      <xdr:colOff>241905</xdr:colOff>
      <xdr:row>61</xdr:row>
      <xdr:rowOff>161271</xdr:rowOff>
    </xdr:to>
    <xdr:sp macro="" textlink="">
      <xdr:nvSpPr>
        <xdr:cNvPr id="95" name="Rounded Rectangle 94">
          <a:extLst>
            <a:ext uri="{FF2B5EF4-FFF2-40B4-BE49-F238E27FC236}">
              <a16:creationId xmlns:a16="http://schemas.microsoft.com/office/drawing/2014/main" id="{567E51E6-BFAC-E241-B1F7-98B420BEBD99}"/>
            </a:ext>
          </a:extLst>
        </xdr:cNvPr>
        <xdr:cNvSpPr/>
      </xdr:nvSpPr>
      <xdr:spPr>
        <a:xfrm>
          <a:off x="7181548" y="15694379"/>
          <a:ext cx="5519057" cy="1002292"/>
        </a:xfrm>
        <a:prstGeom prst="roundRect">
          <a:avLst>
            <a:gd name="adj" fmla="val 30087"/>
          </a:avLst>
        </a:prstGeom>
        <a:noFill/>
        <a:ln w="57150" cap="flat" cmpd="sng" algn="ctr">
          <a:solidFill>
            <a:schemeClr val="accent5">
              <a:lumMod val="75000"/>
            </a:schemeClr>
          </a:solidFill>
          <a:prstDash val="solid"/>
        </a:ln>
        <a:effectLst/>
      </xdr:spPr>
      <xdr:txBody>
        <a:bodyPr vertOverflow="clip" horzOverflow="clip" rtlCol="0" anchor="ctr"/>
        <a:lstStyle/>
        <a:p>
          <a:pPr marL="0" marR="0" lvl="0" indent="0" algn="r" defTabSz="914400" eaLnBrk="1" fontAlgn="auto" latinLnBrk="0" hangingPunct="1">
            <a:lnSpc>
              <a:spcPct val="100000"/>
            </a:lnSpc>
            <a:spcBef>
              <a:spcPts val="0"/>
            </a:spcBef>
            <a:spcAft>
              <a:spcPts val="0"/>
            </a:spcAft>
            <a:buClrTx/>
            <a:buSzTx/>
            <a:buFontTx/>
            <a:buNone/>
            <a:tabLst/>
            <a:defRPr/>
          </a:pPr>
          <a:r>
            <a:rPr kumimoji="0" lang="en-US" sz="18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Average process time for selected process obtained from literature</a:t>
          </a:r>
        </a:p>
      </xdr:txBody>
    </xdr:sp>
    <xdr:clientData/>
  </xdr:twoCellAnchor>
  <xdr:twoCellAnchor>
    <xdr:from>
      <xdr:col>4</xdr:col>
      <xdr:colOff>1342089</xdr:colOff>
      <xdr:row>69</xdr:row>
      <xdr:rowOff>76208</xdr:rowOff>
    </xdr:from>
    <xdr:to>
      <xdr:col>6</xdr:col>
      <xdr:colOff>871997</xdr:colOff>
      <xdr:row>71</xdr:row>
      <xdr:rowOff>177808</xdr:rowOff>
    </xdr:to>
    <xdr:sp macro="" textlink="">
      <xdr:nvSpPr>
        <xdr:cNvPr id="96" name="Rounded Rectangle 95">
          <a:extLst>
            <a:ext uri="{FF2B5EF4-FFF2-40B4-BE49-F238E27FC236}">
              <a16:creationId xmlns:a16="http://schemas.microsoft.com/office/drawing/2014/main" id="{F721B6DD-D70A-7242-BDD4-257D706BDBB9}"/>
            </a:ext>
          </a:extLst>
        </xdr:cNvPr>
        <xdr:cNvSpPr/>
      </xdr:nvSpPr>
      <xdr:spPr>
        <a:xfrm>
          <a:off x="11489389" y="18783308"/>
          <a:ext cx="4152708" cy="609600"/>
        </a:xfrm>
        <a:prstGeom prst="roundRect">
          <a:avLst>
            <a:gd name="adj" fmla="val 30087"/>
          </a:avLst>
        </a:prstGeom>
        <a:noFill/>
        <a:ln w="25400" cap="flat" cmpd="sng" algn="ctr">
          <a:solidFill>
            <a:schemeClr val="accent5">
              <a:lumMod val="75000"/>
            </a:schemeClr>
          </a:solidFill>
          <a:prstDash val="solid"/>
        </a:ln>
        <a:effectLst/>
      </xdr:spPr>
      <xdr:txBody>
        <a:bodyPr vertOverflow="clip" horzOverflow="clip" rtlCol="0" anchor="ctr"/>
        <a:lstStyle/>
        <a:p>
          <a:pPr marL="0" marR="0" lvl="0" indent="0" algn="r" defTabSz="914400" eaLnBrk="1" fontAlgn="auto" latinLnBrk="0" hangingPunct="1">
            <a:lnSpc>
              <a:spcPct val="100000"/>
            </a:lnSpc>
            <a:spcBef>
              <a:spcPts val="0"/>
            </a:spcBef>
            <a:spcAft>
              <a:spcPts val="0"/>
            </a:spcAft>
            <a:buClrTx/>
            <a:buSzTx/>
            <a:buFontTx/>
            <a:buNone/>
            <a:tabLst/>
            <a:defRPr/>
          </a:pPr>
          <a:r>
            <a:rPr lang="en-US" sz="1400" b="1" i="0" u="none" strike="noStrike">
              <a:effectLst/>
              <a:latin typeface="+mn-lt"/>
              <a:ea typeface="+mn-ea"/>
              <a:cs typeface="+mn-cs"/>
            </a:rPr>
            <a:t>kW/kg</a:t>
          </a:r>
          <a:r>
            <a:rPr lang="en-US" sz="1400" b="1" i="0" u="none" strike="noStrike" baseline="0">
              <a:effectLst/>
              <a:latin typeface="+mn-lt"/>
              <a:ea typeface="+mn-ea"/>
              <a:cs typeface="+mn-cs"/>
            </a:rPr>
            <a:t> </a:t>
          </a:r>
          <a:r>
            <a:rPr lang="en-US" sz="1400" b="1" i="0" u="none" strike="noStrike">
              <a:effectLst/>
              <a:latin typeface="+mn-lt"/>
              <a:ea typeface="+mn-ea"/>
              <a:cs typeface="+mn-cs"/>
            </a:rPr>
            <a:t>Value obtained</a:t>
          </a:r>
          <a:r>
            <a:rPr lang="en-US" sz="1400" b="1" i="0" u="none" strike="noStrike" baseline="0">
              <a:effectLst/>
              <a:latin typeface="+mn-lt"/>
              <a:ea typeface="+mn-ea"/>
              <a:cs typeface="+mn-cs"/>
            </a:rPr>
            <a:t> </a:t>
          </a:r>
          <a:r>
            <a:rPr lang="en-US" sz="1400" b="1" i="0" u="none" strike="noStrike">
              <a:effectLst/>
              <a:latin typeface="+mn-lt"/>
              <a:ea typeface="+mn-ea"/>
              <a:cs typeface="+mn-cs"/>
            </a:rPr>
            <a:t>based on literature</a:t>
          </a:r>
          <a:r>
            <a:rPr lang="en-US" sz="1800" b="1"/>
            <a:t> </a:t>
          </a:r>
          <a:endParaRPr kumimoji="0" lang="en-US" sz="18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endParaRPr>
        </a:p>
      </xdr:txBody>
    </xdr:sp>
    <xdr:clientData/>
  </xdr:twoCellAnchor>
  <xdr:twoCellAnchor>
    <xdr:from>
      <xdr:col>4</xdr:col>
      <xdr:colOff>872096</xdr:colOff>
      <xdr:row>94</xdr:row>
      <xdr:rowOff>120890</xdr:rowOff>
    </xdr:from>
    <xdr:to>
      <xdr:col>7</xdr:col>
      <xdr:colOff>227016</xdr:colOff>
      <xdr:row>98</xdr:row>
      <xdr:rowOff>254261</xdr:rowOff>
    </xdr:to>
    <xdr:sp macro="" textlink="">
      <xdr:nvSpPr>
        <xdr:cNvPr id="97" name="Rounded Rectangle 96">
          <a:extLst>
            <a:ext uri="{FF2B5EF4-FFF2-40B4-BE49-F238E27FC236}">
              <a16:creationId xmlns:a16="http://schemas.microsoft.com/office/drawing/2014/main" id="{533005CA-8099-6B4B-A0CE-DE484F975059}"/>
            </a:ext>
          </a:extLst>
        </xdr:cNvPr>
        <xdr:cNvSpPr/>
      </xdr:nvSpPr>
      <xdr:spPr>
        <a:xfrm>
          <a:off x="11019396" y="25025590"/>
          <a:ext cx="6314520" cy="1162071"/>
        </a:xfrm>
        <a:prstGeom prst="roundRect">
          <a:avLst>
            <a:gd name="adj" fmla="val 30087"/>
          </a:avLst>
        </a:prstGeom>
        <a:noFill/>
        <a:ln w="25400" cap="flat" cmpd="sng" algn="ctr">
          <a:solidFill>
            <a:schemeClr val="accent5">
              <a:lumMod val="75000"/>
            </a:schemeClr>
          </a:solidFill>
          <a:prstDash val="solid"/>
        </a:ln>
        <a:effectLst/>
      </xdr:spPr>
      <xdr:txBody>
        <a:bodyPr vertOverflow="clip" horzOverflow="clip" rtlCol="0" anchor="ctr"/>
        <a:lstStyle/>
        <a:p>
          <a:pPr marL="0" marR="0" lvl="0" indent="0" algn="r" defTabSz="914400" eaLnBrk="1" fontAlgn="auto" latinLnBrk="0" hangingPunct="1">
            <a:lnSpc>
              <a:spcPct val="100000"/>
            </a:lnSpc>
            <a:spcBef>
              <a:spcPts val="0"/>
            </a:spcBef>
            <a:spcAft>
              <a:spcPts val="0"/>
            </a:spcAft>
            <a:buClrTx/>
            <a:buSzTx/>
            <a:buFontTx/>
            <a:buNone/>
            <a:tabLst/>
            <a:defRPr/>
          </a:pPr>
          <a:endParaRPr lang="en-US" sz="1400" b="0" i="0" u="none" strike="noStrike">
            <a:effectLst/>
            <a:latin typeface="+mn-lt"/>
            <a:ea typeface="+mn-ea"/>
            <a:cs typeface="+mn-cs"/>
          </a:endParaRPr>
        </a:p>
        <a:p>
          <a:pPr marL="0" marR="0" lvl="0" indent="0" algn="r" defTabSz="914400" eaLnBrk="1" fontAlgn="auto" latinLnBrk="0" hangingPunct="1">
            <a:lnSpc>
              <a:spcPct val="100000"/>
            </a:lnSpc>
            <a:spcBef>
              <a:spcPts val="0"/>
            </a:spcBef>
            <a:spcAft>
              <a:spcPts val="0"/>
            </a:spcAft>
            <a:buClrTx/>
            <a:buSzTx/>
            <a:buFontTx/>
            <a:buNone/>
            <a:tabLst/>
            <a:defRPr/>
          </a:pPr>
          <a:r>
            <a:rPr lang="en-US" sz="1400" b="0" i="0" u="none" strike="noStrike">
              <a:effectLst/>
              <a:latin typeface="+mn-lt"/>
              <a:ea typeface="+mn-ea"/>
              <a:cs typeface="+mn-cs"/>
            </a:rPr>
            <a:t>As we</a:t>
          </a:r>
          <a:r>
            <a:rPr lang="en-US" sz="1400" b="0" i="0" u="none" strike="noStrike" baseline="0">
              <a:effectLst/>
              <a:latin typeface="+mn-lt"/>
              <a:ea typeface="+mn-ea"/>
              <a:cs typeface="+mn-cs"/>
            </a:rPr>
            <a:t> calculated energy per kg of material process, we are keeping the eqipment volume to accomodate 1L with 80% utilization volume, which requires total volume</a:t>
          </a:r>
        </a:p>
      </xdr:txBody>
    </xdr:sp>
    <xdr:clientData/>
  </xdr:twoCellAnchor>
  <xdr:twoCellAnchor>
    <xdr:from>
      <xdr:col>20</xdr:col>
      <xdr:colOff>660400</xdr:colOff>
      <xdr:row>19</xdr:row>
      <xdr:rowOff>237067</xdr:rowOff>
    </xdr:from>
    <xdr:to>
      <xdr:col>23</xdr:col>
      <xdr:colOff>769119</xdr:colOff>
      <xdr:row>23</xdr:row>
      <xdr:rowOff>101731</xdr:rowOff>
    </xdr:to>
    <xdr:sp macro="" textlink="">
      <xdr:nvSpPr>
        <xdr:cNvPr id="98" name="Rounded Rectangle 97">
          <a:extLst>
            <a:ext uri="{FF2B5EF4-FFF2-40B4-BE49-F238E27FC236}">
              <a16:creationId xmlns:a16="http://schemas.microsoft.com/office/drawing/2014/main" id="{7823A1E7-F334-C540-AE38-1AB242B30F13}"/>
            </a:ext>
          </a:extLst>
        </xdr:cNvPr>
        <xdr:cNvSpPr/>
      </xdr:nvSpPr>
      <xdr:spPr>
        <a:xfrm>
          <a:off x="30988000" y="5342467"/>
          <a:ext cx="2864619" cy="880664"/>
        </a:xfrm>
        <a:prstGeom prst="roundRect">
          <a:avLst/>
        </a:prstGeom>
        <a:solidFill>
          <a:schemeClr val="accent5">
            <a:lumMod val="40000"/>
            <a:lumOff val="60000"/>
          </a:scheme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Note: Unitilized volume is 80% of the total volume of the equipment</a:t>
          </a:r>
        </a:p>
      </xdr:txBody>
    </xdr:sp>
    <xdr:clientData/>
  </xdr:twoCellAnchor>
  <xdr:twoCellAnchor editAs="oneCell">
    <xdr:from>
      <xdr:col>5</xdr:col>
      <xdr:colOff>1322685</xdr:colOff>
      <xdr:row>34</xdr:row>
      <xdr:rowOff>117193</xdr:rowOff>
    </xdr:from>
    <xdr:to>
      <xdr:col>10</xdr:col>
      <xdr:colOff>519943</xdr:colOff>
      <xdr:row>60</xdr:row>
      <xdr:rowOff>146730</xdr:rowOff>
    </xdr:to>
    <xdr:pic>
      <xdr:nvPicPr>
        <xdr:cNvPr id="99" name="Picture 98">
          <a:extLst>
            <a:ext uri="{FF2B5EF4-FFF2-40B4-BE49-F238E27FC236}">
              <a16:creationId xmlns:a16="http://schemas.microsoft.com/office/drawing/2014/main" id="{EAE607A2-4881-FA43-B7FC-45A4EE46629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3781385" y="9311993"/>
          <a:ext cx="6461658" cy="71161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2</xdr:col>
      <xdr:colOff>888320</xdr:colOff>
      <xdr:row>12</xdr:row>
      <xdr:rowOff>96539</xdr:rowOff>
    </xdr:from>
    <xdr:to>
      <xdr:col>3</xdr:col>
      <xdr:colOff>1731513</xdr:colOff>
      <xdr:row>14</xdr:row>
      <xdr:rowOff>126369</xdr:rowOff>
    </xdr:to>
    <xdr:sp macro="" textlink="">
      <xdr:nvSpPr>
        <xdr:cNvPr id="2" name="Rounded Rectangle 1">
          <a:extLst>
            <a:ext uri="{FF2B5EF4-FFF2-40B4-BE49-F238E27FC236}">
              <a16:creationId xmlns:a16="http://schemas.microsoft.com/office/drawing/2014/main" id="{0BA061D0-3E5C-5846-9270-A7ECA70AE755}"/>
            </a:ext>
          </a:extLst>
        </xdr:cNvPr>
        <xdr:cNvSpPr/>
      </xdr:nvSpPr>
      <xdr:spPr>
        <a:xfrm>
          <a:off x="6654120" y="3220739"/>
          <a:ext cx="2913293" cy="664830"/>
        </a:xfrm>
        <a:prstGeom prst="roundRect">
          <a:avLst>
            <a:gd name="adj" fmla="val 46754"/>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&lt; Enter Process Name</a:t>
          </a:r>
        </a:p>
      </xdr:txBody>
    </xdr:sp>
    <xdr:clientData/>
  </xdr:twoCellAnchor>
  <xdr:twoCellAnchor>
    <xdr:from>
      <xdr:col>0</xdr:col>
      <xdr:colOff>272199</xdr:colOff>
      <xdr:row>0</xdr:row>
      <xdr:rowOff>2</xdr:rowOff>
    </xdr:from>
    <xdr:to>
      <xdr:col>14</xdr:col>
      <xdr:colOff>12701</xdr:colOff>
      <xdr:row>4</xdr:row>
      <xdr:rowOff>0</xdr:rowOff>
    </xdr:to>
    <xdr:sp macro="" textlink="">
      <xdr:nvSpPr>
        <xdr:cNvPr id="3" name="Title">
          <a:extLst>
            <a:ext uri="{FF2B5EF4-FFF2-40B4-BE49-F238E27FC236}">
              <a16:creationId xmlns:a16="http://schemas.microsoft.com/office/drawing/2014/main" id="{97A247C8-194E-DE48-AF46-621649BC2D92}"/>
            </a:ext>
          </a:extLst>
        </xdr:cNvPr>
        <xdr:cNvSpPr/>
      </xdr:nvSpPr>
      <xdr:spPr>
        <a:xfrm>
          <a:off x="272199" y="2"/>
          <a:ext cx="22765602" cy="1092198"/>
        </a:xfrm>
        <a:prstGeom prst="rect">
          <a:avLst/>
        </a:prstGeom>
        <a:solidFill>
          <a:srgbClr val="004F4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4000"/>
        </a:p>
      </xdr:txBody>
    </xdr:sp>
    <xdr:clientData/>
  </xdr:twoCellAnchor>
  <xdr:twoCellAnchor>
    <xdr:from>
      <xdr:col>0</xdr:col>
      <xdr:colOff>0</xdr:colOff>
      <xdr:row>0</xdr:row>
      <xdr:rowOff>0</xdr:rowOff>
    </xdr:from>
    <xdr:to>
      <xdr:col>0</xdr:col>
      <xdr:colOff>304800</xdr:colOff>
      <xdr:row>4</xdr:row>
      <xdr:rowOff>0</xdr:rowOff>
    </xdr:to>
    <xdr:sp macro="" textlink="">
      <xdr:nvSpPr>
        <xdr:cNvPr id="4" name="_Yellow">
          <a:extLst>
            <a:ext uri="{FF2B5EF4-FFF2-40B4-BE49-F238E27FC236}">
              <a16:creationId xmlns:a16="http://schemas.microsoft.com/office/drawing/2014/main" id="{0C338968-F974-2043-8F2D-7C65D4BC958C}"/>
            </a:ext>
          </a:extLst>
        </xdr:cNvPr>
        <xdr:cNvSpPr/>
      </xdr:nvSpPr>
      <xdr:spPr>
        <a:xfrm>
          <a:off x="0" y="0"/>
          <a:ext cx="304800" cy="1092200"/>
        </a:xfrm>
        <a:prstGeom prst="rect">
          <a:avLst/>
        </a:prstGeom>
        <a:solidFill>
          <a:srgbClr val="FFCD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editAs="oneCell">
    <xdr:from>
      <xdr:col>12</xdr:col>
      <xdr:colOff>429694</xdr:colOff>
      <xdr:row>0</xdr:row>
      <xdr:rowOff>0</xdr:rowOff>
    </xdr:from>
    <xdr:to>
      <xdr:col>14</xdr:col>
      <xdr:colOff>32784</xdr:colOff>
      <xdr:row>4</xdr:row>
      <xdr:rowOff>54738</xdr:rowOff>
    </xdr:to>
    <xdr:pic>
      <xdr:nvPicPr>
        <xdr:cNvPr id="5" name="Clarkson Logo" descr="A logo with white text and black background&#10;&#10;Description automatically generated">
          <a:extLst>
            <a:ext uri="{FF2B5EF4-FFF2-40B4-BE49-F238E27FC236}">
              <a16:creationId xmlns:a16="http://schemas.microsoft.com/office/drawing/2014/main" id="{A9DE9416-1CFE-354D-8E41-6A94AAEF8393}"/>
            </a:ext>
          </a:extLst>
        </xdr:cNvPr>
        <xdr:cNvPicPr>
          <a:picLocks noChangeAspect="1"/>
        </xdr:cNvPicPr>
      </xdr:nvPicPr>
      <xdr:blipFill>
        <a:blip xmlns:r="http://schemas.openxmlformats.org/officeDocument/2006/relationships" r:embed="rId1">
          <a:alphaModFix amt="50000"/>
        </a:blip>
        <a:stretch>
          <a:fillRect/>
        </a:stretch>
      </xdr:blipFill>
      <xdr:spPr>
        <a:xfrm>
          <a:off x="21803794" y="0"/>
          <a:ext cx="1254090" cy="1146938"/>
        </a:xfrm>
        <a:prstGeom prst="rect">
          <a:avLst/>
        </a:prstGeom>
      </xdr:spPr>
    </xdr:pic>
    <xdr:clientData/>
  </xdr:twoCellAnchor>
  <xdr:twoCellAnchor>
    <xdr:from>
      <xdr:col>0</xdr:col>
      <xdr:colOff>490909</xdr:colOff>
      <xdr:row>0</xdr:row>
      <xdr:rowOff>189722</xdr:rowOff>
    </xdr:from>
    <xdr:to>
      <xdr:col>13</xdr:col>
      <xdr:colOff>479581</xdr:colOff>
      <xdr:row>3</xdr:row>
      <xdr:rowOff>168759</xdr:rowOff>
    </xdr:to>
    <xdr:sp macro="" textlink="">
      <xdr:nvSpPr>
        <xdr:cNvPr id="6" name="CO2 eq Framework">
          <a:extLst>
            <a:ext uri="{FF2B5EF4-FFF2-40B4-BE49-F238E27FC236}">
              <a16:creationId xmlns:a16="http://schemas.microsoft.com/office/drawing/2014/main" id="{91FC213C-5127-9049-A3E0-0FA70E1AE4FD}"/>
            </a:ext>
          </a:extLst>
        </xdr:cNvPr>
        <xdr:cNvSpPr txBox="1"/>
      </xdr:nvSpPr>
      <xdr:spPr>
        <a:xfrm>
          <a:off x="490909" y="189722"/>
          <a:ext cx="22188272" cy="741037"/>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4400">
              <a:solidFill>
                <a:schemeClr val="bg1"/>
              </a:solidFill>
              <a:latin typeface="Arial" panose="020B0604020202020204" pitchFamily="34" charset="0"/>
              <a:cs typeface="Arial" panose="020B0604020202020204" pitchFamily="34" charset="0"/>
            </a:rPr>
            <a:t>Ceria Particle Synthesis Inventory Data Entry</a:t>
          </a:r>
        </a:p>
      </xdr:txBody>
    </xdr:sp>
    <xdr:clientData/>
  </xdr:twoCellAnchor>
  <xdr:twoCellAnchor>
    <xdr:from>
      <xdr:col>0</xdr:col>
      <xdr:colOff>53287</xdr:colOff>
      <xdr:row>8</xdr:row>
      <xdr:rowOff>146094</xdr:rowOff>
    </xdr:from>
    <xdr:to>
      <xdr:col>3</xdr:col>
      <xdr:colOff>1110140</xdr:colOff>
      <xdr:row>11</xdr:row>
      <xdr:rowOff>228600</xdr:rowOff>
    </xdr:to>
    <xdr:sp macro="" textlink="">
      <xdr:nvSpPr>
        <xdr:cNvPr id="7" name="Rounded Rectangle 6">
          <a:extLst>
            <a:ext uri="{FF2B5EF4-FFF2-40B4-BE49-F238E27FC236}">
              <a16:creationId xmlns:a16="http://schemas.microsoft.com/office/drawing/2014/main" id="{3CCB6DFD-2AFF-1643-88C3-65A0D2C44EAD}"/>
            </a:ext>
          </a:extLst>
        </xdr:cNvPr>
        <xdr:cNvSpPr/>
      </xdr:nvSpPr>
      <xdr:spPr>
        <a:xfrm>
          <a:off x="53287" y="2254294"/>
          <a:ext cx="8892753" cy="844506"/>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Process Information</a:t>
          </a:r>
        </a:p>
      </xdr:txBody>
    </xdr:sp>
    <xdr:clientData/>
  </xdr:twoCellAnchor>
  <xdr:twoCellAnchor>
    <xdr:from>
      <xdr:col>0</xdr:col>
      <xdr:colOff>110321</xdr:colOff>
      <xdr:row>4</xdr:row>
      <xdr:rowOff>97691</xdr:rowOff>
    </xdr:from>
    <xdr:to>
      <xdr:col>0</xdr:col>
      <xdr:colOff>2944702</xdr:colOff>
      <xdr:row>6</xdr:row>
      <xdr:rowOff>108260</xdr:rowOff>
    </xdr:to>
    <xdr:sp macro="" textlink="">
      <xdr:nvSpPr>
        <xdr:cNvPr id="8" name="Rounded Rectangle 7" descr="Navigation button for Start worksheet">
          <a:hlinkClick xmlns:r="http://schemas.openxmlformats.org/officeDocument/2006/relationships" r:id="rId2"/>
          <a:extLst>
            <a:ext uri="{FF2B5EF4-FFF2-40B4-BE49-F238E27FC236}">
              <a16:creationId xmlns:a16="http://schemas.microsoft.com/office/drawing/2014/main" id="{DFC70206-E305-9E47-99F2-9A51602C9C10}"/>
            </a:ext>
          </a:extLst>
        </xdr:cNvPr>
        <xdr:cNvSpPr/>
      </xdr:nvSpPr>
      <xdr:spPr>
        <a:xfrm>
          <a:off x="110321" y="1189891"/>
          <a:ext cx="2834381" cy="518569"/>
        </a:xfrm>
        <a:prstGeom prst="roundRect">
          <a:avLst>
            <a:gd name="adj" fmla="val 5000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&lt; Start</a:t>
          </a:r>
        </a:p>
      </xdr:txBody>
    </xdr:sp>
    <xdr:clientData/>
  </xdr:twoCellAnchor>
  <xdr:twoCellAnchor>
    <xdr:from>
      <xdr:col>10</xdr:col>
      <xdr:colOff>586612</xdr:colOff>
      <xdr:row>4</xdr:row>
      <xdr:rowOff>130445</xdr:rowOff>
    </xdr:from>
    <xdr:to>
      <xdr:col>13</xdr:col>
      <xdr:colOff>763080</xdr:colOff>
      <xdr:row>6</xdr:row>
      <xdr:rowOff>141014</xdr:rowOff>
    </xdr:to>
    <xdr:sp macro="" textlink="">
      <xdr:nvSpPr>
        <xdr:cNvPr id="9" name="Rounded Rectangle 8" descr="Navigation button for Inventory pick list worksheet">
          <a:hlinkClick xmlns:r="http://schemas.openxmlformats.org/officeDocument/2006/relationships" r:id="rId3"/>
          <a:extLst>
            <a:ext uri="{FF2B5EF4-FFF2-40B4-BE49-F238E27FC236}">
              <a16:creationId xmlns:a16="http://schemas.microsoft.com/office/drawing/2014/main" id="{6E642140-9790-F14F-9F69-AC9A7AAD34B9}"/>
            </a:ext>
          </a:extLst>
        </xdr:cNvPr>
        <xdr:cNvSpPr/>
      </xdr:nvSpPr>
      <xdr:spPr>
        <a:xfrm>
          <a:off x="20309712" y="1222645"/>
          <a:ext cx="2652968" cy="518569"/>
        </a:xfrm>
        <a:prstGeom prst="roundRect">
          <a:avLst>
            <a:gd name="adj" fmla="val 5000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Process Overview</a:t>
          </a:r>
        </a:p>
      </xdr:txBody>
    </xdr:sp>
    <xdr:clientData/>
  </xdr:twoCellAnchor>
  <xdr:twoCellAnchor>
    <xdr:from>
      <xdr:col>0</xdr:col>
      <xdr:colOff>53287</xdr:colOff>
      <xdr:row>15</xdr:row>
      <xdr:rowOff>262608</xdr:rowOff>
    </xdr:from>
    <xdr:to>
      <xdr:col>2</xdr:col>
      <xdr:colOff>1223395</xdr:colOff>
      <xdr:row>19</xdr:row>
      <xdr:rowOff>3612</xdr:rowOff>
    </xdr:to>
    <xdr:sp macro="" textlink="">
      <xdr:nvSpPr>
        <xdr:cNvPr id="10" name="Rounded Rectangle 9">
          <a:extLst>
            <a:ext uri="{FF2B5EF4-FFF2-40B4-BE49-F238E27FC236}">
              <a16:creationId xmlns:a16="http://schemas.microsoft.com/office/drawing/2014/main" id="{3A51CE90-9E55-094C-858C-7E4EC34BBA07}"/>
            </a:ext>
          </a:extLst>
        </xdr:cNvPr>
        <xdr:cNvSpPr/>
      </xdr:nvSpPr>
      <xdr:spPr>
        <a:xfrm>
          <a:off x="53287" y="4263108"/>
          <a:ext cx="6935908" cy="845904"/>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20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Input Materials</a:t>
          </a:r>
        </a:p>
      </xdr:txBody>
    </xdr:sp>
    <xdr:clientData/>
  </xdr:twoCellAnchor>
  <xdr:twoCellAnchor>
    <xdr:from>
      <xdr:col>0</xdr:col>
      <xdr:colOff>53287</xdr:colOff>
      <xdr:row>19</xdr:row>
      <xdr:rowOff>138636</xdr:rowOff>
    </xdr:from>
    <xdr:to>
      <xdr:col>1</xdr:col>
      <xdr:colOff>1584588</xdr:colOff>
      <xdr:row>22</xdr:row>
      <xdr:rowOff>203199</xdr:rowOff>
    </xdr:to>
    <xdr:sp macro="" textlink="">
      <xdr:nvSpPr>
        <xdr:cNvPr id="11" name="Rounded Rectangle 10">
          <a:hlinkClick xmlns:r="http://schemas.openxmlformats.org/officeDocument/2006/relationships" r:id="rId4"/>
          <a:extLst>
            <a:ext uri="{FF2B5EF4-FFF2-40B4-BE49-F238E27FC236}">
              <a16:creationId xmlns:a16="http://schemas.microsoft.com/office/drawing/2014/main" id="{3031674D-8C01-AB42-B210-3AAA4E3A6E0B}"/>
            </a:ext>
          </a:extLst>
        </xdr:cNvPr>
        <xdr:cNvSpPr/>
      </xdr:nvSpPr>
      <xdr:spPr>
        <a:xfrm>
          <a:off x="53287" y="5244036"/>
          <a:ext cx="5201601" cy="826563"/>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1.1 Precursor Materials(Click here add additional chemicals)</a:t>
          </a:r>
        </a:p>
      </xdr:txBody>
    </xdr:sp>
    <xdr:clientData/>
  </xdr:twoCellAnchor>
  <xdr:twoCellAnchor>
    <xdr:from>
      <xdr:col>2</xdr:col>
      <xdr:colOff>1582625</xdr:colOff>
      <xdr:row>22</xdr:row>
      <xdr:rowOff>254117</xdr:rowOff>
    </xdr:from>
    <xdr:to>
      <xdr:col>4</xdr:col>
      <xdr:colOff>114418</xdr:colOff>
      <xdr:row>26</xdr:row>
      <xdr:rowOff>141797</xdr:rowOff>
    </xdr:to>
    <xdr:sp macro="" textlink="">
      <xdr:nvSpPr>
        <xdr:cNvPr id="12" name="Rounded Rectangle 11">
          <a:extLst>
            <a:ext uri="{FF2B5EF4-FFF2-40B4-BE49-F238E27FC236}">
              <a16:creationId xmlns:a16="http://schemas.microsoft.com/office/drawing/2014/main" id="{0E5C6E58-5371-8E4E-883D-1F17D5EFD948}"/>
            </a:ext>
          </a:extLst>
        </xdr:cNvPr>
        <xdr:cNvSpPr/>
      </xdr:nvSpPr>
      <xdr:spPr>
        <a:xfrm>
          <a:off x="7348425" y="6121517"/>
          <a:ext cx="2913293" cy="903680"/>
        </a:xfrm>
        <a:prstGeom prst="roundRect">
          <a:avLst>
            <a:gd name="adj" fmla="val 46754"/>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Enter Amount of Precursor Used in this process </a:t>
          </a:r>
          <a:r>
            <a:rPr lang="en-US" sz="1400" b="0" i="0" u="none" strike="noStrike">
              <a:effectLst/>
              <a:latin typeface="Arial" panose="020B0604020202020204" pitchFamily="34" charset="0"/>
              <a:ea typeface="+mn-ea"/>
              <a:cs typeface="Arial" panose="020B0604020202020204" pitchFamily="34" charset="0"/>
            </a:rPr>
            <a:t>↓</a:t>
          </a:r>
          <a:endPar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endParaRPr>
        </a:p>
      </xdr:txBody>
    </xdr:sp>
    <xdr:clientData/>
  </xdr:twoCellAnchor>
  <xdr:twoCellAnchor>
    <xdr:from>
      <xdr:col>7</xdr:col>
      <xdr:colOff>187538</xdr:colOff>
      <xdr:row>27</xdr:row>
      <xdr:rowOff>37947</xdr:rowOff>
    </xdr:from>
    <xdr:to>
      <xdr:col>10</xdr:col>
      <xdr:colOff>517339</xdr:colOff>
      <xdr:row>29</xdr:row>
      <xdr:rowOff>204822</xdr:rowOff>
    </xdr:to>
    <xdr:sp macro="" textlink="">
      <xdr:nvSpPr>
        <xdr:cNvPr id="13" name="Rounded Rectangle 12">
          <a:hlinkClick xmlns:r="http://schemas.openxmlformats.org/officeDocument/2006/relationships" r:id="rId4"/>
          <a:extLst>
            <a:ext uri="{FF2B5EF4-FFF2-40B4-BE49-F238E27FC236}">
              <a16:creationId xmlns:a16="http://schemas.microsoft.com/office/drawing/2014/main" id="{66E34C70-D96C-A34A-9A9E-F699AE4689FD}"/>
            </a:ext>
          </a:extLst>
        </xdr:cNvPr>
        <xdr:cNvSpPr/>
      </xdr:nvSpPr>
      <xdr:spPr>
        <a:xfrm>
          <a:off x="17294438" y="7175347"/>
          <a:ext cx="2946001" cy="954275"/>
        </a:xfrm>
        <a:prstGeom prst="roundRect">
          <a:avLst>
            <a:gd name="adj" fmla="val 24141"/>
          </a:avLst>
        </a:prstGeom>
        <a:solidFill>
          <a:schemeClr val="accent5">
            <a:lumMod val="40000"/>
            <a:lumOff val="60000"/>
          </a:scheme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Theoretical Amount of Product obtained is calcuated based on Molar mass and ratios</a:t>
          </a:r>
        </a:p>
      </xdr:txBody>
    </xdr:sp>
    <xdr:clientData/>
  </xdr:twoCellAnchor>
  <xdr:twoCellAnchor>
    <xdr:from>
      <xdr:col>0</xdr:col>
      <xdr:colOff>53287</xdr:colOff>
      <xdr:row>31</xdr:row>
      <xdr:rowOff>240237</xdr:rowOff>
    </xdr:from>
    <xdr:to>
      <xdr:col>0</xdr:col>
      <xdr:colOff>2870200</xdr:colOff>
      <xdr:row>34</xdr:row>
      <xdr:rowOff>12817</xdr:rowOff>
    </xdr:to>
    <xdr:sp macro="" textlink="">
      <xdr:nvSpPr>
        <xdr:cNvPr id="14" name="Rounded Rectangle 13">
          <a:extLst>
            <a:ext uri="{FF2B5EF4-FFF2-40B4-BE49-F238E27FC236}">
              <a16:creationId xmlns:a16="http://schemas.microsoft.com/office/drawing/2014/main" id="{BD180F05-6168-5D47-8173-295EDAC35C5D}"/>
            </a:ext>
          </a:extLst>
        </xdr:cNvPr>
        <xdr:cNvSpPr/>
      </xdr:nvSpPr>
      <xdr:spPr>
        <a:xfrm>
          <a:off x="53287" y="8673037"/>
          <a:ext cx="2816913" cy="534580"/>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1.2 Solvents</a:t>
          </a:r>
        </a:p>
      </xdr:txBody>
    </xdr:sp>
    <xdr:clientData/>
  </xdr:twoCellAnchor>
  <xdr:twoCellAnchor>
    <xdr:from>
      <xdr:col>2</xdr:col>
      <xdr:colOff>387723</xdr:colOff>
      <xdr:row>12</xdr:row>
      <xdr:rowOff>228600</xdr:rowOff>
    </xdr:from>
    <xdr:to>
      <xdr:col>2</xdr:col>
      <xdr:colOff>976939</xdr:colOff>
      <xdr:row>14</xdr:row>
      <xdr:rowOff>46736</xdr:rowOff>
    </xdr:to>
    <xdr:sp macro="" textlink="">
      <xdr:nvSpPr>
        <xdr:cNvPr id="15" name="Text Placeholder 1248">
          <a:extLst>
            <a:ext uri="{FF2B5EF4-FFF2-40B4-BE49-F238E27FC236}">
              <a16:creationId xmlns:a16="http://schemas.microsoft.com/office/drawing/2014/main" id="{BA4DB243-3AEF-9E41-87DD-C779BB1C6EAB}"/>
            </a:ext>
          </a:extLst>
        </xdr:cNvPr>
        <xdr:cNvSpPr>
          <a:spLocks noGrp="1"/>
        </xdr:cNvSpPr>
      </xdr:nvSpPr>
      <xdr:spPr>
        <a:xfrm>
          <a:off x="6153523" y="3352800"/>
          <a:ext cx="589216" cy="453136"/>
        </a:xfrm>
        <a:prstGeom prst="ellipse">
          <a:avLst/>
        </a:prstGeom>
        <a:solidFill>
          <a:srgbClr val="FFC000">
            <a:lumMod val="60000"/>
            <a:lumOff val="40000"/>
          </a:srgbClr>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r>
            <a:rPr lang="en-US">
              <a:latin typeface="Arial" panose="020B0604020202020204" pitchFamily="34" charset="0"/>
              <a:cs typeface="Arial" panose="020B0604020202020204" pitchFamily="34" charset="0"/>
            </a:rPr>
            <a:t>1</a:t>
          </a:r>
        </a:p>
      </xdr:txBody>
    </xdr:sp>
    <xdr:clientData/>
  </xdr:twoCellAnchor>
  <xdr:twoCellAnchor>
    <xdr:from>
      <xdr:col>4</xdr:col>
      <xdr:colOff>1995714</xdr:colOff>
      <xdr:row>7</xdr:row>
      <xdr:rowOff>165100</xdr:rowOff>
    </xdr:from>
    <xdr:to>
      <xdr:col>5</xdr:col>
      <xdr:colOff>262636</xdr:colOff>
      <xdr:row>9</xdr:row>
      <xdr:rowOff>237236</xdr:rowOff>
    </xdr:to>
    <xdr:sp macro="" textlink="">
      <xdr:nvSpPr>
        <xdr:cNvPr id="16" name="Text Placeholder 1248">
          <a:extLst>
            <a:ext uri="{FF2B5EF4-FFF2-40B4-BE49-F238E27FC236}">
              <a16:creationId xmlns:a16="http://schemas.microsoft.com/office/drawing/2014/main" id="{74812A36-5C31-0945-8FFE-B6366D922160}"/>
            </a:ext>
          </a:extLst>
        </xdr:cNvPr>
        <xdr:cNvSpPr>
          <a:spLocks noGrp="1"/>
        </xdr:cNvSpPr>
      </xdr:nvSpPr>
      <xdr:spPr>
        <a:xfrm>
          <a:off x="12143014" y="2019300"/>
          <a:ext cx="578322" cy="580136"/>
        </a:xfrm>
        <a:prstGeom prst="ellipse">
          <a:avLst/>
        </a:prstGeom>
        <a:solidFill>
          <a:srgbClr val="FFC000">
            <a:lumMod val="60000"/>
            <a:lumOff val="40000"/>
          </a:srgbClr>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r>
            <a:rPr lang="en-US"/>
            <a:t>#</a:t>
          </a:r>
        </a:p>
      </xdr:txBody>
    </xdr:sp>
    <xdr:clientData/>
  </xdr:twoCellAnchor>
  <xdr:twoCellAnchor>
    <xdr:from>
      <xdr:col>4</xdr:col>
      <xdr:colOff>1995714</xdr:colOff>
      <xdr:row>10</xdr:row>
      <xdr:rowOff>139700</xdr:rowOff>
    </xdr:from>
    <xdr:to>
      <xdr:col>5</xdr:col>
      <xdr:colOff>262636</xdr:colOff>
      <xdr:row>12</xdr:row>
      <xdr:rowOff>211836</xdr:rowOff>
    </xdr:to>
    <xdr:sp macro="" textlink="">
      <xdr:nvSpPr>
        <xdr:cNvPr id="17" name="Text Placeholder 1248">
          <a:extLst>
            <a:ext uri="{FF2B5EF4-FFF2-40B4-BE49-F238E27FC236}">
              <a16:creationId xmlns:a16="http://schemas.microsoft.com/office/drawing/2014/main" id="{F9F7C2D0-D3A0-2546-A2F5-136C7FA19755}"/>
            </a:ext>
          </a:extLst>
        </xdr:cNvPr>
        <xdr:cNvSpPr>
          <a:spLocks noGrp="1"/>
        </xdr:cNvSpPr>
      </xdr:nvSpPr>
      <xdr:spPr>
        <a:xfrm>
          <a:off x="12143014" y="2755900"/>
          <a:ext cx="578322" cy="580136"/>
        </a:xfrm>
        <a:prstGeom prst="ellipse">
          <a:avLst/>
        </a:prstGeom>
        <a:solidFill>
          <a:srgbClr val="60CCF3"/>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r>
            <a:rPr lang="en-US"/>
            <a:t>#</a:t>
          </a:r>
        </a:p>
      </xdr:txBody>
    </xdr:sp>
    <xdr:clientData/>
  </xdr:twoCellAnchor>
  <xdr:twoCellAnchor>
    <xdr:from>
      <xdr:col>5</xdr:col>
      <xdr:colOff>408887</xdr:colOff>
      <xdr:row>7</xdr:row>
      <xdr:rowOff>165100</xdr:rowOff>
    </xdr:from>
    <xdr:to>
      <xdr:col>6</xdr:col>
      <xdr:colOff>914400</xdr:colOff>
      <xdr:row>9</xdr:row>
      <xdr:rowOff>217080</xdr:rowOff>
    </xdr:to>
    <xdr:sp macro="" textlink="">
      <xdr:nvSpPr>
        <xdr:cNvPr id="18" name="Rounded Rectangle 17">
          <a:extLst>
            <a:ext uri="{FF2B5EF4-FFF2-40B4-BE49-F238E27FC236}">
              <a16:creationId xmlns:a16="http://schemas.microsoft.com/office/drawing/2014/main" id="{AF2528A9-9BFC-6E41-BC18-E3AFE3E17166}"/>
            </a:ext>
          </a:extLst>
        </xdr:cNvPr>
        <xdr:cNvSpPr/>
      </xdr:nvSpPr>
      <xdr:spPr>
        <a:xfrm>
          <a:off x="12867587" y="2019300"/>
          <a:ext cx="2816913" cy="559980"/>
        </a:xfrm>
        <a:prstGeom prst="roundRect">
          <a:avLst>
            <a:gd name="adj" fmla="val 43110"/>
          </a:avLst>
        </a:prstGeom>
        <a:solidFill>
          <a:srgbClr val="FFC000">
            <a:lumMod val="60000"/>
            <a:lumOff val="40000"/>
          </a:srgbClr>
        </a:solidFill>
        <a:ln w="44450">
          <a:solidFill>
            <a:sysClr val="windowText" lastClr="000000"/>
          </a:solidFill>
        </a:ln>
      </xdr:spPr>
      <xdr:txBody>
        <a:bodyPr vert="horz" wrap="square" lIns="0" tIns="0" rIns="0" bIns="0" rtlCol="0" anchor="ctr">
          <a:noAutofit/>
        </a:bodyPr>
        <a:lstStyle/>
        <a:p>
          <a:pPr marL="0" marR="0" lvl="0" indent="0" algn="ctr" defTabSz="914400" rtl="0" eaLnBrk="1" fontAlgn="auto" latinLnBrk="0" hangingPunct="1">
            <a:lnSpc>
              <a:spcPct val="100000"/>
            </a:lnSpc>
            <a:spcBef>
              <a:spcPts val="0"/>
            </a:spcBef>
            <a:spcAft>
              <a:spcPts val="0"/>
            </a:spcAft>
            <a:buClrTx/>
            <a:buSzTx/>
            <a:buFont typeface="Arial" panose="020B0604020202020204" pitchFamily="34" charset="0"/>
            <a:buNone/>
            <a:tabLst/>
            <a:defRPr/>
          </a:pPr>
          <a:r>
            <a:rPr lang="en-US" sz="2800" b="1" kern="1200">
              <a:ln w="0">
                <a:noFill/>
              </a:ln>
              <a:solidFill>
                <a:sysClr val="windowText" lastClr="000000"/>
              </a:solidFill>
              <a:latin typeface="Tw Cen MT"/>
              <a:ea typeface="+mn-ea"/>
              <a:cs typeface="+mn-cs"/>
            </a:rPr>
            <a:t>Required</a:t>
          </a:r>
        </a:p>
      </xdr:txBody>
    </xdr:sp>
    <xdr:clientData/>
  </xdr:twoCellAnchor>
  <xdr:twoCellAnchor>
    <xdr:from>
      <xdr:col>5</xdr:col>
      <xdr:colOff>408887</xdr:colOff>
      <xdr:row>10</xdr:row>
      <xdr:rowOff>190500</xdr:rowOff>
    </xdr:from>
    <xdr:to>
      <xdr:col>6</xdr:col>
      <xdr:colOff>914400</xdr:colOff>
      <xdr:row>12</xdr:row>
      <xdr:rowOff>242480</xdr:rowOff>
    </xdr:to>
    <xdr:sp macro="" textlink="">
      <xdr:nvSpPr>
        <xdr:cNvPr id="19" name="Rounded Rectangle 18">
          <a:extLst>
            <a:ext uri="{FF2B5EF4-FFF2-40B4-BE49-F238E27FC236}">
              <a16:creationId xmlns:a16="http://schemas.microsoft.com/office/drawing/2014/main" id="{D089618A-7ECF-DA49-9F98-4BA89D2D8C03}"/>
            </a:ext>
          </a:extLst>
        </xdr:cNvPr>
        <xdr:cNvSpPr/>
      </xdr:nvSpPr>
      <xdr:spPr>
        <a:xfrm>
          <a:off x="12867587" y="2806700"/>
          <a:ext cx="2816913" cy="559980"/>
        </a:xfrm>
        <a:prstGeom prst="roundRect">
          <a:avLst>
            <a:gd name="adj" fmla="val 43110"/>
          </a:avLst>
        </a:prstGeom>
        <a:solidFill>
          <a:srgbClr val="60CCF3"/>
        </a:solidFill>
        <a:ln w="44450">
          <a:solidFill>
            <a:sysClr val="windowText" lastClr="000000"/>
          </a:solidFill>
        </a:ln>
      </xdr:spPr>
      <xdr:txBody>
        <a:bodyPr vert="horz" wrap="square" lIns="0" tIns="0" rIns="0" bIns="0" rtlCol="0" anchor="ctr">
          <a:noAutofit/>
        </a:bodyPr>
        <a:lstStyle/>
        <a:p>
          <a:pPr marL="0" marR="0" lvl="0" indent="0" algn="ctr" defTabSz="914400" rtl="0" eaLnBrk="1" fontAlgn="auto" latinLnBrk="0" hangingPunct="1">
            <a:lnSpc>
              <a:spcPct val="100000"/>
            </a:lnSpc>
            <a:spcBef>
              <a:spcPts val="0"/>
            </a:spcBef>
            <a:spcAft>
              <a:spcPts val="0"/>
            </a:spcAft>
            <a:buClrTx/>
            <a:buSzTx/>
            <a:buFont typeface="Arial" panose="020B0604020202020204" pitchFamily="34" charset="0"/>
            <a:buNone/>
            <a:tabLst/>
            <a:defRPr/>
          </a:pPr>
          <a:r>
            <a:rPr lang="en-US" sz="2800" b="1" kern="1200">
              <a:ln w="0">
                <a:noFill/>
              </a:ln>
              <a:solidFill>
                <a:sysClr val="windowText" lastClr="000000"/>
              </a:solidFill>
              <a:latin typeface="Tw Cen MT"/>
              <a:ea typeface="+mn-ea"/>
              <a:cs typeface="+mn-cs"/>
            </a:rPr>
            <a:t>Optional</a:t>
          </a:r>
        </a:p>
      </xdr:txBody>
    </xdr:sp>
    <xdr:clientData/>
  </xdr:twoCellAnchor>
  <xdr:twoCellAnchor>
    <xdr:from>
      <xdr:col>0</xdr:col>
      <xdr:colOff>3500325</xdr:colOff>
      <xdr:row>22</xdr:row>
      <xdr:rowOff>254117</xdr:rowOff>
    </xdr:from>
    <xdr:to>
      <xdr:col>2</xdr:col>
      <xdr:colOff>190618</xdr:colOff>
      <xdr:row>26</xdr:row>
      <xdr:rowOff>141797</xdr:rowOff>
    </xdr:to>
    <xdr:sp macro="" textlink="">
      <xdr:nvSpPr>
        <xdr:cNvPr id="20" name="Rounded Rectangle 19">
          <a:extLst>
            <a:ext uri="{FF2B5EF4-FFF2-40B4-BE49-F238E27FC236}">
              <a16:creationId xmlns:a16="http://schemas.microsoft.com/office/drawing/2014/main" id="{2D2B3802-0D2D-794E-8290-4D6B123B881B}"/>
            </a:ext>
          </a:extLst>
        </xdr:cNvPr>
        <xdr:cNvSpPr/>
      </xdr:nvSpPr>
      <xdr:spPr>
        <a:xfrm>
          <a:off x="3500325" y="6121517"/>
          <a:ext cx="2456093" cy="903680"/>
        </a:xfrm>
        <a:prstGeom prst="roundRect">
          <a:avLst>
            <a:gd name="adj" fmla="val 46754"/>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Choose from known precursors from drop down menu</a:t>
          </a:r>
        </a:p>
      </xdr:txBody>
    </xdr:sp>
    <xdr:clientData/>
  </xdr:twoCellAnchor>
  <xdr:twoCellAnchor>
    <xdr:from>
      <xdr:col>0</xdr:col>
      <xdr:colOff>3233697</xdr:colOff>
      <xdr:row>23</xdr:row>
      <xdr:rowOff>190500</xdr:rowOff>
    </xdr:from>
    <xdr:to>
      <xdr:col>1</xdr:col>
      <xdr:colOff>135636</xdr:colOff>
      <xdr:row>25</xdr:row>
      <xdr:rowOff>249936</xdr:rowOff>
    </xdr:to>
    <xdr:sp macro="" textlink="">
      <xdr:nvSpPr>
        <xdr:cNvPr id="21" name="Text Placeholder 1248">
          <a:extLst>
            <a:ext uri="{FF2B5EF4-FFF2-40B4-BE49-F238E27FC236}">
              <a16:creationId xmlns:a16="http://schemas.microsoft.com/office/drawing/2014/main" id="{778A21F5-115B-D940-A2B0-8EBFE943C7B7}"/>
            </a:ext>
          </a:extLst>
        </xdr:cNvPr>
        <xdr:cNvSpPr>
          <a:spLocks noGrp="1"/>
        </xdr:cNvSpPr>
      </xdr:nvSpPr>
      <xdr:spPr>
        <a:xfrm>
          <a:off x="3233697" y="6311900"/>
          <a:ext cx="572239" cy="567436"/>
        </a:xfrm>
        <a:prstGeom prst="ellipse">
          <a:avLst/>
        </a:prstGeom>
        <a:solidFill>
          <a:srgbClr val="60CCF3"/>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r>
            <a:rPr lang="en-US">
              <a:latin typeface="Arial" panose="020B0604020202020204" pitchFamily="34" charset="0"/>
              <a:cs typeface="Arial" panose="020B0604020202020204" pitchFamily="34" charset="0"/>
            </a:rPr>
            <a:t>2</a:t>
          </a:r>
        </a:p>
      </xdr:txBody>
    </xdr:sp>
    <xdr:clientData/>
  </xdr:twoCellAnchor>
  <xdr:twoCellAnchor>
    <xdr:from>
      <xdr:col>2</xdr:col>
      <xdr:colOff>1248656</xdr:colOff>
      <xdr:row>23</xdr:row>
      <xdr:rowOff>190500</xdr:rowOff>
    </xdr:from>
    <xdr:to>
      <xdr:col>2</xdr:col>
      <xdr:colOff>1816100</xdr:colOff>
      <xdr:row>25</xdr:row>
      <xdr:rowOff>249936</xdr:rowOff>
    </xdr:to>
    <xdr:sp macro="" textlink="">
      <xdr:nvSpPr>
        <xdr:cNvPr id="22" name="Text Placeholder 1248">
          <a:extLst>
            <a:ext uri="{FF2B5EF4-FFF2-40B4-BE49-F238E27FC236}">
              <a16:creationId xmlns:a16="http://schemas.microsoft.com/office/drawing/2014/main" id="{9A77B15D-24E3-B64F-A49E-72168F350CD1}"/>
            </a:ext>
          </a:extLst>
        </xdr:cNvPr>
        <xdr:cNvSpPr>
          <a:spLocks noGrp="1"/>
        </xdr:cNvSpPr>
      </xdr:nvSpPr>
      <xdr:spPr>
        <a:xfrm>
          <a:off x="7014456" y="6311900"/>
          <a:ext cx="567444" cy="567436"/>
        </a:xfrm>
        <a:prstGeom prst="ellipse">
          <a:avLst/>
        </a:prstGeom>
        <a:solidFill>
          <a:srgbClr val="60CCF3"/>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r>
            <a:rPr lang="en-US">
              <a:latin typeface="Arial" panose="020B0604020202020204" pitchFamily="34" charset="0"/>
              <a:cs typeface="Arial" panose="020B0604020202020204" pitchFamily="34" charset="0"/>
            </a:rPr>
            <a:t>3</a:t>
          </a:r>
        </a:p>
      </xdr:txBody>
    </xdr:sp>
    <xdr:clientData/>
  </xdr:twoCellAnchor>
  <xdr:twoCellAnchor>
    <xdr:from>
      <xdr:col>1</xdr:col>
      <xdr:colOff>2804</xdr:colOff>
      <xdr:row>33</xdr:row>
      <xdr:rowOff>232402</xdr:rowOff>
    </xdr:from>
    <xdr:to>
      <xdr:col>1</xdr:col>
      <xdr:colOff>1727791</xdr:colOff>
      <xdr:row>35</xdr:row>
      <xdr:rowOff>207800</xdr:rowOff>
    </xdr:to>
    <xdr:sp macro="" textlink="">
      <xdr:nvSpPr>
        <xdr:cNvPr id="23" name="Rounded Rectangle 22">
          <a:extLst>
            <a:ext uri="{FF2B5EF4-FFF2-40B4-BE49-F238E27FC236}">
              <a16:creationId xmlns:a16="http://schemas.microsoft.com/office/drawing/2014/main" id="{A1DE002A-3748-9848-9EE8-AB1CD2D6F88A}"/>
            </a:ext>
          </a:extLst>
        </xdr:cNvPr>
        <xdr:cNvSpPr/>
      </xdr:nvSpPr>
      <xdr:spPr>
        <a:xfrm>
          <a:off x="3673104" y="9173202"/>
          <a:ext cx="1724987" cy="483398"/>
        </a:xfrm>
        <a:prstGeom prst="roundRect">
          <a:avLst>
            <a:gd name="adj" fmla="val 46754"/>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Choose Solvent</a:t>
          </a:r>
        </a:p>
      </xdr:txBody>
    </xdr:sp>
    <xdr:clientData/>
  </xdr:twoCellAnchor>
  <xdr:twoCellAnchor>
    <xdr:from>
      <xdr:col>0</xdr:col>
      <xdr:colOff>3293533</xdr:colOff>
      <xdr:row>33</xdr:row>
      <xdr:rowOff>190383</xdr:rowOff>
    </xdr:from>
    <xdr:to>
      <xdr:col>1</xdr:col>
      <xdr:colOff>211836</xdr:colOff>
      <xdr:row>35</xdr:row>
      <xdr:rowOff>249819</xdr:rowOff>
    </xdr:to>
    <xdr:sp macro="" textlink="">
      <xdr:nvSpPr>
        <xdr:cNvPr id="24" name="Text Placeholder 1248">
          <a:extLst>
            <a:ext uri="{FF2B5EF4-FFF2-40B4-BE49-F238E27FC236}">
              <a16:creationId xmlns:a16="http://schemas.microsoft.com/office/drawing/2014/main" id="{E76F8820-2A74-9143-8031-27E407D2EF19}"/>
            </a:ext>
          </a:extLst>
        </xdr:cNvPr>
        <xdr:cNvSpPr>
          <a:spLocks noGrp="1"/>
        </xdr:cNvSpPr>
      </xdr:nvSpPr>
      <xdr:spPr>
        <a:xfrm>
          <a:off x="3293533" y="9131183"/>
          <a:ext cx="588603" cy="567436"/>
        </a:xfrm>
        <a:prstGeom prst="ellipse">
          <a:avLst/>
        </a:prstGeom>
        <a:solidFill>
          <a:srgbClr val="60CCF3"/>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r>
            <a:rPr lang="en-US">
              <a:latin typeface="Arial" panose="020B0604020202020204" pitchFamily="34" charset="0"/>
              <a:cs typeface="Arial" panose="020B0604020202020204" pitchFamily="34" charset="0"/>
            </a:rPr>
            <a:t>4</a:t>
          </a:r>
        </a:p>
      </xdr:txBody>
    </xdr:sp>
    <xdr:clientData/>
  </xdr:twoCellAnchor>
  <xdr:twoCellAnchor>
    <xdr:from>
      <xdr:col>2</xdr:col>
      <xdr:colOff>334184</xdr:colOff>
      <xdr:row>33</xdr:row>
      <xdr:rowOff>216011</xdr:rowOff>
    </xdr:from>
    <xdr:to>
      <xdr:col>3</xdr:col>
      <xdr:colOff>317500</xdr:colOff>
      <xdr:row>35</xdr:row>
      <xdr:rowOff>192591</xdr:rowOff>
    </xdr:to>
    <xdr:sp macro="" textlink="">
      <xdr:nvSpPr>
        <xdr:cNvPr id="25" name="Rounded Rectangle 24">
          <a:extLst>
            <a:ext uri="{FF2B5EF4-FFF2-40B4-BE49-F238E27FC236}">
              <a16:creationId xmlns:a16="http://schemas.microsoft.com/office/drawing/2014/main" id="{70E8BE56-1761-2E4F-B3B9-6DCCA42F86C2}"/>
            </a:ext>
          </a:extLst>
        </xdr:cNvPr>
        <xdr:cNvSpPr/>
      </xdr:nvSpPr>
      <xdr:spPr>
        <a:xfrm>
          <a:off x="6099984" y="9156811"/>
          <a:ext cx="2053416" cy="484580"/>
        </a:xfrm>
        <a:prstGeom prst="roundRect">
          <a:avLst>
            <a:gd name="adj" fmla="val 46754"/>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Enter Solvent</a:t>
          </a:r>
        </a:p>
      </xdr:txBody>
    </xdr:sp>
    <xdr:clientData/>
  </xdr:twoCellAnchor>
  <xdr:twoCellAnchor>
    <xdr:from>
      <xdr:col>1</xdr:col>
      <xdr:colOff>1998920</xdr:colOff>
      <xdr:row>33</xdr:row>
      <xdr:rowOff>168233</xdr:rowOff>
    </xdr:from>
    <xdr:to>
      <xdr:col>2</xdr:col>
      <xdr:colOff>529630</xdr:colOff>
      <xdr:row>35</xdr:row>
      <xdr:rowOff>240369</xdr:rowOff>
    </xdr:to>
    <xdr:sp macro="" textlink="">
      <xdr:nvSpPr>
        <xdr:cNvPr id="26" name="Text Placeholder 1248">
          <a:extLst>
            <a:ext uri="{FF2B5EF4-FFF2-40B4-BE49-F238E27FC236}">
              <a16:creationId xmlns:a16="http://schemas.microsoft.com/office/drawing/2014/main" id="{558508D5-0595-8248-9444-BB3019777456}"/>
            </a:ext>
          </a:extLst>
        </xdr:cNvPr>
        <xdr:cNvSpPr>
          <a:spLocks noGrp="1"/>
        </xdr:cNvSpPr>
      </xdr:nvSpPr>
      <xdr:spPr>
        <a:xfrm>
          <a:off x="5669220" y="9109033"/>
          <a:ext cx="626210" cy="580136"/>
        </a:xfrm>
        <a:prstGeom prst="ellipse">
          <a:avLst/>
        </a:prstGeom>
        <a:solidFill>
          <a:srgbClr val="60CCF3"/>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r>
            <a:rPr lang="en-US">
              <a:latin typeface="Arial" panose="020B0604020202020204" pitchFamily="34" charset="0"/>
              <a:cs typeface="Arial" panose="020B0604020202020204" pitchFamily="34" charset="0"/>
            </a:rPr>
            <a:t>5</a:t>
          </a:r>
        </a:p>
      </xdr:txBody>
    </xdr:sp>
    <xdr:clientData/>
  </xdr:twoCellAnchor>
  <xdr:twoCellAnchor>
    <xdr:from>
      <xdr:col>0</xdr:col>
      <xdr:colOff>53287</xdr:colOff>
      <xdr:row>41</xdr:row>
      <xdr:rowOff>11637</xdr:rowOff>
    </xdr:from>
    <xdr:to>
      <xdr:col>0</xdr:col>
      <xdr:colOff>2870200</xdr:colOff>
      <xdr:row>43</xdr:row>
      <xdr:rowOff>63617</xdr:rowOff>
    </xdr:to>
    <xdr:sp macro="" textlink="">
      <xdr:nvSpPr>
        <xdr:cNvPr id="27" name="Rounded Rectangle 26">
          <a:extLst>
            <a:ext uri="{FF2B5EF4-FFF2-40B4-BE49-F238E27FC236}">
              <a16:creationId xmlns:a16="http://schemas.microsoft.com/office/drawing/2014/main" id="{BFFBE461-6DD0-7E49-9485-7C8351EFD0C3}"/>
            </a:ext>
          </a:extLst>
        </xdr:cNvPr>
        <xdr:cNvSpPr/>
      </xdr:nvSpPr>
      <xdr:spPr>
        <a:xfrm>
          <a:off x="53287" y="11022537"/>
          <a:ext cx="2816913" cy="559980"/>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1.3 Water</a:t>
          </a:r>
        </a:p>
      </xdr:txBody>
    </xdr:sp>
    <xdr:clientData/>
  </xdr:twoCellAnchor>
  <xdr:twoCellAnchor>
    <xdr:from>
      <xdr:col>1</xdr:col>
      <xdr:colOff>84026</xdr:colOff>
      <xdr:row>43</xdr:row>
      <xdr:rowOff>85761</xdr:rowOff>
    </xdr:from>
    <xdr:to>
      <xdr:col>1</xdr:col>
      <xdr:colOff>1557966</xdr:colOff>
      <xdr:row>45</xdr:row>
      <xdr:rowOff>62341</xdr:rowOff>
    </xdr:to>
    <xdr:sp macro="" textlink="">
      <xdr:nvSpPr>
        <xdr:cNvPr id="28" name="Rounded Rectangle 27">
          <a:extLst>
            <a:ext uri="{FF2B5EF4-FFF2-40B4-BE49-F238E27FC236}">
              <a16:creationId xmlns:a16="http://schemas.microsoft.com/office/drawing/2014/main" id="{6F3C61AF-747A-2244-94E4-3988E45887FF}"/>
            </a:ext>
          </a:extLst>
        </xdr:cNvPr>
        <xdr:cNvSpPr/>
      </xdr:nvSpPr>
      <xdr:spPr>
        <a:xfrm>
          <a:off x="3754326" y="11604661"/>
          <a:ext cx="1473940" cy="662380"/>
        </a:xfrm>
        <a:prstGeom prst="roundRect">
          <a:avLst>
            <a:gd name="adj" fmla="val 46754"/>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Choose Type</a:t>
          </a:r>
        </a:p>
      </xdr:txBody>
    </xdr:sp>
    <xdr:clientData/>
  </xdr:twoCellAnchor>
  <xdr:twoCellAnchor>
    <xdr:from>
      <xdr:col>0</xdr:col>
      <xdr:colOff>3274533</xdr:colOff>
      <xdr:row>43</xdr:row>
      <xdr:rowOff>94651</xdr:rowOff>
    </xdr:from>
    <xdr:to>
      <xdr:col>1</xdr:col>
      <xdr:colOff>200000</xdr:colOff>
      <xdr:row>45</xdr:row>
      <xdr:rowOff>6668</xdr:rowOff>
    </xdr:to>
    <xdr:sp macro="" textlink="">
      <xdr:nvSpPr>
        <xdr:cNvPr id="29" name="Text Placeholder 1248">
          <a:extLst>
            <a:ext uri="{FF2B5EF4-FFF2-40B4-BE49-F238E27FC236}">
              <a16:creationId xmlns:a16="http://schemas.microsoft.com/office/drawing/2014/main" id="{04F237C2-DF60-4241-84BA-6279ED81F944}"/>
            </a:ext>
          </a:extLst>
        </xdr:cNvPr>
        <xdr:cNvSpPr>
          <a:spLocks noGrp="1"/>
        </xdr:cNvSpPr>
      </xdr:nvSpPr>
      <xdr:spPr>
        <a:xfrm>
          <a:off x="3274533" y="11613551"/>
          <a:ext cx="595767" cy="597817"/>
        </a:xfrm>
        <a:prstGeom prst="ellipse">
          <a:avLst/>
        </a:prstGeom>
        <a:solidFill>
          <a:srgbClr val="60CCF3"/>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r>
            <a:rPr lang="en-US">
              <a:latin typeface="Arial" panose="020B0604020202020204" pitchFamily="34" charset="0"/>
              <a:cs typeface="Arial" panose="020B0604020202020204" pitchFamily="34" charset="0"/>
            </a:rPr>
            <a:t>6</a:t>
          </a:r>
        </a:p>
      </xdr:txBody>
    </xdr:sp>
    <xdr:clientData/>
  </xdr:twoCellAnchor>
  <xdr:twoCellAnchor>
    <xdr:from>
      <xdr:col>2</xdr:col>
      <xdr:colOff>228895</xdr:colOff>
      <xdr:row>43</xdr:row>
      <xdr:rowOff>93145</xdr:rowOff>
    </xdr:from>
    <xdr:to>
      <xdr:col>3</xdr:col>
      <xdr:colOff>114300</xdr:colOff>
      <xdr:row>45</xdr:row>
      <xdr:rowOff>69725</xdr:rowOff>
    </xdr:to>
    <xdr:sp macro="" textlink="">
      <xdr:nvSpPr>
        <xdr:cNvPr id="30" name="Rounded Rectangle 29">
          <a:extLst>
            <a:ext uri="{FF2B5EF4-FFF2-40B4-BE49-F238E27FC236}">
              <a16:creationId xmlns:a16="http://schemas.microsoft.com/office/drawing/2014/main" id="{2C466471-E290-7240-AF43-FD23B43D4C4D}"/>
            </a:ext>
          </a:extLst>
        </xdr:cNvPr>
        <xdr:cNvSpPr/>
      </xdr:nvSpPr>
      <xdr:spPr>
        <a:xfrm>
          <a:off x="5994695" y="11612045"/>
          <a:ext cx="1955505" cy="662380"/>
        </a:xfrm>
        <a:prstGeom prst="roundRect">
          <a:avLst>
            <a:gd name="adj" fmla="val 46754"/>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Enter Quantity</a:t>
          </a:r>
        </a:p>
      </xdr:txBody>
    </xdr:sp>
    <xdr:clientData/>
  </xdr:twoCellAnchor>
  <xdr:twoCellAnchor>
    <xdr:from>
      <xdr:col>1</xdr:col>
      <xdr:colOff>1799560</xdr:colOff>
      <xdr:row>43</xdr:row>
      <xdr:rowOff>45367</xdr:rowOff>
    </xdr:from>
    <xdr:to>
      <xdr:col>2</xdr:col>
      <xdr:colOff>350000</xdr:colOff>
      <xdr:row>45</xdr:row>
      <xdr:rowOff>13333</xdr:rowOff>
    </xdr:to>
    <xdr:sp macro="" textlink="">
      <xdr:nvSpPr>
        <xdr:cNvPr id="31" name="Text Placeholder 1248">
          <a:extLst>
            <a:ext uri="{FF2B5EF4-FFF2-40B4-BE49-F238E27FC236}">
              <a16:creationId xmlns:a16="http://schemas.microsoft.com/office/drawing/2014/main" id="{912CB14B-0139-2642-A95F-54969E534364}"/>
            </a:ext>
          </a:extLst>
        </xdr:cNvPr>
        <xdr:cNvSpPr>
          <a:spLocks noGrp="1"/>
        </xdr:cNvSpPr>
      </xdr:nvSpPr>
      <xdr:spPr>
        <a:xfrm>
          <a:off x="5469860" y="11564267"/>
          <a:ext cx="645940" cy="653766"/>
        </a:xfrm>
        <a:prstGeom prst="ellipse">
          <a:avLst/>
        </a:prstGeom>
        <a:solidFill>
          <a:srgbClr val="60CCF3"/>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r>
            <a:rPr lang="en-US">
              <a:latin typeface="Arial" panose="020B0604020202020204" pitchFamily="34" charset="0"/>
              <a:cs typeface="Arial" panose="020B0604020202020204" pitchFamily="34" charset="0"/>
            </a:rPr>
            <a:t>7</a:t>
          </a:r>
        </a:p>
      </xdr:txBody>
    </xdr:sp>
    <xdr:clientData/>
  </xdr:twoCellAnchor>
  <xdr:twoCellAnchor>
    <xdr:from>
      <xdr:col>0</xdr:col>
      <xdr:colOff>53287</xdr:colOff>
      <xdr:row>51</xdr:row>
      <xdr:rowOff>209595</xdr:rowOff>
    </xdr:from>
    <xdr:to>
      <xdr:col>3</xdr:col>
      <xdr:colOff>1110140</xdr:colOff>
      <xdr:row>54</xdr:row>
      <xdr:rowOff>84666</xdr:rowOff>
    </xdr:to>
    <xdr:sp macro="" textlink="">
      <xdr:nvSpPr>
        <xdr:cNvPr id="32" name="Rounded Rectangle 31">
          <a:extLst>
            <a:ext uri="{FF2B5EF4-FFF2-40B4-BE49-F238E27FC236}">
              <a16:creationId xmlns:a16="http://schemas.microsoft.com/office/drawing/2014/main" id="{A3F62852-A3BA-C04E-AA85-33E8A4B83808}"/>
            </a:ext>
          </a:extLst>
        </xdr:cNvPr>
        <xdr:cNvSpPr/>
      </xdr:nvSpPr>
      <xdr:spPr>
        <a:xfrm>
          <a:off x="53287" y="14141495"/>
          <a:ext cx="8892753" cy="637071"/>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20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Process Time Information</a:t>
          </a:r>
        </a:p>
      </xdr:txBody>
    </xdr:sp>
    <xdr:clientData/>
  </xdr:twoCellAnchor>
  <xdr:twoCellAnchor>
    <xdr:from>
      <xdr:col>1</xdr:col>
      <xdr:colOff>84025</xdr:colOff>
      <xdr:row>55</xdr:row>
      <xdr:rowOff>127000</xdr:rowOff>
    </xdr:from>
    <xdr:to>
      <xdr:col>1</xdr:col>
      <xdr:colOff>2015066</xdr:colOff>
      <xdr:row>58</xdr:row>
      <xdr:rowOff>104674</xdr:rowOff>
    </xdr:to>
    <xdr:sp macro="" textlink="">
      <xdr:nvSpPr>
        <xdr:cNvPr id="33" name="Rounded Rectangle 32">
          <a:extLst>
            <a:ext uri="{FF2B5EF4-FFF2-40B4-BE49-F238E27FC236}">
              <a16:creationId xmlns:a16="http://schemas.microsoft.com/office/drawing/2014/main" id="{E1EDC2C6-EB04-F84B-B53A-57906CACB3E1}"/>
            </a:ext>
          </a:extLst>
        </xdr:cNvPr>
        <xdr:cNvSpPr/>
      </xdr:nvSpPr>
      <xdr:spPr>
        <a:xfrm>
          <a:off x="3754325" y="15074900"/>
          <a:ext cx="1931041" cy="739674"/>
        </a:xfrm>
        <a:prstGeom prst="roundRect">
          <a:avLst>
            <a:gd name="adj" fmla="val 46754"/>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Replace with your Process Time</a:t>
          </a:r>
        </a:p>
      </xdr:txBody>
    </xdr:sp>
    <xdr:clientData/>
  </xdr:twoCellAnchor>
  <xdr:twoCellAnchor>
    <xdr:from>
      <xdr:col>0</xdr:col>
      <xdr:colOff>3124200</xdr:colOff>
      <xdr:row>55</xdr:row>
      <xdr:rowOff>177682</xdr:rowOff>
    </xdr:from>
    <xdr:to>
      <xdr:col>1</xdr:col>
      <xdr:colOff>84836</xdr:colOff>
      <xdr:row>58</xdr:row>
      <xdr:rowOff>12752</xdr:rowOff>
    </xdr:to>
    <xdr:sp macro="" textlink="">
      <xdr:nvSpPr>
        <xdr:cNvPr id="34" name="Text Placeholder 1248">
          <a:extLst>
            <a:ext uri="{FF2B5EF4-FFF2-40B4-BE49-F238E27FC236}">
              <a16:creationId xmlns:a16="http://schemas.microsoft.com/office/drawing/2014/main" id="{DC687088-D245-9145-8EC0-EDD5FBC759F1}"/>
            </a:ext>
          </a:extLst>
        </xdr:cNvPr>
        <xdr:cNvSpPr>
          <a:spLocks noGrp="1"/>
        </xdr:cNvSpPr>
      </xdr:nvSpPr>
      <xdr:spPr>
        <a:xfrm>
          <a:off x="3124200" y="15125582"/>
          <a:ext cx="630936" cy="597070"/>
        </a:xfrm>
        <a:prstGeom prst="ellipse">
          <a:avLst/>
        </a:prstGeom>
        <a:solidFill>
          <a:srgbClr val="FFC000">
            <a:lumMod val="60000"/>
            <a:lumOff val="40000"/>
          </a:srgbClr>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pPr marL="0" indent="0" algn="ctr" defTabSz="914400" rtl="0" eaLnBrk="1" latinLnBrk="0" hangingPunct="1">
            <a:lnSpc>
              <a:spcPct val="100000"/>
            </a:lnSpc>
            <a:spcBef>
              <a:spcPts val="0"/>
            </a:spcBef>
            <a:buFont typeface="Arial" panose="020B0604020202020204" pitchFamily="34" charset="0"/>
            <a:buNone/>
          </a:pPr>
          <a:r>
            <a:rPr lang="en-US" sz="2800" b="1" kern="1200">
              <a:ln w="0">
                <a:noFill/>
              </a:ln>
              <a:solidFill>
                <a:sysClr val="windowText" lastClr="000000"/>
              </a:solidFill>
              <a:latin typeface="Arial" panose="020B0604020202020204" pitchFamily="34" charset="0"/>
              <a:ea typeface="+mn-ea"/>
              <a:cs typeface="Arial" panose="020B0604020202020204" pitchFamily="34" charset="0"/>
            </a:rPr>
            <a:t>8</a:t>
          </a:r>
        </a:p>
      </xdr:txBody>
    </xdr:sp>
    <xdr:clientData/>
  </xdr:twoCellAnchor>
  <xdr:twoCellAnchor>
    <xdr:from>
      <xdr:col>0</xdr:col>
      <xdr:colOff>53287</xdr:colOff>
      <xdr:row>65</xdr:row>
      <xdr:rowOff>135467</xdr:rowOff>
    </xdr:from>
    <xdr:to>
      <xdr:col>3</xdr:col>
      <xdr:colOff>1110140</xdr:colOff>
      <xdr:row>68</xdr:row>
      <xdr:rowOff>12701</xdr:rowOff>
    </xdr:to>
    <xdr:sp macro="" textlink="">
      <xdr:nvSpPr>
        <xdr:cNvPr id="35" name="Rounded Rectangle 34">
          <a:extLst>
            <a:ext uri="{FF2B5EF4-FFF2-40B4-BE49-F238E27FC236}">
              <a16:creationId xmlns:a16="http://schemas.microsoft.com/office/drawing/2014/main" id="{B8246D43-63C6-7D4E-9C65-2011338CE597}"/>
            </a:ext>
          </a:extLst>
        </xdr:cNvPr>
        <xdr:cNvSpPr/>
      </xdr:nvSpPr>
      <xdr:spPr>
        <a:xfrm>
          <a:off x="53287" y="17826567"/>
          <a:ext cx="8892753" cy="639234"/>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Equipment Power Information</a:t>
          </a:r>
        </a:p>
      </xdr:txBody>
    </xdr:sp>
    <xdr:clientData/>
  </xdr:twoCellAnchor>
  <xdr:twoCellAnchor>
    <xdr:from>
      <xdr:col>2</xdr:col>
      <xdr:colOff>833868</xdr:colOff>
      <xdr:row>61</xdr:row>
      <xdr:rowOff>220998</xdr:rowOff>
    </xdr:from>
    <xdr:to>
      <xdr:col>3</xdr:col>
      <xdr:colOff>1684866</xdr:colOff>
      <xdr:row>64</xdr:row>
      <xdr:rowOff>34731</xdr:rowOff>
    </xdr:to>
    <xdr:sp macro="" textlink="">
      <xdr:nvSpPr>
        <xdr:cNvPr id="36" name="Rounded Rectangle 35">
          <a:extLst>
            <a:ext uri="{FF2B5EF4-FFF2-40B4-BE49-F238E27FC236}">
              <a16:creationId xmlns:a16="http://schemas.microsoft.com/office/drawing/2014/main" id="{BDC6F486-42FB-3446-A8C0-4AB3649A2696}"/>
            </a:ext>
          </a:extLst>
        </xdr:cNvPr>
        <xdr:cNvSpPr/>
      </xdr:nvSpPr>
      <xdr:spPr>
        <a:xfrm>
          <a:off x="6599668" y="16756398"/>
          <a:ext cx="2921098" cy="715433"/>
        </a:xfrm>
        <a:prstGeom prst="roundRect">
          <a:avLst>
            <a:gd name="adj" fmla="val 46754"/>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Enter additional time information</a:t>
          </a:r>
        </a:p>
      </xdr:txBody>
    </xdr:sp>
    <xdr:clientData/>
  </xdr:twoCellAnchor>
  <xdr:twoCellAnchor>
    <xdr:from>
      <xdr:col>2</xdr:col>
      <xdr:colOff>368300</xdr:colOff>
      <xdr:row>61</xdr:row>
      <xdr:rowOff>244196</xdr:rowOff>
    </xdr:from>
    <xdr:to>
      <xdr:col>2</xdr:col>
      <xdr:colOff>998744</xdr:colOff>
      <xdr:row>63</xdr:row>
      <xdr:rowOff>214733</xdr:rowOff>
    </xdr:to>
    <xdr:sp macro="" textlink="">
      <xdr:nvSpPr>
        <xdr:cNvPr id="37" name="Text Placeholder 1248">
          <a:extLst>
            <a:ext uri="{FF2B5EF4-FFF2-40B4-BE49-F238E27FC236}">
              <a16:creationId xmlns:a16="http://schemas.microsoft.com/office/drawing/2014/main" id="{79D40A03-2F97-FC41-833E-560E6DD7E7FF}"/>
            </a:ext>
          </a:extLst>
        </xdr:cNvPr>
        <xdr:cNvSpPr>
          <a:spLocks noGrp="1"/>
        </xdr:cNvSpPr>
      </xdr:nvSpPr>
      <xdr:spPr>
        <a:xfrm>
          <a:off x="6134100" y="16779596"/>
          <a:ext cx="630444" cy="618237"/>
        </a:xfrm>
        <a:prstGeom prst="ellipse">
          <a:avLst/>
        </a:prstGeom>
        <a:solidFill>
          <a:srgbClr val="60CCF3"/>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r>
            <a:rPr lang="en-US">
              <a:latin typeface="Arial" panose="020B0604020202020204" pitchFamily="34" charset="0"/>
              <a:cs typeface="Arial" panose="020B0604020202020204" pitchFamily="34" charset="0"/>
            </a:rPr>
            <a:t>9</a:t>
          </a:r>
        </a:p>
      </xdr:txBody>
    </xdr:sp>
    <xdr:clientData/>
  </xdr:twoCellAnchor>
  <xdr:twoCellAnchor>
    <xdr:from>
      <xdr:col>3</xdr:col>
      <xdr:colOff>1698428</xdr:colOff>
      <xdr:row>66</xdr:row>
      <xdr:rowOff>89252</xdr:rowOff>
    </xdr:from>
    <xdr:to>
      <xdr:col>4</xdr:col>
      <xdr:colOff>1845056</xdr:colOff>
      <xdr:row>69</xdr:row>
      <xdr:rowOff>39590</xdr:rowOff>
    </xdr:to>
    <xdr:sp macro="" textlink="">
      <xdr:nvSpPr>
        <xdr:cNvPr id="38" name="Rounded Rectangle 37">
          <a:extLst>
            <a:ext uri="{FF2B5EF4-FFF2-40B4-BE49-F238E27FC236}">
              <a16:creationId xmlns:a16="http://schemas.microsoft.com/office/drawing/2014/main" id="{44C2FF7D-8661-BD40-BCA1-88B0C22152A5}"/>
            </a:ext>
          </a:extLst>
        </xdr:cNvPr>
        <xdr:cNvSpPr/>
      </xdr:nvSpPr>
      <xdr:spPr>
        <a:xfrm>
          <a:off x="9534328" y="18034352"/>
          <a:ext cx="2458028" cy="712338"/>
        </a:xfrm>
        <a:prstGeom prst="roundRect">
          <a:avLst>
            <a:gd name="adj" fmla="val 46754"/>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Replace with your Power Rating information</a:t>
          </a:r>
        </a:p>
      </xdr:txBody>
    </xdr:sp>
    <xdr:clientData/>
  </xdr:twoCellAnchor>
  <xdr:twoCellAnchor>
    <xdr:from>
      <xdr:col>3</xdr:col>
      <xdr:colOff>1232860</xdr:colOff>
      <xdr:row>66</xdr:row>
      <xdr:rowOff>137850</xdr:rowOff>
    </xdr:from>
    <xdr:to>
      <xdr:col>3</xdr:col>
      <xdr:colOff>1863304</xdr:colOff>
      <xdr:row>68</xdr:row>
      <xdr:rowOff>244992</xdr:rowOff>
    </xdr:to>
    <xdr:sp macro="" textlink="">
      <xdr:nvSpPr>
        <xdr:cNvPr id="39" name="Text Placeholder 1248">
          <a:extLst>
            <a:ext uri="{FF2B5EF4-FFF2-40B4-BE49-F238E27FC236}">
              <a16:creationId xmlns:a16="http://schemas.microsoft.com/office/drawing/2014/main" id="{3BC83BF8-F51E-E942-916D-747F94C826D1}"/>
            </a:ext>
          </a:extLst>
        </xdr:cNvPr>
        <xdr:cNvSpPr>
          <a:spLocks noGrp="1"/>
        </xdr:cNvSpPr>
      </xdr:nvSpPr>
      <xdr:spPr>
        <a:xfrm>
          <a:off x="9068760" y="18082950"/>
          <a:ext cx="630444" cy="615142"/>
        </a:xfrm>
        <a:prstGeom prst="ellipse">
          <a:avLst/>
        </a:prstGeom>
        <a:solidFill>
          <a:srgbClr val="FFC000">
            <a:lumMod val="60000"/>
            <a:lumOff val="40000"/>
          </a:srgbClr>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pPr marL="0" indent="0" algn="ctr" defTabSz="914400" rtl="0" eaLnBrk="1" latinLnBrk="0" hangingPunct="1">
            <a:lnSpc>
              <a:spcPct val="100000"/>
            </a:lnSpc>
            <a:spcBef>
              <a:spcPts val="0"/>
            </a:spcBef>
            <a:buFont typeface="Arial" panose="020B0604020202020204" pitchFamily="34" charset="0"/>
            <a:buNone/>
          </a:pPr>
          <a:r>
            <a:rPr lang="en-US" sz="2800" b="1" kern="1200">
              <a:ln w="0">
                <a:noFill/>
              </a:ln>
              <a:solidFill>
                <a:sysClr val="windowText" lastClr="000000"/>
              </a:solidFill>
              <a:latin typeface="Arial" panose="020B0604020202020204" pitchFamily="34" charset="0"/>
              <a:ea typeface="+mn-ea"/>
              <a:cs typeface="Arial" panose="020B0604020202020204" pitchFamily="34" charset="0"/>
            </a:rPr>
            <a:t>10</a:t>
          </a:r>
        </a:p>
      </xdr:txBody>
    </xdr:sp>
    <xdr:clientData/>
  </xdr:twoCellAnchor>
  <xdr:twoCellAnchor>
    <xdr:from>
      <xdr:col>0</xdr:col>
      <xdr:colOff>53287</xdr:colOff>
      <xdr:row>76</xdr:row>
      <xdr:rowOff>220845</xdr:rowOff>
    </xdr:from>
    <xdr:to>
      <xdr:col>3</xdr:col>
      <xdr:colOff>1110140</xdr:colOff>
      <xdr:row>79</xdr:row>
      <xdr:rowOff>98079</xdr:rowOff>
    </xdr:to>
    <xdr:sp macro="" textlink="">
      <xdr:nvSpPr>
        <xdr:cNvPr id="40" name="Rounded Rectangle 39">
          <a:extLst>
            <a:ext uri="{FF2B5EF4-FFF2-40B4-BE49-F238E27FC236}">
              <a16:creationId xmlns:a16="http://schemas.microsoft.com/office/drawing/2014/main" id="{DAEA034D-C112-8C4E-920F-20ACA97000A5}"/>
            </a:ext>
          </a:extLst>
        </xdr:cNvPr>
        <xdr:cNvSpPr/>
      </xdr:nvSpPr>
      <xdr:spPr>
        <a:xfrm>
          <a:off x="53287" y="20705945"/>
          <a:ext cx="8892753" cy="639234"/>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Process Conditions</a:t>
          </a:r>
        </a:p>
      </xdr:txBody>
    </xdr:sp>
    <xdr:clientData/>
  </xdr:twoCellAnchor>
  <xdr:twoCellAnchor>
    <xdr:from>
      <xdr:col>0</xdr:col>
      <xdr:colOff>53287</xdr:colOff>
      <xdr:row>85</xdr:row>
      <xdr:rowOff>93845</xdr:rowOff>
    </xdr:from>
    <xdr:to>
      <xdr:col>3</xdr:col>
      <xdr:colOff>1110140</xdr:colOff>
      <xdr:row>88</xdr:row>
      <xdr:rowOff>9179</xdr:rowOff>
    </xdr:to>
    <xdr:sp macro="" textlink="">
      <xdr:nvSpPr>
        <xdr:cNvPr id="41" name="Rounded Rectangle 40">
          <a:extLst>
            <a:ext uri="{FF2B5EF4-FFF2-40B4-BE49-F238E27FC236}">
              <a16:creationId xmlns:a16="http://schemas.microsoft.com/office/drawing/2014/main" id="{9DD25A2A-F650-FC42-98D9-17D2FDC6438A}"/>
            </a:ext>
          </a:extLst>
        </xdr:cNvPr>
        <xdr:cNvSpPr/>
      </xdr:nvSpPr>
      <xdr:spPr>
        <a:xfrm>
          <a:off x="53287" y="22864945"/>
          <a:ext cx="8892753" cy="639234"/>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Equipment Volume Utilization Calculation</a:t>
          </a:r>
        </a:p>
      </xdr:txBody>
    </xdr:sp>
    <xdr:clientData/>
  </xdr:twoCellAnchor>
  <xdr:twoCellAnchor>
    <xdr:from>
      <xdr:col>2</xdr:col>
      <xdr:colOff>115931</xdr:colOff>
      <xdr:row>88</xdr:row>
      <xdr:rowOff>63617</xdr:rowOff>
    </xdr:from>
    <xdr:to>
      <xdr:col>3</xdr:col>
      <xdr:colOff>1440927</xdr:colOff>
      <xdr:row>93</xdr:row>
      <xdr:rowOff>76200</xdr:rowOff>
    </xdr:to>
    <xdr:sp macro="" textlink="">
      <xdr:nvSpPr>
        <xdr:cNvPr id="42" name="Rounded Rectangle 41">
          <a:hlinkClick xmlns:r="http://schemas.openxmlformats.org/officeDocument/2006/relationships" r:id="rId5"/>
          <a:extLst>
            <a:ext uri="{FF2B5EF4-FFF2-40B4-BE49-F238E27FC236}">
              <a16:creationId xmlns:a16="http://schemas.microsoft.com/office/drawing/2014/main" id="{BD7A92EA-2408-E146-8B41-2FDF5E73FC72}"/>
            </a:ext>
          </a:extLst>
        </xdr:cNvPr>
        <xdr:cNvSpPr/>
      </xdr:nvSpPr>
      <xdr:spPr>
        <a:xfrm>
          <a:off x="5881731" y="23558617"/>
          <a:ext cx="3395096" cy="1168283"/>
        </a:xfrm>
        <a:prstGeom prst="roundRect">
          <a:avLst>
            <a:gd name="adj" fmla="val 24141"/>
          </a:avLst>
        </a:prstGeom>
        <a:solidFill>
          <a:schemeClr val="accent5">
            <a:lumMod val="40000"/>
            <a:lumOff val="60000"/>
          </a:scheme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Production volume is calculated based on all the </a:t>
          </a:r>
          <a:r>
            <a:rPr kumimoji="0" lang="en-US" sz="14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Input materials </a:t>
          </a: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entered above</a:t>
          </a:r>
          <a:b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b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(1L =~ 1Kg)</a:t>
          </a:r>
        </a:p>
      </xdr:txBody>
    </xdr:sp>
    <xdr:clientData/>
  </xdr:twoCellAnchor>
  <xdr:twoCellAnchor>
    <xdr:from>
      <xdr:col>4</xdr:col>
      <xdr:colOff>669728</xdr:colOff>
      <xdr:row>80</xdr:row>
      <xdr:rowOff>140052</xdr:rowOff>
    </xdr:from>
    <xdr:to>
      <xdr:col>5</xdr:col>
      <xdr:colOff>816356</xdr:colOff>
      <xdr:row>83</xdr:row>
      <xdr:rowOff>90390</xdr:rowOff>
    </xdr:to>
    <xdr:sp macro="" textlink="">
      <xdr:nvSpPr>
        <xdr:cNvPr id="43" name="Rounded Rectangle 42">
          <a:extLst>
            <a:ext uri="{FF2B5EF4-FFF2-40B4-BE49-F238E27FC236}">
              <a16:creationId xmlns:a16="http://schemas.microsoft.com/office/drawing/2014/main" id="{85103F79-8DD3-874A-838F-99E1543C3816}"/>
            </a:ext>
          </a:extLst>
        </xdr:cNvPr>
        <xdr:cNvSpPr/>
      </xdr:nvSpPr>
      <xdr:spPr>
        <a:xfrm>
          <a:off x="10817028" y="21641152"/>
          <a:ext cx="2458028" cy="712338"/>
        </a:xfrm>
        <a:prstGeom prst="roundRect">
          <a:avLst>
            <a:gd name="adj" fmla="val 46754"/>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Enter additional information</a:t>
          </a:r>
        </a:p>
      </xdr:txBody>
    </xdr:sp>
    <xdr:clientData/>
  </xdr:twoCellAnchor>
  <xdr:twoCellAnchor>
    <xdr:from>
      <xdr:col>4</xdr:col>
      <xdr:colOff>140660</xdr:colOff>
      <xdr:row>80</xdr:row>
      <xdr:rowOff>188650</xdr:rowOff>
    </xdr:from>
    <xdr:to>
      <xdr:col>4</xdr:col>
      <xdr:colOff>771104</xdr:colOff>
      <xdr:row>83</xdr:row>
      <xdr:rowOff>41792</xdr:rowOff>
    </xdr:to>
    <xdr:sp macro="" textlink="">
      <xdr:nvSpPr>
        <xdr:cNvPr id="44" name="Text Placeholder 1248">
          <a:extLst>
            <a:ext uri="{FF2B5EF4-FFF2-40B4-BE49-F238E27FC236}">
              <a16:creationId xmlns:a16="http://schemas.microsoft.com/office/drawing/2014/main" id="{CEA1B7C7-DBE3-7742-810A-E60AB2591366}"/>
            </a:ext>
          </a:extLst>
        </xdr:cNvPr>
        <xdr:cNvSpPr>
          <a:spLocks noGrp="1"/>
        </xdr:cNvSpPr>
      </xdr:nvSpPr>
      <xdr:spPr>
        <a:xfrm>
          <a:off x="10287960" y="21689750"/>
          <a:ext cx="630444" cy="615142"/>
        </a:xfrm>
        <a:prstGeom prst="ellipse">
          <a:avLst/>
        </a:prstGeom>
        <a:solidFill>
          <a:srgbClr val="60CCF3"/>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pPr marL="0" indent="0" algn="ctr" defTabSz="914400" rtl="0" eaLnBrk="1" latinLnBrk="0" hangingPunct="1">
            <a:lnSpc>
              <a:spcPct val="100000"/>
            </a:lnSpc>
            <a:spcBef>
              <a:spcPts val="0"/>
            </a:spcBef>
            <a:buFont typeface="Arial" panose="020B0604020202020204" pitchFamily="34" charset="0"/>
            <a:buNone/>
          </a:pPr>
          <a:r>
            <a:rPr lang="en-US" sz="2800" b="1" kern="1200">
              <a:ln w="0">
                <a:noFill/>
              </a:ln>
              <a:solidFill>
                <a:sysClr val="windowText" lastClr="000000"/>
              </a:solidFill>
              <a:latin typeface="Arial" panose="020B0604020202020204" pitchFamily="34" charset="0"/>
              <a:ea typeface="+mn-ea"/>
              <a:cs typeface="Arial" panose="020B0604020202020204" pitchFamily="34" charset="0"/>
            </a:rPr>
            <a:t>11</a:t>
          </a:r>
        </a:p>
      </xdr:txBody>
    </xdr:sp>
    <xdr:clientData/>
  </xdr:twoCellAnchor>
  <xdr:twoCellAnchor>
    <xdr:from>
      <xdr:col>2</xdr:col>
      <xdr:colOff>659568</xdr:colOff>
      <xdr:row>93</xdr:row>
      <xdr:rowOff>236572</xdr:rowOff>
    </xdr:from>
    <xdr:to>
      <xdr:col>3</xdr:col>
      <xdr:colOff>1504696</xdr:colOff>
      <xdr:row>96</xdr:row>
      <xdr:rowOff>174210</xdr:rowOff>
    </xdr:to>
    <xdr:sp macro="" textlink="">
      <xdr:nvSpPr>
        <xdr:cNvPr id="45" name="Rounded Rectangle 44">
          <a:extLst>
            <a:ext uri="{FF2B5EF4-FFF2-40B4-BE49-F238E27FC236}">
              <a16:creationId xmlns:a16="http://schemas.microsoft.com/office/drawing/2014/main" id="{12C25B4E-1C5D-704F-98FD-0013681E7DDC}"/>
            </a:ext>
          </a:extLst>
        </xdr:cNvPr>
        <xdr:cNvSpPr/>
      </xdr:nvSpPr>
      <xdr:spPr>
        <a:xfrm>
          <a:off x="6425368" y="24887272"/>
          <a:ext cx="2915228" cy="712338"/>
        </a:xfrm>
        <a:prstGeom prst="roundRect">
          <a:avLst>
            <a:gd name="adj" fmla="val 46754"/>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Replace with your volume</a:t>
          </a:r>
        </a:p>
      </xdr:txBody>
    </xdr:sp>
    <xdr:clientData/>
  </xdr:twoCellAnchor>
  <xdr:twoCellAnchor>
    <xdr:from>
      <xdr:col>2</xdr:col>
      <xdr:colOff>130500</xdr:colOff>
      <xdr:row>94</xdr:row>
      <xdr:rowOff>71810</xdr:rowOff>
    </xdr:from>
    <xdr:to>
      <xdr:col>2</xdr:col>
      <xdr:colOff>760944</xdr:colOff>
      <xdr:row>96</xdr:row>
      <xdr:rowOff>166252</xdr:rowOff>
    </xdr:to>
    <xdr:sp macro="" textlink="">
      <xdr:nvSpPr>
        <xdr:cNvPr id="46" name="Text Placeholder 1248">
          <a:extLst>
            <a:ext uri="{FF2B5EF4-FFF2-40B4-BE49-F238E27FC236}">
              <a16:creationId xmlns:a16="http://schemas.microsoft.com/office/drawing/2014/main" id="{FC81B0CE-1A63-7146-8052-7F26B65E11BA}"/>
            </a:ext>
          </a:extLst>
        </xdr:cNvPr>
        <xdr:cNvSpPr>
          <a:spLocks noGrp="1"/>
        </xdr:cNvSpPr>
      </xdr:nvSpPr>
      <xdr:spPr>
        <a:xfrm>
          <a:off x="5896300" y="24976510"/>
          <a:ext cx="630444" cy="615142"/>
        </a:xfrm>
        <a:prstGeom prst="ellipse">
          <a:avLst/>
        </a:prstGeom>
        <a:solidFill>
          <a:srgbClr val="60CCF3"/>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pPr marL="0" indent="0" algn="ctr" defTabSz="914400" rtl="0" eaLnBrk="1" latinLnBrk="0" hangingPunct="1">
            <a:lnSpc>
              <a:spcPct val="100000"/>
            </a:lnSpc>
            <a:spcBef>
              <a:spcPts val="0"/>
            </a:spcBef>
            <a:buFont typeface="Arial" panose="020B0604020202020204" pitchFamily="34" charset="0"/>
            <a:buNone/>
          </a:pPr>
          <a:r>
            <a:rPr lang="en-US" sz="2800" b="1" kern="1200">
              <a:ln w="0">
                <a:noFill/>
              </a:ln>
              <a:solidFill>
                <a:sysClr val="windowText" lastClr="000000"/>
              </a:solidFill>
              <a:latin typeface="Arial" panose="020B0604020202020204" pitchFamily="34" charset="0"/>
              <a:ea typeface="+mn-ea"/>
              <a:cs typeface="Arial" panose="020B0604020202020204" pitchFamily="34" charset="0"/>
            </a:rPr>
            <a:t>12</a:t>
          </a:r>
        </a:p>
      </xdr:txBody>
    </xdr:sp>
    <xdr:clientData/>
  </xdr:twoCellAnchor>
  <xdr:twoCellAnchor>
    <xdr:from>
      <xdr:col>2</xdr:col>
      <xdr:colOff>523137</xdr:colOff>
      <xdr:row>98</xdr:row>
      <xdr:rowOff>1612</xdr:rowOff>
    </xdr:from>
    <xdr:to>
      <xdr:col>4</xdr:col>
      <xdr:colOff>38906</xdr:colOff>
      <xdr:row>99</xdr:row>
      <xdr:rowOff>174776</xdr:rowOff>
    </xdr:to>
    <xdr:sp macro="" textlink="">
      <xdr:nvSpPr>
        <xdr:cNvPr id="47" name="Rounded Rectangle 46">
          <a:extLst>
            <a:ext uri="{FF2B5EF4-FFF2-40B4-BE49-F238E27FC236}">
              <a16:creationId xmlns:a16="http://schemas.microsoft.com/office/drawing/2014/main" id="{448A7CD9-DE43-A141-972D-B5A9EBAFCBA9}"/>
            </a:ext>
          </a:extLst>
        </xdr:cNvPr>
        <xdr:cNvSpPr/>
      </xdr:nvSpPr>
      <xdr:spPr>
        <a:xfrm>
          <a:off x="6288937" y="25935012"/>
          <a:ext cx="3897269" cy="706564"/>
        </a:xfrm>
        <a:prstGeom prst="roundRect">
          <a:avLst>
            <a:gd name="adj" fmla="val 24141"/>
          </a:avLst>
        </a:prstGeom>
        <a:solidFill>
          <a:schemeClr val="accent5">
            <a:lumMod val="40000"/>
            <a:lumOff val="60000"/>
          </a:scheme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Volume Utilized fraction is ratio of </a:t>
          </a:r>
          <a:r>
            <a:rPr kumimoji="0" lang="en-US" sz="14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Production</a:t>
          </a: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 to </a:t>
          </a:r>
          <a:r>
            <a:rPr kumimoji="0" lang="en-US" sz="14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Equipment</a:t>
          </a: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 Volume</a:t>
          </a:r>
        </a:p>
      </xdr:txBody>
    </xdr:sp>
    <xdr:clientData/>
  </xdr:twoCellAnchor>
  <xdr:twoCellAnchor>
    <xdr:from>
      <xdr:col>2</xdr:col>
      <xdr:colOff>68756</xdr:colOff>
      <xdr:row>139</xdr:row>
      <xdr:rowOff>116377</xdr:rowOff>
    </xdr:from>
    <xdr:to>
      <xdr:col>3</xdr:col>
      <xdr:colOff>2235108</xdr:colOff>
      <xdr:row>141</xdr:row>
      <xdr:rowOff>247180</xdr:rowOff>
    </xdr:to>
    <xdr:sp macro="" textlink="">
      <xdr:nvSpPr>
        <xdr:cNvPr id="48" name="Rounded Rectangle 47">
          <a:extLst>
            <a:ext uri="{FF2B5EF4-FFF2-40B4-BE49-F238E27FC236}">
              <a16:creationId xmlns:a16="http://schemas.microsoft.com/office/drawing/2014/main" id="{FCBEB355-DDB4-0448-BAF5-19601AD35B53}"/>
            </a:ext>
          </a:extLst>
        </xdr:cNvPr>
        <xdr:cNvSpPr/>
      </xdr:nvSpPr>
      <xdr:spPr>
        <a:xfrm>
          <a:off x="5834556" y="37022577"/>
          <a:ext cx="4236452" cy="638803"/>
        </a:xfrm>
        <a:prstGeom prst="roundRect">
          <a:avLst>
            <a:gd name="adj" fmla="val 24141"/>
          </a:avLst>
        </a:prstGeom>
        <a:solidFill>
          <a:schemeClr val="accent5">
            <a:lumMod val="40000"/>
            <a:lumOff val="60000"/>
          </a:scheme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Calculated as the sum of Theoritical Yield from the 1.1 Precursor Materials Table</a:t>
          </a:r>
        </a:p>
      </xdr:txBody>
    </xdr:sp>
    <xdr:clientData/>
  </xdr:twoCellAnchor>
  <xdr:twoCellAnchor>
    <xdr:from>
      <xdr:col>0</xdr:col>
      <xdr:colOff>53287</xdr:colOff>
      <xdr:row>137</xdr:row>
      <xdr:rowOff>25399</xdr:rowOff>
    </xdr:from>
    <xdr:to>
      <xdr:col>3</xdr:col>
      <xdr:colOff>1110140</xdr:colOff>
      <xdr:row>139</xdr:row>
      <xdr:rowOff>85378</xdr:rowOff>
    </xdr:to>
    <xdr:sp macro="" textlink="">
      <xdr:nvSpPr>
        <xdr:cNvPr id="49" name="Rounded Rectangle 48">
          <a:extLst>
            <a:ext uri="{FF2B5EF4-FFF2-40B4-BE49-F238E27FC236}">
              <a16:creationId xmlns:a16="http://schemas.microsoft.com/office/drawing/2014/main" id="{52B45EC4-CB6F-BB48-84C0-5DE516863F1C}"/>
            </a:ext>
          </a:extLst>
        </xdr:cNvPr>
        <xdr:cNvSpPr/>
      </xdr:nvSpPr>
      <xdr:spPr>
        <a:xfrm>
          <a:off x="53287" y="36423599"/>
          <a:ext cx="8892753" cy="567979"/>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Yield Calculation for this process</a:t>
          </a:r>
        </a:p>
      </xdr:txBody>
    </xdr:sp>
    <xdr:clientData/>
  </xdr:twoCellAnchor>
  <xdr:twoCellAnchor>
    <xdr:from>
      <xdr:col>0</xdr:col>
      <xdr:colOff>53287</xdr:colOff>
      <xdr:row>100</xdr:row>
      <xdr:rowOff>253865</xdr:rowOff>
    </xdr:from>
    <xdr:to>
      <xdr:col>3</xdr:col>
      <xdr:colOff>1110140</xdr:colOff>
      <xdr:row>103</xdr:row>
      <xdr:rowOff>131099</xdr:rowOff>
    </xdr:to>
    <xdr:sp macro="" textlink="">
      <xdr:nvSpPr>
        <xdr:cNvPr id="50" name="Rounded Rectangle 49">
          <a:extLst>
            <a:ext uri="{FF2B5EF4-FFF2-40B4-BE49-F238E27FC236}">
              <a16:creationId xmlns:a16="http://schemas.microsoft.com/office/drawing/2014/main" id="{A2F482ED-E799-2449-A955-79F3B7D0449D}"/>
            </a:ext>
          </a:extLst>
        </xdr:cNvPr>
        <xdr:cNvSpPr/>
      </xdr:nvSpPr>
      <xdr:spPr>
        <a:xfrm>
          <a:off x="53287" y="26974665"/>
          <a:ext cx="8892753" cy="639234"/>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1.3 Energy Consumption Estimation</a:t>
          </a:r>
        </a:p>
      </xdr:txBody>
    </xdr:sp>
    <xdr:clientData/>
  </xdr:twoCellAnchor>
  <xdr:twoCellAnchor>
    <xdr:from>
      <xdr:col>4</xdr:col>
      <xdr:colOff>1995714</xdr:colOff>
      <xdr:row>13</xdr:row>
      <xdr:rowOff>63500</xdr:rowOff>
    </xdr:from>
    <xdr:to>
      <xdr:col>5</xdr:col>
      <xdr:colOff>262636</xdr:colOff>
      <xdr:row>14</xdr:row>
      <xdr:rowOff>241300</xdr:rowOff>
    </xdr:to>
    <xdr:sp macro="" textlink="">
      <xdr:nvSpPr>
        <xdr:cNvPr id="51" name="Text Placeholder 1248">
          <a:extLst>
            <a:ext uri="{FF2B5EF4-FFF2-40B4-BE49-F238E27FC236}">
              <a16:creationId xmlns:a16="http://schemas.microsoft.com/office/drawing/2014/main" id="{6196ACD2-4FD2-2C4A-9993-EB2E81C51816}"/>
            </a:ext>
          </a:extLst>
        </xdr:cNvPr>
        <xdr:cNvSpPr>
          <a:spLocks noGrp="1"/>
        </xdr:cNvSpPr>
      </xdr:nvSpPr>
      <xdr:spPr>
        <a:xfrm>
          <a:off x="12143014" y="3441700"/>
          <a:ext cx="578322" cy="558800"/>
        </a:xfrm>
        <a:prstGeom prst="ellipse">
          <a:avLst/>
        </a:prstGeom>
        <a:solidFill>
          <a:schemeClr val="accent5">
            <a:lumMod val="40000"/>
            <a:lumOff val="60000"/>
          </a:schemeClr>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r>
            <a:rPr lang="en-US"/>
            <a:t>#</a:t>
          </a:r>
        </a:p>
      </xdr:txBody>
    </xdr:sp>
    <xdr:clientData/>
  </xdr:twoCellAnchor>
  <xdr:twoCellAnchor>
    <xdr:from>
      <xdr:col>5</xdr:col>
      <xdr:colOff>408887</xdr:colOff>
      <xdr:row>13</xdr:row>
      <xdr:rowOff>101600</xdr:rowOff>
    </xdr:from>
    <xdr:to>
      <xdr:col>6</xdr:col>
      <xdr:colOff>914400</xdr:colOff>
      <xdr:row>14</xdr:row>
      <xdr:rowOff>215900</xdr:rowOff>
    </xdr:to>
    <xdr:sp macro="" textlink="">
      <xdr:nvSpPr>
        <xdr:cNvPr id="52" name="Rounded Rectangle 51">
          <a:extLst>
            <a:ext uri="{FF2B5EF4-FFF2-40B4-BE49-F238E27FC236}">
              <a16:creationId xmlns:a16="http://schemas.microsoft.com/office/drawing/2014/main" id="{735E35DA-3E6B-FD40-9937-CBB81A7DF619}"/>
            </a:ext>
          </a:extLst>
        </xdr:cNvPr>
        <xdr:cNvSpPr/>
      </xdr:nvSpPr>
      <xdr:spPr>
        <a:xfrm>
          <a:off x="12867587" y="3479800"/>
          <a:ext cx="2816913" cy="495300"/>
        </a:xfrm>
        <a:prstGeom prst="roundRect">
          <a:avLst>
            <a:gd name="adj" fmla="val 43110"/>
          </a:avLst>
        </a:prstGeom>
        <a:solidFill>
          <a:schemeClr val="accent5">
            <a:lumMod val="40000"/>
            <a:lumOff val="60000"/>
          </a:schemeClr>
        </a:solidFill>
        <a:ln w="44450">
          <a:solidFill>
            <a:sysClr val="windowText" lastClr="000000"/>
          </a:solidFill>
        </a:ln>
      </xdr:spPr>
      <xdr:txBody>
        <a:bodyPr vert="horz" wrap="square" lIns="0" tIns="0" rIns="0" bIns="0" rtlCol="0" anchor="ctr">
          <a:noAutofit/>
        </a:bodyPr>
        <a:lstStyle/>
        <a:p>
          <a:pPr marL="0" marR="0" lvl="0" indent="0" algn="ctr" defTabSz="914400" rtl="0" eaLnBrk="1" fontAlgn="auto" latinLnBrk="0" hangingPunct="1">
            <a:lnSpc>
              <a:spcPct val="100000"/>
            </a:lnSpc>
            <a:spcBef>
              <a:spcPts val="0"/>
            </a:spcBef>
            <a:spcAft>
              <a:spcPts val="0"/>
            </a:spcAft>
            <a:buClrTx/>
            <a:buSzTx/>
            <a:buFont typeface="Arial" panose="020B0604020202020204" pitchFamily="34" charset="0"/>
            <a:buNone/>
            <a:tabLst/>
            <a:defRPr/>
          </a:pPr>
          <a:r>
            <a:rPr lang="en-US" sz="2800" b="1" kern="1200">
              <a:ln w="0">
                <a:noFill/>
              </a:ln>
              <a:solidFill>
                <a:sysClr val="windowText" lastClr="000000"/>
              </a:solidFill>
              <a:latin typeface="Tw Cen MT"/>
              <a:ea typeface="+mn-ea"/>
              <a:cs typeface="+mn-cs"/>
            </a:rPr>
            <a:t>Estimated</a:t>
          </a:r>
        </a:p>
      </xdr:txBody>
    </xdr:sp>
    <xdr:clientData/>
  </xdr:twoCellAnchor>
  <xdr:twoCellAnchor>
    <xdr:from>
      <xdr:col>2</xdr:col>
      <xdr:colOff>417867</xdr:colOff>
      <xdr:row>104</xdr:row>
      <xdr:rowOff>241592</xdr:rowOff>
    </xdr:from>
    <xdr:to>
      <xdr:col>5</xdr:col>
      <xdr:colOff>329259</xdr:colOff>
      <xdr:row>107</xdr:row>
      <xdr:rowOff>179429</xdr:rowOff>
    </xdr:to>
    <xdr:sp macro="" textlink="">
      <xdr:nvSpPr>
        <xdr:cNvPr id="53" name="Rounded Rectangle 52">
          <a:extLst>
            <a:ext uri="{FF2B5EF4-FFF2-40B4-BE49-F238E27FC236}">
              <a16:creationId xmlns:a16="http://schemas.microsoft.com/office/drawing/2014/main" id="{7AADBC85-7B65-244E-AD53-4F76245EB3B5}"/>
            </a:ext>
          </a:extLst>
        </xdr:cNvPr>
        <xdr:cNvSpPr/>
      </xdr:nvSpPr>
      <xdr:spPr>
        <a:xfrm>
          <a:off x="6183667" y="27978392"/>
          <a:ext cx="6604292" cy="699837"/>
        </a:xfrm>
        <a:prstGeom prst="roundRect">
          <a:avLst>
            <a:gd name="adj" fmla="val 24141"/>
          </a:avLst>
        </a:prstGeom>
        <a:solidFill>
          <a:schemeClr val="accent5">
            <a:lumMod val="40000"/>
            <a:lumOff val="60000"/>
          </a:scheme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Estimated based on the </a:t>
          </a:r>
        </a:p>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 process time(h) * power rating consumption(kW)/L * Equipment Volume(L)</a:t>
          </a:r>
        </a:p>
      </xdr:txBody>
    </xdr:sp>
    <xdr:clientData/>
  </xdr:twoCellAnchor>
  <xdr:twoCellAnchor>
    <xdr:from>
      <xdr:col>2</xdr:col>
      <xdr:colOff>711948</xdr:colOff>
      <xdr:row>108</xdr:row>
      <xdr:rowOff>71120</xdr:rowOff>
    </xdr:from>
    <xdr:to>
      <xdr:col>3</xdr:col>
      <xdr:colOff>1557076</xdr:colOff>
      <xdr:row>111</xdr:row>
      <xdr:rowOff>10160</xdr:rowOff>
    </xdr:to>
    <xdr:sp macro="" textlink="">
      <xdr:nvSpPr>
        <xdr:cNvPr id="54" name="Rounded Rectangle 53">
          <a:extLst>
            <a:ext uri="{FF2B5EF4-FFF2-40B4-BE49-F238E27FC236}">
              <a16:creationId xmlns:a16="http://schemas.microsoft.com/office/drawing/2014/main" id="{4671067F-6B55-1D4D-9F8E-5584452538DC}"/>
            </a:ext>
          </a:extLst>
        </xdr:cNvPr>
        <xdr:cNvSpPr/>
      </xdr:nvSpPr>
      <xdr:spPr>
        <a:xfrm>
          <a:off x="6477748" y="28823920"/>
          <a:ext cx="2915228" cy="701040"/>
        </a:xfrm>
        <a:prstGeom prst="roundRect">
          <a:avLst>
            <a:gd name="adj" fmla="val 46754"/>
          </a:avLst>
        </a:prstGeom>
        <a:solidFill>
          <a:srgbClr val="B9D4B1"/>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Enter any auxilary energy usage</a:t>
          </a:r>
        </a:p>
      </xdr:txBody>
    </xdr:sp>
    <xdr:clientData/>
  </xdr:twoCellAnchor>
  <xdr:twoCellAnchor>
    <xdr:from>
      <xdr:col>2</xdr:col>
      <xdr:colOff>152400</xdr:colOff>
      <xdr:row>108</xdr:row>
      <xdr:rowOff>68918</xdr:rowOff>
    </xdr:from>
    <xdr:to>
      <xdr:col>2</xdr:col>
      <xdr:colOff>782844</xdr:colOff>
      <xdr:row>110</xdr:row>
      <xdr:rowOff>173520</xdr:rowOff>
    </xdr:to>
    <xdr:sp macro="" textlink="">
      <xdr:nvSpPr>
        <xdr:cNvPr id="55" name="Text Placeholder 1248">
          <a:extLst>
            <a:ext uri="{FF2B5EF4-FFF2-40B4-BE49-F238E27FC236}">
              <a16:creationId xmlns:a16="http://schemas.microsoft.com/office/drawing/2014/main" id="{61875AFD-2AA4-9649-A9E9-0CF39E2F336D}"/>
            </a:ext>
          </a:extLst>
        </xdr:cNvPr>
        <xdr:cNvSpPr>
          <a:spLocks noGrp="1"/>
        </xdr:cNvSpPr>
      </xdr:nvSpPr>
      <xdr:spPr>
        <a:xfrm>
          <a:off x="5918200" y="28821718"/>
          <a:ext cx="630444" cy="612602"/>
        </a:xfrm>
        <a:prstGeom prst="ellipse">
          <a:avLst/>
        </a:prstGeom>
        <a:solidFill>
          <a:srgbClr val="60CCF3"/>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pPr marL="0" indent="0" algn="ctr" defTabSz="914400" rtl="0" eaLnBrk="1" latinLnBrk="0" hangingPunct="1">
            <a:lnSpc>
              <a:spcPct val="100000"/>
            </a:lnSpc>
            <a:spcBef>
              <a:spcPts val="0"/>
            </a:spcBef>
            <a:buFont typeface="Arial" panose="020B0604020202020204" pitchFamily="34" charset="0"/>
            <a:buNone/>
          </a:pPr>
          <a:r>
            <a:rPr lang="en-US" sz="2800" b="1" kern="1200">
              <a:ln w="0">
                <a:noFill/>
              </a:ln>
              <a:solidFill>
                <a:sysClr val="windowText" lastClr="000000"/>
              </a:solidFill>
              <a:latin typeface="Arial" panose="020B0604020202020204" pitchFamily="34" charset="0"/>
              <a:ea typeface="+mn-ea"/>
              <a:cs typeface="Arial" panose="020B0604020202020204" pitchFamily="34" charset="0"/>
            </a:rPr>
            <a:t>13</a:t>
          </a:r>
        </a:p>
      </xdr:txBody>
    </xdr:sp>
    <xdr:clientData/>
  </xdr:twoCellAnchor>
  <xdr:twoCellAnchor>
    <xdr:from>
      <xdr:col>0</xdr:col>
      <xdr:colOff>0</xdr:colOff>
      <xdr:row>104</xdr:row>
      <xdr:rowOff>91440</xdr:rowOff>
    </xdr:from>
    <xdr:to>
      <xdr:col>1</xdr:col>
      <xdr:colOff>901700</xdr:colOff>
      <xdr:row>106</xdr:row>
      <xdr:rowOff>118020</xdr:rowOff>
    </xdr:to>
    <xdr:sp macro="" textlink="">
      <xdr:nvSpPr>
        <xdr:cNvPr id="56" name="Rounded Rectangle 55">
          <a:extLst>
            <a:ext uri="{FF2B5EF4-FFF2-40B4-BE49-F238E27FC236}">
              <a16:creationId xmlns:a16="http://schemas.microsoft.com/office/drawing/2014/main" id="{487AA5D2-636B-1349-8B5F-E898806749C2}"/>
            </a:ext>
          </a:extLst>
        </xdr:cNvPr>
        <xdr:cNvSpPr/>
      </xdr:nvSpPr>
      <xdr:spPr>
        <a:xfrm>
          <a:off x="0" y="27828240"/>
          <a:ext cx="4572000" cy="534580"/>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Best Estimate: With idle Electricity</a:t>
          </a:r>
        </a:p>
      </xdr:txBody>
    </xdr:sp>
    <xdr:clientData/>
  </xdr:twoCellAnchor>
  <xdr:twoCellAnchor>
    <xdr:from>
      <xdr:col>0</xdr:col>
      <xdr:colOff>53287</xdr:colOff>
      <xdr:row>117</xdr:row>
      <xdr:rowOff>74768</xdr:rowOff>
    </xdr:from>
    <xdr:to>
      <xdr:col>3</xdr:col>
      <xdr:colOff>1110140</xdr:colOff>
      <xdr:row>119</xdr:row>
      <xdr:rowOff>208704</xdr:rowOff>
    </xdr:to>
    <xdr:sp macro="" textlink="">
      <xdr:nvSpPr>
        <xdr:cNvPr id="57" name="Rounded Rectangle 56">
          <a:extLst>
            <a:ext uri="{FF2B5EF4-FFF2-40B4-BE49-F238E27FC236}">
              <a16:creationId xmlns:a16="http://schemas.microsoft.com/office/drawing/2014/main" id="{9F4AA2C4-CAC9-BE4B-877F-CA8500A40CB5}"/>
            </a:ext>
          </a:extLst>
        </xdr:cNvPr>
        <xdr:cNvSpPr/>
      </xdr:nvSpPr>
      <xdr:spPr>
        <a:xfrm>
          <a:off x="53287" y="31113568"/>
          <a:ext cx="8892753" cy="641936"/>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1.4 Carbon Dioxide Equivalent Estimate</a:t>
          </a:r>
        </a:p>
      </xdr:txBody>
    </xdr:sp>
    <xdr:clientData/>
  </xdr:twoCellAnchor>
  <xdr:twoCellAnchor>
    <xdr:from>
      <xdr:col>0</xdr:col>
      <xdr:colOff>0</xdr:colOff>
      <xdr:row>121</xdr:row>
      <xdr:rowOff>80491</xdr:rowOff>
    </xdr:from>
    <xdr:to>
      <xdr:col>0</xdr:col>
      <xdr:colOff>2816913</xdr:colOff>
      <xdr:row>123</xdr:row>
      <xdr:rowOff>107072</xdr:rowOff>
    </xdr:to>
    <xdr:sp macro="" textlink="">
      <xdr:nvSpPr>
        <xdr:cNvPr id="58" name="Rounded Rectangle 57">
          <a:extLst>
            <a:ext uri="{FF2B5EF4-FFF2-40B4-BE49-F238E27FC236}">
              <a16:creationId xmlns:a16="http://schemas.microsoft.com/office/drawing/2014/main" id="{16673D83-D672-DF41-A05D-D247ADDACD83}"/>
            </a:ext>
          </a:extLst>
        </xdr:cNvPr>
        <xdr:cNvSpPr/>
      </xdr:nvSpPr>
      <xdr:spPr>
        <a:xfrm>
          <a:off x="0" y="32135291"/>
          <a:ext cx="2816913" cy="534581"/>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1.4.1 Good Estimate</a:t>
          </a:r>
        </a:p>
      </xdr:txBody>
    </xdr:sp>
    <xdr:clientData/>
  </xdr:twoCellAnchor>
  <xdr:twoCellAnchor>
    <xdr:from>
      <xdr:col>1</xdr:col>
      <xdr:colOff>411362</xdr:colOff>
      <xdr:row>120</xdr:row>
      <xdr:rowOff>101493</xdr:rowOff>
    </xdr:from>
    <xdr:to>
      <xdr:col>2</xdr:col>
      <xdr:colOff>770107</xdr:colOff>
      <xdr:row>123</xdr:row>
      <xdr:rowOff>40532</xdr:rowOff>
    </xdr:to>
    <xdr:sp macro="" textlink="">
      <xdr:nvSpPr>
        <xdr:cNvPr id="59" name="Rounded Rectangle 58">
          <a:extLst>
            <a:ext uri="{FF2B5EF4-FFF2-40B4-BE49-F238E27FC236}">
              <a16:creationId xmlns:a16="http://schemas.microsoft.com/office/drawing/2014/main" id="{6F779310-8E9A-1B4F-839E-D5689A552421}"/>
            </a:ext>
          </a:extLst>
        </xdr:cNvPr>
        <xdr:cNvSpPr/>
      </xdr:nvSpPr>
      <xdr:spPr>
        <a:xfrm>
          <a:off x="4081662" y="31902293"/>
          <a:ext cx="2454245" cy="701039"/>
        </a:xfrm>
        <a:prstGeom prst="roundRect">
          <a:avLst>
            <a:gd name="adj" fmla="val 46754"/>
          </a:avLst>
        </a:prstGeom>
        <a:solidFill>
          <a:srgbClr val="B9D4B1"/>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Select location of power source</a:t>
          </a:r>
        </a:p>
      </xdr:txBody>
    </xdr:sp>
    <xdr:clientData/>
  </xdr:twoCellAnchor>
  <xdr:twoCellAnchor>
    <xdr:from>
      <xdr:col>0</xdr:col>
      <xdr:colOff>3526708</xdr:colOff>
      <xdr:row>120</xdr:row>
      <xdr:rowOff>99291</xdr:rowOff>
    </xdr:from>
    <xdr:to>
      <xdr:col>1</xdr:col>
      <xdr:colOff>482258</xdr:colOff>
      <xdr:row>122</xdr:row>
      <xdr:rowOff>203892</xdr:rowOff>
    </xdr:to>
    <xdr:sp macro="" textlink="">
      <xdr:nvSpPr>
        <xdr:cNvPr id="60" name="Text Placeholder 1248">
          <a:extLst>
            <a:ext uri="{FF2B5EF4-FFF2-40B4-BE49-F238E27FC236}">
              <a16:creationId xmlns:a16="http://schemas.microsoft.com/office/drawing/2014/main" id="{C89D7789-4017-384F-88DB-7A9B1132D3CB}"/>
            </a:ext>
          </a:extLst>
        </xdr:cNvPr>
        <xdr:cNvSpPr>
          <a:spLocks noGrp="1"/>
        </xdr:cNvSpPr>
      </xdr:nvSpPr>
      <xdr:spPr>
        <a:xfrm>
          <a:off x="3526708" y="31900091"/>
          <a:ext cx="625850" cy="612601"/>
        </a:xfrm>
        <a:prstGeom prst="ellipse">
          <a:avLst/>
        </a:prstGeom>
        <a:solidFill>
          <a:srgbClr val="60CCF3"/>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pPr marL="0" indent="0" algn="ctr" defTabSz="914400" rtl="0" eaLnBrk="1" latinLnBrk="0" hangingPunct="1">
            <a:lnSpc>
              <a:spcPct val="100000"/>
            </a:lnSpc>
            <a:spcBef>
              <a:spcPts val="0"/>
            </a:spcBef>
            <a:buFont typeface="Arial" panose="020B0604020202020204" pitchFamily="34" charset="0"/>
            <a:buNone/>
          </a:pPr>
          <a:r>
            <a:rPr lang="en-US" sz="2800" b="1" kern="1200">
              <a:ln w="0">
                <a:noFill/>
              </a:ln>
              <a:solidFill>
                <a:sysClr val="windowText" lastClr="000000"/>
              </a:solidFill>
              <a:latin typeface="Arial" panose="020B0604020202020204" pitchFamily="34" charset="0"/>
              <a:ea typeface="+mn-ea"/>
              <a:cs typeface="Arial" panose="020B0604020202020204" pitchFamily="34" charset="0"/>
            </a:rPr>
            <a:t>14</a:t>
          </a:r>
        </a:p>
      </xdr:txBody>
    </xdr:sp>
    <xdr:clientData/>
  </xdr:twoCellAnchor>
  <xdr:twoCellAnchor>
    <xdr:from>
      <xdr:col>2</xdr:col>
      <xdr:colOff>532526</xdr:colOff>
      <xdr:row>142</xdr:row>
      <xdr:rowOff>110286</xdr:rowOff>
    </xdr:from>
    <xdr:to>
      <xdr:col>3</xdr:col>
      <xdr:colOff>2283297</xdr:colOff>
      <xdr:row>145</xdr:row>
      <xdr:rowOff>49326</xdr:rowOff>
    </xdr:to>
    <xdr:sp macro="" textlink="">
      <xdr:nvSpPr>
        <xdr:cNvPr id="61" name="Rounded Rectangle 60">
          <a:extLst>
            <a:ext uri="{FF2B5EF4-FFF2-40B4-BE49-F238E27FC236}">
              <a16:creationId xmlns:a16="http://schemas.microsoft.com/office/drawing/2014/main" id="{7D17AF1E-754C-0D42-96EA-D03F912AA912}"/>
            </a:ext>
          </a:extLst>
        </xdr:cNvPr>
        <xdr:cNvSpPr/>
      </xdr:nvSpPr>
      <xdr:spPr>
        <a:xfrm>
          <a:off x="6298326" y="37778486"/>
          <a:ext cx="3820871" cy="701040"/>
        </a:xfrm>
        <a:prstGeom prst="roundRect">
          <a:avLst>
            <a:gd name="adj" fmla="val 46754"/>
          </a:avLst>
        </a:prstGeom>
        <a:solidFill>
          <a:srgbClr val="B9D4B1"/>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Enter total amount of final product obtained in this process</a:t>
          </a:r>
        </a:p>
      </xdr:txBody>
    </xdr:sp>
    <xdr:clientData/>
  </xdr:twoCellAnchor>
  <xdr:twoCellAnchor>
    <xdr:from>
      <xdr:col>2</xdr:col>
      <xdr:colOff>65609</xdr:colOff>
      <xdr:row>142</xdr:row>
      <xdr:rowOff>199524</xdr:rowOff>
    </xdr:from>
    <xdr:to>
      <xdr:col>2</xdr:col>
      <xdr:colOff>650489</xdr:colOff>
      <xdr:row>145</xdr:row>
      <xdr:rowOff>50126</xdr:rowOff>
    </xdr:to>
    <xdr:sp macro="" textlink="">
      <xdr:nvSpPr>
        <xdr:cNvPr id="62" name="Text Placeholder 1248">
          <a:extLst>
            <a:ext uri="{FF2B5EF4-FFF2-40B4-BE49-F238E27FC236}">
              <a16:creationId xmlns:a16="http://schemas.microsoft.com/office/drawing/2014/main" id="{96DAE0D0-421A-D74E-9A6D-4D7008797B12}"/>
            </a:ext>
          </a:extLst>
        </xdr:cNvPr>
        <xdr:cNvSpPr>
          <a:spLocks noGrp="1"/>
        </xdr:cNvSpPr>
      </xdr:nvSpPr>
      <xdr:spPr>
        <a:xfrm>
          <a:off x="5831409" y="37867724"/>
          <a:ext cx="584880" cy="612602"/>
        </a:xfrm>
        <a:prstGeom prst="ellipse">
          <a:avLst/>
        </a:prstGeom>
        <a:solidFill>
          <a:srgbClr val="FFCD00"/>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pPr marL="0" indent="0" algn="ctr" defTabSz="914400" rtl="0" eaLnBrk="1" latinLnBrk="0" hangingPunct="1">
            <a:lnSpc>
              <a:spcPct val="100000"/>
            </a:lnSpc>
            <a:spcBef>
              <a:spcPts val="0"/>
            </a:spcBef>
            <a:buFont typeface="Arial" panose="020B0604020202020204" pitchFamily="34" charset="0"/>
            <a:buNone/>
          </a:pPr>
          <a:r>
            <a:rPr lang="en-US" sz="2800" b="1" kern="1200">
              <a:ln w="0">
                <a:noFill/>
              </a:ln>
              <a:solidFill>
                <a:sysClr val="windowText" lastClr="000000"/>
              </a:solidFill>
              <a:latin typeface="Arial" panose="020B0604020202020204" pitchFamily="34" charset="0"/>
              <a:ea typeface="+mn-ea"/>
              <a:cs typeface="Arial" panose="020B0604020202020204" pitchFamily="34" charset="0"/>
            </a:rPr>
            <a:t>15</a:t>
          </a:r>
        </a:p>
      </xdr:txBody>
    </xdr:sp>
    <xdr:clientData/>
  </xdr:twoCellAnchor>
  <xdr:twoCellAnchor>
    <xdr:from>
      <xdr:col>2</xdr:col>
      <xdr:colOff>972767</xdr:colOff>
      <xdr:row>120</xdr:row>
      <xdr:rowOff>62164</xdr:rowOff>
    </xdr:from>
    <xdr:to>
      <xdr:col>4</xdr:col>
      <xdr:colOff>494697</xdr:colOff>
      <xdr:row>123</xdr:row>
      <xdr:rowOff>1</xdr:rowOff>
    </xdr:to>
    <xdr:sp macro="" textlink="">
      <xdr:nvSpPr>
        <xdr:cNvPr id="63" name="Rounded Rectangle 62">
          <a:hlinkClick xmlns:r="http://schemas.openxmlformats.org/officeDocument/2006/relationships" r:id="rId6"/>
          <a:extLst>
            <a:ext uri="{FF2B5EF4-FFF2-40B4-BE49-F238E27FC236}">
              <a16:creationId xmlns:a16="http://schemas.microsoft.com/office/drawing/2014/main" id="{AD3CA4FC-4392-E14F-A133-C30526D05672}"/>
            </a:ext>
          </a:extLst>
        </xdr:cNvPr>
        <xdr:cNvSpPr/>
      </xdr:nvSpPr>
      <xdr:spPr>
        <a:xfrm>
          <a:off x="6738567" y="31862964"/>
          <a:ext cx="3903430" cy="699837"/>
        </a:xfrm>
        <a:prstGeom prst="roundRect">
          <a:avLst>
            <a:gd name="adj" fmla="val 24141"/>
          </a:avLst>
        </a:prstGeom>
        <a:solidFill>
          <a:schemeClr val="accent5">
            <a:lumMod val="40000"/>
            <a:lumOff val="60000"/>
          </a:scheme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Click to view CO2e data from each state</a:t>
          </a:r>
        </a:p>
      </xdr:txBody>
    </xdr:sp>
    <xdr:clientData/>
  </xdr:twoCellAnchor>
  <xdr:twoCellAnchor>
    <xdr:from>
      <xdr:col>0</xdr:col>
      <xdr:colOff>0</xdr:colOff>
      <xdr:row>150</xdr:row>
      <xdr:rowOff>0</xdr:rowOff>
    </xdr:from>
    <xdr:to>
      <xdr:col>3</xdr:col>
      <xdr:colOff>1056853</xdr:colOff>
      <xdr:row>153</xdr:row>
      <xdr:rowOff>82507</xdr:rowOff>
    </xdr:to>
    <xdr:sp macro="" textlink="">
      <xdr:nvSpPr>
        <xdr:cNvPr id="64" name="Rounded Rectangle 63">
          <a:extLst>
            <a:ext uri="{FF2B5EF4-FFF2-40B4-BE49-F238E27FC236}">
              <a16:creationId xmlns:a16="http://schemas.microsoft.com/office/drawing/2014/main" id="{10293B8A-12EB-D34D-9E8C-3E2C15D1CD70}"/>
            </a:ext>
          </a:extLst>
        </xdr:cNvPr>
        <xdr:cNvSpPr/>
      </xdr:nvSpPr>
      <xdr:spPr>
        <a:xfrm>
          <a:off x="0" y="39700200"/>
          <a:ext cx="8892753" cy="844507"/>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2. Outputs</a:t>
          </a:r>
        </a:p>
      </xdr:txBody>
    </xdr:sp>
    <xdr:clientData/>
  </xdr:twoCellAnchor>
  <xdr:twoCellAnchor>
    <xdr:from>
      <xdr:col>0</xdr:col>
      <xdr:colOff>0</xdr:colOff>
      <xdr:row>153</xdr:row>
      <xdr:rowOff>148617</xdr:rowOff>
    </xdr:from>
    <xdr:to>
      <xdr:col>1</xdr:col>
      <xdr:colOff>1567234</xdr:colOff>
      <xdr:row>155</xdr:row>
      <xdr:rowOff>231123</xdr:rowOff>
    </xdr:to>
    <xdr:sp macro="" textlink="">
      <xdr:nvSpPr>
        <xdr:cNvPr id="65" name="Rounded Rectangle 64">
          <a:extLst>
            <a:ext uri="{FF2B5EF4-FFF2-40B4-BE49-F238E27FC236}">
              <a16:creationId xmlns:a16="http://schemas.microsoft.com/office/drawing/2014/main" id="{AA02926F-9F4C-6F4C-A141-09AC8B3ABC07}"/>
            </a:ext>
          </a:extLst>
        </xdr:cNvPr>
        <xdr:cNvSpPr/>
      </xdr:nvSpPr>
      <xdr:spPr>
        <a:xfrm>
          <a:off x="0" y="40610817"/>
          <a:ext cx="5237534" cy="590506"/>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2.1 Products</a:t>
          </a:r>
        </a:p>
      </xdr:txBody>
    </xdr:sp>
    <xdr:clientData/>
  </xdr:twoCellAnchor>
  <xdr:twoCellAnchor>
    <xdr:from>
      <xdr:col>0</xdr:col>
      <xdr:colOff>0</xdr:colOff>
      <xdr:row>164</xdr:row>
      <xdr:rowOff>229680</xdr:rowOff>
    </xdr:from>
    <xdr:to>
      <xdr:col>1</xdr:col>
      <xdr:colOff>1567234</xdr:colOff>
      <xdr:row>167</xdr:row>
      <xdr:rowOff>55485</xdr:rowOff>
    </xdr:to>
    <xdr:sp macro="" textlink="">
      <xdr:nvSpPr>
        <xdr:cNvPr id="66" name="Rounded Rectangle 65">
          <a:extLst>
            <a:ext uri="{FF2B5EF4-FFF2-40B4-BE49-F238E27FC236}">
              <a16:creationId xmlns:a16="http://schemas.microsoft.com/office/drawing/2014/main" id="{0E1AF096-0E39-1846-BCE9-6984A078C2EC}"/>
            </a:ext>
          </a:extLst>
        </xdr:cNvPr>
        <xdr:cNvSpPr/>
      </xdr:nvSpPr>
      <xdr:spPr>
        <a:xfrm>
          <a:off x="0" y="43485880"/>
          <a:ext cx="5237534" cy="587805"/>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2.2. Emissions</a:t>
          </a:r>
        </a:p>
      </xdr:txBody>
    </xdr:sp>
    <xdr:clientData/>
  </xdr:twoCellAnchor>
  <xdr:twoCellAnchor>
    <xdr:from>
      <xdr:col>2</xdr:col>
      <xdr:colOff>684374</xdr:colOff>
      <xdr:row>156</xdr:row>
      <xdr:rowOff>187222</xdr:rowOff>
    </xdr:from>
    <xdr:to>
      <xdr:col>4</xdr:col>
      <xdr:colOff>129819</xdr:colOff>
      <xdr:row>160</xdr:row>
      <xdr:rowOff>82827</xdr:rowOff>
    </xdr:to>
    <xdr:sp macro="" textlink="">
      <xdr:nvSpPr>
        <xdr:cNvPr id="67" name="Rounded Rectangle 66">
          <a:extLst>
            <a:ext uri="{FF2B5EF4-FFF2-40B4-BE49-F238E27FC236}">
              <a16:creationId xmlns:a16="http://schemas.microsoft.com/office/drawing/2014/main" id="{4F90CF3D-A5DC-4E4C-8CB8-223090F7FC16}"/>
            </a:ext>
          </a:extLst>
        </xdr:cNvPr>
        <xdr:cNvSpPr/>
      </xdr:nvSpPr>
      <xdr:spPr>
        <a:xfrm>
          <a:off x="6450174" y="41411422"/>
          <a:ext cx="3826945" cy="911605"/>
        </a:xfrm>
        <a:prstGeom prst="roundRect">
          <a:avLst>
            <a:gd name="adj" fmla="val 46754"/>
          </a:avLst>
        </a:prstGeom>
        <a:solidFill>
          <a:srgbClr val="B9D4B1"/>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By-products information and wastewater</a:t>
          </a:r>
        </a:p>
      </xdr:txBody>
    </xdr:sp>
    <xdr:clientData/>
  </xdr:twoCellAnchor>
  <xdr:twoCellAnchor>
    <xdr:from>
      <xdr:col>2</xdr:col>
      <xdr:colOff>120716</xdr:colOff>
      <xdr:row>157</xdr:row>
      <xdr:rowOff>39063</xdr:rowOff>
    </xdr:from>
    <xdr:to>
      <xdr:col>2</xdr:col>
      <xdr:colOff>755271</xdr:colOff>
      <xdr:row>159</xdr:row>
      <xdr:rowOff>143665</xdr:rowOff>
    </xdr:to>
    <xdr:sp macro="" textlink="">
      <xdr:nvSpPr>
        <xdr:cNvPr id="68" name="Text Placeholder 1248">
          <a:extLst>
            <a:ext uri="{FF2B5EF4-FFF2-40B4-BE49-F238E27FC236}">
              <a16:creationId xmlns:a16="http://schemas.microsoft.com/office/drawing/2014/main" id="{B886D71E-171C-8143-825B-524AB91124FD}"/>
            </a:ext>
          </a:extLst>
        </xdr:cNvPr>
        <xdr:cNvSpPr>
          <a:spLocks noGrp="1"/>
        </xdr:cNvSpPr>
      </xdr:nvSpPr>
      <xdr:spPr>
        <a:xfrm>
          <a:off x="5886516" y="41517263"/>
          <a:ext cx="634555" cy="612602"/>
        </a:xfrm>
        <a:prstGeom prst="ellipse">
          <a:avLst/>
        </a:prstGeom>
        <a:solidFill>
          <a:srgbClr val="60CCF3"/>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pPr marL="0" indent="0" algn="ctr" defTabSz="914400" rtl="0" eaLnBrk="1" latinLnBrk="0" hangingPunct="1">
            <a:lnSpc>
              <a:spcPct val="100000"/>
            </a:lnSpc>
            <a:spcBef>
              <a:spcPts val="0"/>
            </a:spcBef>
            <a:buFont typeface="Arial" panose="020B0604020202020204" pitchFamily="34" charset="0"/>
            <a:buNone/>
          </a:pPr>
          <a:r>
            <a:rPr lang="en-US" sz="2800" b="1" kern="1200">
              <a:ln w="0">
                <a:noFill/>
              </a:ln>
              <a:solidFill>
                <a:sysClr val="windowText" lastClr="000000"/>
              </a:solidFill>
              <a:latin typeface="Arial" panose="020B0604020202020204" pitchFamily="34" charset="0"/>
              <a:ea typeface="+mn-ea"/>
              <a:cs typeface="Arial" panose="020B0604020202020204" pitchFamily="34" charset="0"/>
            </a:rPr>
            <a:t>16</a:t>
          </a:r>
        </a:p>
      </xdr:txBody>
    </xdr:sp>
    <xdr:clientData/>
  </xdr:twoCellAnchor>
  <xdr:twoCellAnchor>
    <xdr:from>
      <xdr:col>0</xdr:col>
      <xdr:colOff>0</xdr:colOff>
      <xdr:row>179</xdr:row>
      <xdr:rowOff>77832</xdr:rowOff>
    </xdr:from>
    <xdr:to>
      <xdr:col>1</xdr:col>
      <xdr:colOff>1567234</xdr:colOff>
      <xdr:row>181</xdr:row>
      <xdr:rowOff>152115</xdr:rowOff>
    </xdr:to>
    <xdr:sp macro="" textlink="">
      <xdr:nvSpPr>
        <xdr:cNvPr id="69" name="Rounded Rectangle 68">
          <a:extLst>
            <a:ext uri="{FF2B5EF4-FFF2-40B4-BE49-F238E27FC236}">
              <a16:creationId xmlns:a16="http://schemas.microsoft.com/office/drawing/2014/main" id="{54AFBA34-7A47-5541-BEFF-9FB901A0434D}"/>
            </a:ext>
          </a:extLst>
        </xdr:cNvPr>
        <xdr:cNvSpPr/>
      </xdr:nvSpPr>
      <xdr:spPr>
        <a:xfrm>
          <a:off x="0" y="47144032"/>
          <a:ext cx="5237534" cy="582283"/>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2.3. Water Consumption</a:t>
          </a:r>
        </a:p>
      </xdr:txBody>
    </xdr:sp>
    <xdr:clientData/>
  </xdr:twoCellAnchor>
  <xdr:twoCellAnchor>
    <xdr:from>
      <xdr:col>0</xdr:col>
      <xdr:colOff>0</xdr:colOff>
      <xdr:row>184</xdr:row>
      <xdr:rowOff>160658</xdr:rowOff>
    </xdr:from>
    <xdr:to>
      <xdr:col>1</xdr:col>
      <xdr:colOff>1567234</xdr:colOff>
      <xdr:row>186</xdr:row>
      <xdr:rowOff>234941</xdr:rowOff>
    </xdr:to>
    <xdr:sp macro="" textlink="">
      <xdr:nvSpPr>
        <xdr:cNvPr id="70" name="Rounded Rectangle 69">
          <a:extLst>
            <a:ext uri="{FF2B5EF4-FFF2-40B4-BE49-F238E27FC236}">
              <a16:creationId xmlns:a16="http://schemas.microsoft.com/office/drawing/2014/main" id="{DD5F1507-F8F9-D942-892C-6049EA037CAB}"/>
            </a:ext>
          </a:extLst>
        </xdr:cNvPr>
        <xdr:cNvSpPr/>
      </xdr:nvSpPr>
      <xdr:spPr>
        <a:xfrm>
          <a:off x="0" y="48496858"/>
          <a:ext cx="5237534" cy="582283"/>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2.4 Emission Outputs </a:t>
          </a:r>
        </a:p>
      </xdr:txBody>
    </xdr:sp>
    <xdr:clientData/>
  </xdr:twoCellAnchor>
  <xdr:twoCellAnchor>
    <xdr:from>
      <xdr:col>0</xdr:col>
      <xdr:colOff>0</xdr:colOff>
      <xdr:row>191</xdr:row>
      <xdr:rowOff>8811</xdr:rowOff>
    </xdr:from>
    <xdr:to>
      <xdr:col>1</xdr:col>
      <xdr:colOff>1567234</xdr:colOff>
      <xdr:row>193</xdr:row>
      <xdr:rowOff>83093</xdr:rowOff>
    </xdr:to>
    <xdr:sp macro="" textlink="">
      <xdr:nvSpPr>
        <xdr:cNvPr id="71" name="Rounded Rectangle 70">
          <a:extLst>
            <a:ext uri="{FF2B5EF4-FFF2-40B4-BE49-F238E27FC236}">
              <a16:creationId xmlns:a16="http://schemas.microsoft.com/office/drawing/2014/main" id="{44B45953-0C5E-3B4E-9B71-CB75594ADFB9}"/>
            </a:ext>
          </a:extLst>
        </xdr:cNvPr>
        <xdr:cNvSpPr/>
      </xdr:nvSpPr>
      <xdr:spPr>
        <a:xfrm>
          <a:off x="0" y="50148411"/>
          <a:ext cx="5237534" cy="582282"/>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2.5 Energy Consumption Calculation</a:t>
          </a:r>
        </a:p>
      </xdr:txBody>
    </xdr:sp>
    <xdr:clientData/>
  </xdr:twoCellAnchor>
  <xdr:twoCellAnchor>
    <xdr:from>
      <xdr:col>4</xdr:col>
      <xdr:colOff>711983</xdr:colOff>
      <xdr:row>163</xdr:row>
      <xdr:rowOff>173419</xdr:rowOff>
    </xdr:from>
    <xdr:to>
      <xdr:col>5</xdr:col>
      <xdr:colOff>1772537</xdr:colOff>
      <xdr:row>167</xdr:row>
      <xdr:rowOff>69024</xdr:rowOff>
    </xdr:to>
    <xdr:sp macro="" textlink="">
      <xdr:nvSpPr>
        <xdr:cNvPr id="72" name="Rounded Rectangle 71">
          <a:extLst>
            <a:ext uri="{FF2B5EF4-FFF2-40B4-BE49-F238E27FC236}">
              <a16:creationId xmlns:a16="http://schemas.microsoft.com/office/drawing/2014/main" id="{8719CBA0-539D-F740-8B81-C3179BBAE723}"/>
            </a:ext>
          </a:extLst>
        </xdr:cNvPr>
        <xdr:cNvSpPr/>
      </xdr:nvSpPr>
      <xdr:spPr>
        <a:xfrm>
          <a:off x="10859283" y="43175619"/>
          <a:ext cx="3371954" cy="911605"/>
        </a:xfrm>
        <a:prstGeom prst="roundRect">
          <a:avLst>
            <a:gd name="adj" fmla="val 46754"/>
          </a:avLst>
        </a:prstGeom>
        <a:solidFill>
          <a:srgbClr val="B9D4B1"/>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Enter information regarding air and solid waste emission to environment</a:t>
          </a:r>
        </a:p>
      </xdr:txBody>
    </xdr:sp>
    <xdr:clientData/>
  </xdr:twoCellAnchor>
  <xdr:twoCellAnchor>
    <xdr:from>
      <xdr:col>4</xdr:col>
      <xdr:colOff>148325</xdr:colOff>
      <xdr:row>164</xdr:row>
      <xdr:rowOff>25259</xdr:rowOff>
    </xdr:from>
    <xdr:to>
      <xdr:col>4</xdr:col>
      <xdr:colOff>782880</xdr:colOff>
      <xdr:row>166</xdr:row>
      <xdr:rowOff>129861</xdr:rowOff>
    </xdr:to>
    <xdr:sp macro="" textlink="">
      <xdr:nvSpPr>
        <xdr:cNvPr id="73" name="Text Placeholder 1248">
          <a:extLst>
            <a:ext uri="{FF2B5EF4-FFF2-40B4-BE49-F238E27FC236}">
              <a16:creationId xmlns:a16="http://schemas.microsoft.com/office/drawing/2014/main" id="{C765DD19-683C-8346-AF64-C3521AE870EA}"/>
            </a:ext>
          </a:extLst>
        </xdr:cNvPr>
        <xdr:cNvSpPr>
          <a:spLocks noGrp="1"/>
        </xdr:cNvSpPr>
      </xdr:nvSpPr>
      <xdr:spPr>
        <a:xfrm>
          <a:off x="10295625" y="43281459"/>
          <a:ext cx="634555" cy="612602"/>
        </a:xfrm>
        <a:prstGeom prst="ellipse">
          <a:avLst/>
        </a:prstGeom>
        <a:solidFill>
          <a:srgbClr val="60CCF3"/>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pPr marL="0" indent="0" algn="ctr" defTabSz="914400" rtl="0" eaLnBrk="1" latinLnBrk="0" hangingPunct="1">
            <a:lnSpc>
              <a:spcPct val="100000"/>
            </a:lnSpc>
            <a:spcBef>
              <a:spcPts val="0"/>
            </a:spcBef>
            <a:buFont typeface="Arial" panose="020B0604020202020204" pitchFamily="34" charset="0"/>
            <a:buNone/>
          </a:pPr>
          <a:r>
            <a:rPr lang="en-US" sz="2800" b="1" kern="1200">
              <a:ln w="0">
                <a:noFill/>
              </a:ln>
              <a:solidFill>
                <a:sysClr val="windowText" lastClr="000000"/>
              </a:solidFill>
              <a:latin typeface="Arial" panose="020B0604020202020204" pitchFamily="34" charset="0"/>
              <a:ea typeface="+mn-ea"/>
              <a:cs typeface="Arial" panose="020B0604020202020204" pitchFamily="34" charset="0"/>
            </a:rPr>
            <a:t>17</a:t>
          </a:r>
        </a:p>
      </xdr:txBody>
    </xdr:sp>
    <xdr:clientData/>
  </xdr:twoCellAnchor>
  <xdr:twoCellAnchor>
    <xdr:from>
      <xdr:col>0</xdr:col>
      <xdr:colOff>0</xdr:colOff>
      <xdr:row>197</xdr:row>
      <xdr:rowOff>138043</xdr:rowOff>
    </xdr:from>
    <xdr:to>
      <xdr:col>3</xdr:col>
      <xdr:colOff>1056853</xdr:colOff>
      <xdr:row>200</xdr:row>
      <xdr:rowOff>220550</xdr:rowOff>
    </xdr:to>
    <xdr:sp macro="" textlink="">
      <xdr:nvSpPr>
        <xdr:cNvPr id="74" name="Rounded Rectangle 73">
          <a:extLst>
            <a:ext uri="{FF2B5EF4-FFF2-40B4-BE49-F238E27FC236}">
              <a16:creationId xmlns:a16="http://schemas.microsoft.com/office/drawing/2014/main" id="{E6CC1F86-1551-7E43-A612-21082886211A}"/>
            </a:ext>
          </a:extLst>
        </xdr:cNvPr>
        <xdr:cNvSpPr/>
      </xdr:nvSpPr>
      <xdr:spPr>
        <a:xfrm>
          <a:off x="0" y="51801643"/>
          <a:ext cx="8892753" cy="844507"/>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3. Impact Assessment</a:t>
          </a:r>
        </a:p>
      </xdr:txBody>
    </xdr:sp>
    <xdr:clientData/>
  </xdr:twoCellAnchor>
  <xdr:twoCellAnchor>
    <xdr:from>
      <xdr:col>0</xdr:col>
      <xdr:colOff>0</xdr:colOff>
      <xdr:row>213</xdr:row>
      <xdr:rowOff>0</xdr:rowOff>
    </xdr:from>
    <xdr:to>
      <xdr:col>0</xdr:col>
      <xdr:colOff>2834381</xdr:colOff>
      <xdr:row>215</xdr:row>
      <xdr:rowOff>10569</xdr:rowOff>
    </xdr:to>
    <xdr:sp macro="" textlink="">
      <xdr:nvSpPr>
        <xdr:cNvPr id="75" name="Rounded Rectangle 74" descr="Navigation button for Start worksheet">
          <a:hlinkClick xmlns:r="http://schemas.openxmlformats.org/officeDocument/2006/relationships" r:id="rId7"/>
          <a:extLst>
            <a:ext uri="{FF2B5EF4-FFF2-40B4-BE49-F238E27FC236}">
              <a16:creationId xmlns:a16="http://schemas.microsoft.com/office/drawing/2014/main" id="{F9184ACD-C231-7D48-AE45-C4F76D2DD847}"/>
            </a:ext>
          </a:extLst>
        </xdr:cNvPr>
        <xdr:cNvSpPr/>
      </xdr:nvSpPr>
      <xdr:spPr>
        <a:xfrm>
          <a:off x="0" y="55727600"/>
          <a:ext cx="2834381" cy="518569"/>
        </a:xfrm>
        <a:prstGeom prst="roundRect">
          <a:avLst>
            <a:gd name="adj" fmla="val 5000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Back to top</a:t>
          </a:r>
        </a:p>
      </xdr:txBody>
    </xdr:sp>
    <xdr:clientData/>
  </xdr:twoCellAnchor>
  <xdr:twoCellAnchor>
    <xdr:from>
      <xdr:col>16</xdr:col>
      <xdr:colOff>272198</xdr:colOff>
      <xdr:row>0</xdr:row>
      <xdr:rowOff>2</xdr:rowOff>
    </xdr:from>
    <xdr:to>
      <xdr:col>47</xdr:col>
      <xdr:colOff>679634</xdr:colOff>
      <xdr:row>5</xdr:row>
      <xdr:rowOff>158797</xdr:rowOff>
    </xdr:to>
    <xdr:sp macro="" textlink="">
      <xdr:nvSpPr>
        <xdr:cNvPr id="76" name="Title">
          <a:extLst>
            <a:ext uri="{FF2B5EF4-FFF2-40B4-BE49-F238E27FC236}">
              <a16:creationId xmlns:a16="http://schemas.microsoft.com/office/drawing/2014/main" id="{CB53E495-C30B-B34E-A47B-475693288821}"/>
            </a:ext>
          </a:extLst>
        </xdr:cNvPr>
        <xdr:cNvSpPr/>
      </xdr:nvSpPr>
      <xdr:spPr>
        <a:xfrm>
          <a:off x="24948298" y="2"/>
          <a:ext cx="37377136" cy="1504995"/>
        </a:xfrm>
        <a:prstGeom prst="rect">
          <a:avLst/>
        </a:prstGeom>
        <a:solidFill>
          <a:srgbClr val="004F4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4000"/>
        </a:p>
      </xdr:txBody>
    </xdr:sp>
    <xdr:clientData/>
  </xdr:twoCellAnchor>
  <xdr:twoCellAnchor>
    <xdr:from>
      <xdr:col>16</xdr:col>
      <xdr:colOff>0</xdr:colOff>
      <xdr:row>0</xdr:row>
      <xdr:rowOff>0</xdr:rowOff>
    </xdr:from>
    <xdr:to>
      <xdr:col>16</xdr:col>
      <xdr:colOff>292100</xdr:colOff>
      <xdr:row>5</xdr:row>
      <xdr:rowOff>146097</xdr:rowOff>
    </xdr:to>
    <xdr:sp macro="" textlink="">
      <xdr:nvSpPr>
        <xdr:cNvPr id="77" name="_Yellow">
          <a:extLst>
            <a:ext uri="{FF2B5EF4-FFF2-40B4-BE49-F238E27FC236}">
              <a16:creationId xmlns:a16="http://schemas.microsoft.com/office/drawing/2014/main" id="{6A707E27-1888-B349-AA72-0E87488431C8}"/>
            </a:ext>
          </a:extLst>
        </xdr:cNvPr>
        <xdr:cNvSpPr/>
      </xdr:nvSpPr>
      <xdr:spPr>
        <a:xfrm>
          <a:off x="24676100" y="0"/>
          <a:ext cx="292100" cy="1492297"/>
        </a:xfrm>
        <a:prstGeom prst="rect">
          <a:avLst/>
        </a:prstGeom>
        <a:solidFill>
          <a:srgbClr val="FFCD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16</xdr:col>
      <xdr:colOff>399550</xdr:colOff>
      <xdr:row>1</xdr:row>
      <xdr:rowOff>42809</xdr:rowOff>
    </xdr:from>
    <xdr:to>
      <xdr:col>38</xdr:col>
      <xdr:colOff>806552</xdr:colOff>
      <xdr:row>3</xdr:row>
      <xdr:rowOff>287524</xdr:rowOff>
    </xdr:to>
    <xdr:sp macro="" textlink="">
      <xdr:nvSpPr>
        <xdr:cNvPr id="78" name="sheet title">
          <a:extLst>
            <a:ext uri="{FF2B5EF4-FFF2-40B4-BE49-F238E27FC236}">
              <a16:creationId xmlns:a16="http://schemas.microsoft.com/office/drawing/2014/main" id="{EFD0A618-2C0E-7F4E-8CF7-8D95968F8D7D}"/>
            </a:ext>
          </a:extLst>
        </xdr:cNvPr>
        <xdr:cNvSpPr txBox="1"/>
      </xdr:nvSpPr>
      <xdr:spPr>
        <a:xfrm>
          <a:off x="25075650" y="296809"/>
          <a:ext cx="28880402" cy="75271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4400">
              <a:solidFill>
                <a:schemeClr val="bg1"/>
              </a:solidFill>
              <a:latin typeface="Arial" panose="020B0604020202020204" pitchFamily="34" charset="0"/>
              <a:cs typeface="Arial" panose="020B0604020202020204" pitchFamily="34" charset="0"/>
            </a:rPr>
            <a:t>Major</a:t>
          </a:r>
          <a:r>
            <a:rPr lang="en-US" sz="4400" baseline="0">
              <a:solidFill>
                <a:schemeClr val="bg1"/>
              </a:solidFill>
              <a:latin typeface="Arial" panose="020B0604020202020204" pitchFamily="34" charset="0"/>
              <a:cs typeface="Arial" panose="020B0604020202020204" pitchFamily="34" charset="0"/>
            </a:rPr>
            <a:t> S</a:t>
          </a:r>
          <a:r>
            <a:rPr lang="en-US" sz="4400">
              <a:solidFill>
                <a:schemeClr val="bg1"/>
              </a:solidFill>
              <a:latin typeface="Arial" panose="020B0604020202020204" pitchFamily="34" charset="0"/>
              <a:cs typeface="Arial" panose="020B0604020202020204" pitchFamily="34" charset="0"/>
            </a:rPr>
            <a:t>lurry</a:t>
          </a:r>
          <a:r>
            <a:rPr lang="en-US" sz="4400" baseline="0">
              <a:solidFill>
                <a:schemeClr val="bg1"/>
              </a:solidFill>
              <a:latin typeface="Arial" panose="020B0604020202020204" pitchFamily="34" charset="0"/>
              <a:cs typeface="Arial" panose="020B0604020202020204" pitchFamily="34" charset="0"/>
            </a:rPr>
            <a:t> Manufacturing Processes Overview</a:t>
          </a:r>
          <a:endParaRPr lang="en-US" sz="4400">
            <a:solidFill>
              <a:schemeClr val="bg1"/>
            </a:solidFill>
            <a:latin typeface="Arial" panose="020B0604020202020204" pitchFamily="34" charset="0"/>
            <a:cs typeface="Arial" panose="020B0604020202020204" pitchFamily="34" charset="0"/>
          </a:endParaRPr>
        </a:p>
      </xdr:txBody>
    </xdr:sp>
    <xdr:clientData/>
  </xdr:twoCellAnchor>
  <xdr:twoCellAnchor>
    <xdr:from>
      <xdr:col>16</xdr:col>
      <xdr:colOff>57079</xdr:colOff>
      <xdr:row>6</xdr:row>
      <xdr:rowOff>71348</xdr:rowOff>
    </xdr:from>
    <xdr:to>
      <xdr:col>24</xdr:col>
      <xdr:colOff>98039</xdr:colOff>
      <xdr:row>12</xdr:row>
      <xdr:rowOff>21093</xdr:rowOff>
    </xdr:to>
    <xdr:sp macro="" textlink="">
      <xdr:nvSpPr>
        <xdr:cNvPr id="79" name="Rounded Rectangle 78">
          <a:extLst>
            <a:ext uri="{FF2B5EF4-FFF2-40B4-BE49-F238E27FC236}">
              <a16:creationId xmlns:a16="http://schemas.microsoft.com/office/drawing/2014/main" id="{2CBF88CB-2F9E-C948-89CC-5E0262FCC501}"/>
            </a:ext>
          </a:extLst>
        </xdr:cNvPr>
        <xdr:cNvSpPr/>
      </xdr:nvSpPr>
      <xdr:spPr>
        <a:xfrm>
          <a:off x="24733179" y="1671548"/>
          <a:ext cx="9286560" cy="1473745"/>
        </a:xfrm>
        <a:prstGeom prst="roundRect">
          <a:avLst>
            <a:gd name="adj" fmla="val 24167"/>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8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We gather default equipment values from websites and literature to compile a comprehensive database of various tools with a wide range of specifications.</a:t>
          </a:r>
        </a:p>
      </xdr:txBody>
    </xdr:sp>
    <xdr:clientData/>
  </xdr:twoCellAnchor>
  <xdr:twoCellAnchor>
    <xdr:from>
      <xdr:col>24</xdr:col>
      <xdr:colOff>391654</xdr:colOff>
      <xdr:row>13</xdr:row>
      <xdr:rowOff>0</xdr:rowOff>
    </xdr:from>
    <xdr:to>
      <xdr:col>27</xdr:col>
      <xdr:colOff>416521</xdr:colOff>
      <xdr:row>15</xdr:row>
      <xdr:rowOff>110102</xdr:rowOff>
    </xdr:to>
    <xdr:sp macro="" textlink="">
      <xdr:nvSpPr>
        <xdr:cNvPr id="80" name="Rounded Rectangle 79">
          <a:extLst>
            <a:ext uri="{FF2B5EF4-FFF2-40B4-BE49-F238E27FC236}">
              <a16:creationId xmlns:a16="http://schemas.microsoft.com/office/drawing/2014/main" id="{DD164886-8369-904C-8EEC-F82DCB85D181}"/>
            </a:ext>
          </a:extLst>
        </xdr:cNvPr>
        <xdr:cNvSpPr/>
      </xdr:nvSpPr>
      <xdr:spPr>
        <a:xfrm>
          <a:off x="34313354" y="3378200"/>
          <a:ext cx="6285967" cy="745102"/>
        </a:xfrm>
        <a:prstGeom prst="roundRect">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Enter your process values to compare against values in literature</a:t>
          </a:r>
        </a:p>
      </xdr:txBody>
    </xdr:sp>
    <xdr:clientData/>
  </xdr:twoCellAnchor>
  <xdr:twoCellAnchor>
    <xdr:from>
      <xdr:col>24</xdr:col>
      <xdr:colOff>120952</xdr:colOff>
      <xdr:row>13</xdr:row>
      <xdr:rowOff>173033</xdr:rowOff>
    </xdr:from>
    <xdr:to>
      <xdr:col>24</xdr:col>
      <xdr:colOff>589216</xdr:colOff>
      <xdr:row>14</xdr:row>
      <xdr:rowOff>241905</xdr:rowOff>
    </xdr:to>
    <xdr:sp macro="" textlink="">
      <xdr:nvSpPr>
        <xdr:cNvPr id="81" name="Text Placeholder 1248">
          <a:extLst>
            <a:ext uri="{FF2B5EF4-FFF2-40B4-BE49-F238E27FC236}">
              <a16:creationId xmlns:a16="http://schemas.microsoft.com/office/drawing/2014/main" id="{690D073D-A800-E045-B79D-8EB6B8BDFA30}"/>
            </a:ext>
          </a:extLst>
        </xdr:cNvPr>
        <xdr:cNvSpPr>
          <a:spLocks noGrp="1"/>
        </xdr:cNvSpPr>
      </xdr:nvSpPr>
      <xdr:spPr>
        <a:xfrm>
          <a:off x="34042652" y="3551233"/>
          <a:ext cx="468264" cy="449872"/>
        </a:xfrm>
        <a:prstGeom prst="ellipse">
          <a:avLst/>
        </a:prstGeom>
        <a:solidFill>
          <a:srgbClr val="FFC000">
            <a:lumMod val="60000"/>
            <a:lumOff val="40000"/>
          </a:srgbClr>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r>
            <a:rPr lang="en-US">
              <a:latin typeface="Arial" panose="020B0604020202020204" pitchFamily="34" charset="0"/>
              <a:cs typeface="Arial" panose="020B0604020202020204" pitchFamily="34" charset="0"/>
            </a:rPr>
            <a:t>1</a:t>
          </a:r>
        </a:p>
      </xdr:txBody>
    </xdr:sp>
    <xdr:clientData/>
  </xdr:twoCellAnchor>
  <xdr:twoCellAnchor>
    <xdr:from>
      <xdr:col>38</xdr:col>
      <xdr:colOff>50800</xdr:colOff>
      <xdr:row>39</xdr:row>
      <xdr:rowOff>33866</xdr:rowOff>
    </xdr:from>
    <xdr:to>
      <xdr:col>51</xdr:col>
      <xdr:colOff>513033</xdr:colOff>
      <xdr:row>42</xdr:row>
      <xdr:rowOff>121670</xdr:rowOff>
    </xdr:to>
    <xdr:sp macro="" textlink="">
      <xdr:nvSpPr>
        <xdr:cNvPr id="82" name="Rounded Rectangle 81">
          <a:extLst>
            <a:ext uri="{FF2B5EF4-FFF2-40B4-BE49-F238E27FC236}">
              <a16:creationId xmlns:a16="http://schemas.microsoft.com/office/drawing/2014/main" id="{5DBA5B07-F89F-424A-ADFB-AA3DC8BCFC4F}"/>
            </a:ext>
          </a:extLst>
        </xdr:cNvPr>
        <xdr:cNvSpPr/>
      </xdr:nvSpPr>
      <xdr:spPr>
        <a:xfrm>
          <a:off x="53200300" y="10498666"/>
          <a:ext cx="12895533" cy="887904"/>
        </a:xfrm>
        <a:prstGeom prst="roundRect">
          <a:avLst>
            <a:gd name="adj" fmla="val 5000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a:ln>
                <a:noFill/>
              </a:ln>
              <a:solidFill>
                <a:schemeClr val="tx1"/>
              </a:solidFill>
              <a:effectLst/>
              <a:uLnTx/>
              <a:uFillTx/>
              <a:latin typeface="Arial" panose="020B0604020202020204" pitchFamily="34" charset="0"/>
              <a:ea typeface="+mn-ea"/>
              <a:cs typeface="Arial" panose="020B0604020202020204" pitchFamily="34" charset="0"/>
            </a:rPr>
            <a:t>Process time information found in the literature</a:t>
          </a:r>
        </a:p>
      </xdr:txBody>
    </xdr:sp>
    <xdr:clientData/>
  </xdr:twoCellAnchor>
  <xdr:twoCellAnchor>
    <xdr:from>
      <xdr:col>17</xdr:col>
      <xdr:colOff>0</xdr:colOff>
      <xdr:row>39</xdr:row>
      <xdr:rowOff>0</xdr:rowOff>
    </xdr:from>
    <xdr:to>
      <xdr:col>24</xdr:col>
      <xdr:colOff>3085981</xdr:colOff>
      <xdr:row>42</xdr:row>
      <xdr:rowOff>87804</xdr:rowOff>
    </xdr:to>
    <xdr:sp macro="" textlink="">
      <xdr:nvSpPr>
        <xdr:cNvPr id="83" name="Rounded Rectangle 82">
          <a:extLst>
            <a:ext uri="{FF2B5EF4-FFF2-40B4-BE49-F238E27FC236}">
              <a16:creationId xmlns:a16="http://schemas.microsoft.com/office/drawing/2014/main" id="{AF1EF09D-DBCD-E148-8B0D-E10A5DDE2BA4}"/>
            </a:ext>
          </a:extLst>
        </xdr:cNvPr>
        <xdr:cNvSpPr/>
      </xdr:nvSpPr>
      <xdr:spPr>
        <a:xfrm>
          <a:off x="25501600" y="10464800"/>
          <a:ext cx="11506081" cy="887904"/>
        </a:xfrm>
        <a:prstGeom prst="roundRect">
          <a:avLst>
            <a:gd name="adj" fmla="val 5000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Tools related to this precific process and their power and volume specifications</a:t>
          </a:r>
        </a:p>
      </xdr:txBody>
    </xdr:sp>
    <xdr:clientData/>
  </xdr:twoCellAnchor>
  <xdr:twoCellAnchor>
    <xdr:from>
      <xdr:col>25</xdr:col>
      <xdr:colOff>1358019</xdr:colOff>
      <xdr:row>24</xdr:row>
      <xdr:rowOff>100594</xdr:rowOff>
    </xdr:from>
    <xdr:to>
      <xdr:col>26</xdr:col>
      <xdr:colOff>406400</xdr:colOff>
      <xdr:row>26</xdr:row>
      <xdr:rowOff>177760</xdr:rowOff>
    </xdr:to>
    <xdr:sp macro="" textlink="">
      <xdr:nvSpPr>
        <xdr:cNvPr id="84" name="Text Placeholder 1248">
          <a:extLst>
            <a:ext uri="{FF2B5EF4-FFF2-40B4-BE49-F238E27FC236}">
              <a16:creationId xmlns:a16="http://schemas.microsoft.com/office/drawing/2014/main" id="{7ABE92F8-AA53-6E46-BB6A-7733096421C9}"/>
            </a:ext>
          </a:extLst>
        </xdr:cNvPr>
        <xdr:cNvSpPr>
          <a:spLocks noGrp="1"/>
        </xdr:cNvSpPr>
      </xdr:nvSpPr>
      <xdr:spPr>
        <a:xfrm>
          <a:off x="39153219" y="6475994"/>
          <a:ext cx="585081" cy="585166"/>
        </a:xfrm>
        <a:prstGeom prst="ellipse">
          <a:avLst/>
        </a:prstGeom>
        <a:solidFill>
          <a:srgbClr val="FFC000">
            <a:lumMod val="60000"/>
            <a:lumOff val="40000"/>
          </a:srgbClr>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r>
            <a:rPr lang="en-US">
              <a:latin typeface="Arial" panose="020B0604020202020204" pitchFamily="34" charset="0"/>
              <a:cs typeface="Arial" panose="020B0604020202020204" pitchFamily="34" charset="0"/>
            </a:rPr>
            <a:t>2</a:t>
          </a:r>
        </a:p>
      </xdr:txBody>
    </xdr:sp>
    <xdr:clientData/>
  </xdr:twoCellAnchor>
  <xdr:twoCellAnchor>
    <xdr:from>
      <xdr:col>25</xdr:col>
      <xdr:colOff>1358019</xdr:colOff>
      <xdr:row>28</xdr:row>
      <xdr:rowOff>100594</xdr:rowOff>
    </xdr:from>
    <xdr:to>
      <xdr:col>26</xdr:col>
      <xdr:colOff>406400</xdr:colOff>
      <xdr:row>30</xdr:row>
      <xdr:rowOff>177760</xdr:rowOff>
    </xdr:to>
    <xdr:sp macro="" textlink="">
      <xdr:nvSpPr>
        <xdr:cNvPr id="85" name="Text Placeholder 1248">
          <a:extLst>
            <a:ext uri="{FF2B5EF4-FFF2-40B4-BE49-F238E27FC236}">
              <a16:creationId xmlns:a16="http://schemas.microsoft.com/office/drawing/2014/main" id="{2AD8D611-1BB2-F740-A6A2-2B26A263A9CF}"/>
            </a:ext>
          </a:extLst>
        </xdr:cNvPr>
        <xdr:cNvSpPr>
          <a:spLocks noGrp="1"/>
        </xdr:cNvSpPr>
      </xdr:nvSpPr>
      <xdr:spPr>
        <a:xfrm>
          <a:off x="39153219" y="7771394"/>
          <a:ext cx="585081" cy="585166"/>
        </a:xfrm>
        <a:prstGeom prst="ellipse">
          <a:avLst/>
        </a:prstGeom>
        <a:solidFill>
          <a:srgbClr val="FFC000">
            <a:lumMod val="60000"/>
            <a:lumOff val="40000"/>
          </a:srgbClr>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r>
            <a:rPr lang="en-US">
              <a:latin typeface="Arial" panose="020B0604020202020204" pitchFamily="34" charset="0"/>
              <a:cs typeface="Arial" panose="020B0604020202020204" pitchFamily="34" charset="0"/>
            </a:rPr>
            <a:t>3</a:t>
          </a:r>
        </a:p>
      </xdr:txBody>
    </xdr:sp>
    <xdr:clientData/>
  </xdr:twoCellAnchor>
  <xdr:twoCellAnchor>
    <xdr:from>
      <xdr:col>26</xdr:col>
      <xdr:colOff>135467</xdr:colOff>
      <xdr:row>26</xdr:row>
      <xdr:rowOff>101601</xdr:rowOff>
    </xdr:from>
    <xdr:to>
      <xdr:col>29</xdr:col>
      <xdr:colOff>588567</xdr:colOff>
      <xdr:row>28</xdr:row>
      <xdr:rowOff>189405</xdr:rowOff>
    </xdr:to>
    <xdr:sp macro="" textlink="">
      <xdr:nvSpPr>
        <xdr:cNvPr id="86" name="Rounded Rectangle 85">
          <a:extLst>
            <a:ext uri="{FF2B5EF4-FFF2-40B4-BE49-F238E27FC236}">
              <a16:creationId xmlns:a16="http://schemas.microsoft.com/office/drawing/2014/main" id="{A69F63AF-61C8-3245-9E26-FCBC8887307B}"/>
            </a:ext>
          </a:extLst>
        </xdr:cNvPr>
        <xdr:cNvSpPr/>
      </xdr:nvSpPr>
      <xdr:spPr>
        <a:xfrm>
          <a:off x="39467367" y="6985001"/>
          <a:ext cx="3336000" cy="875204"/>
        </a:xfrm>
        <a:prstGeom prst="roundRect">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Enter your tool power rating to check range</a:t>
          </a:r>
        </a:p>
      </xdr:txBody>
    </xdr:sp>
    <xdr:clientData/>
  </xdr:twoCellAnchor>
  <xdr:twoCellAnchor>
    <xdr:from>
      <xdr:col>26</xdr:col>
      <xdr:colOff>0</xdr:colOff>
      <xdr:row>30</xdr:row>
      <xdr:rowOff>203200</xdr:rowOff>
    </xdr:from>
    <xdr:to>
      <xdr:col>29</xdr:col>
      <xdr:colOff>7119</xdr:colOff>
      <xdr:row>34</xdr:row>
      <xdr:rowOff>67864</xdr:rowOff>
    </xdr:to>
    <xdr:sp macro="" textlink="">
      <xdr:nvSpPr>
        <xdr:cNvPr id="87" name="Rounded Rectangle 86">
          <a:extLst>
            <a:ext uri="{FF2B5EF4-FFF2-40B4-BE49-F238E27FC236}">
              <a16:creationId xmlns:a16="http://schemas.microsoft.com/office/drawing/2014/main" id="{CF000D80-002B-D54C-87D5-59FEDDAE6B62}"/>
            </a:ext>
          </a:extLst>
        </xdr:cNvPr>
        <xdr:cNvSpPr/>
      </xdr:nvSpPr>
      <xdr:spPr>
        <a:xfrm>
          <a:off x="39331900" y="8382000"/>
          <a:ext cx="2890019" cy="880664"/>
        </a:xfrm>
        <a:prstGeom prst="roundRect">
          <a:avLst/>
        </a:prstGeom>
        <a:solidFill>
          <a:schemeClr val="accent5">
            <a:lumMod val="40000"/>
            <a:lumOff val="60000"/>
          </a:scheme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Calcualted based on process time and tool power rating(kW)</a:t>
          </a:r>
        </a:p>
      </xdr:txBody>
    </xdr:sp>
    <xdr:clientData/>
  </xdr:twoCellAnchor>
  <xdr:twoCellAnchor>
    <xdr:from>
      <xdr:col>33</xdr:col>
      <xdr:colOff>276377</xdr:colOff>
      <xdr:row>13</xdr:row>
      <xdr:rowOff>294519</xdr:rowOff>
    </xdr:from>
    <xdr:to>
      <xdr:col>40</xdr:col>
      <xdr:colOff>432695</xdr:colOff>
      <xdr:row>15</xdr:row>
      <xdr:rowOff>46141</xdr:rowOff>
    </xdr:to>
    <xdr:grpSp>
      <xdr:nvGrpSpPr>
        <xdr:cNvPr id="88" name="Group 87">
          <a:extLst>
            <a:ext uri="{FF2B5EF4-FFF2-40B4-BE49-F238E27FC236}">
              <a16:creationId xmlns:a16="http://schemas.microsoft.com/office/drawing/2014/main" id="{4279D82C-16EF-A44D-8504-B43C9CC81B62}"/>
            </a:ext>
          </a:extLst>
        </xdr:cNvPr>
        <xdr:cNvGrpSpPr/>
      </xdr:nvGrpSpPr>
      <xdr:grpSpPr>
        <a:xfrm>
          <a:off x="49298377" y="3672719"/>
          <a:ext cx="6493618" cy="386622"/>
          <a:chOff x="20803705" y="3035855"/>
          <a:chExt cx="6029371" cy="995751"/>
        </a:xfrm>
      </xdr:grpSpPr>
      <xdr:sp macro="" textlink="">
        <xdr:nvSpPr>
          <xdr:cNvPr id="89" name="Rounded Rectangle 88">
            <a:extLst>
              <a:ext uri="{FF2B5EF4-FFF2-40B4-BE49-F238E27FC236}">
                <a16:creationId xmlns:a16="http://schemas.microsoft.com/office/drawing/2014/main" id="{6A064639-E0D9-9599-7561-67DF55D998B4}"/>
              </a:ext>
            </a:extLst>
          </xdr:cNvPr>
          <xdr:cNvSpPr/>
        </xdr:nvSpPr>
        <xdr:spPr>
          <a:xfrm>
            <a:off x="20803705" y="3035855"/>
            <a:ext cx="6029371" cy="995751"/>
          </a:xfrm>
          <a:prstGeom prst="roundRect">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b"/>
          <a:lstStyle/>
          <a:p>
            <a:pPr algn="r"/>
            <a:r>
              <a:rPr lang="en-US" sz="2000" kern="1200">
                <a:latin typeface="Arial" panose="020B0604020202020204" pitchFamily="34" charset="0"/>
                <a:cs typeface="Arial" panose="020B0604020202020204" pitchFamily="34" charset="0"/>
              </a:rPr>
              <a:t>tool power rating overview</a:t>
            </a:r>
          </a:p>
        </xdr:txBody>
      </xdr:sp>
      <xdr:sp macro="" textlink="$E$19">
        <xdr:nvSpPr>
          <xdr:cNvPr id="90" name="TextBox 89">
            <a:extLst>
              <a:ext uri="{FF2B5EF4-FFF2-40B4-BE49-F238E27FC236}">
                <a16:creationId xmlns:a16="http://schemas.microsoft.com/office/drawing/2014/main" id="{0172EEA0-A422-08D4-352B-45299EA88618}"/>
              </a:ext>
            </a:extLst>
          </xdr:cNvPr>
          <xdr:cNvSpPr txBox="1"/>
        </xdr:nvSpPr>
        <xdr:spPr>
          <a:xfrm>
            <a:off x="20917443" y="3144274"/>
            <a:ext cx="2290048" cy="553647"/>
          </a:xfrm>
          <a:prstGeom prst="rect">
            <a:avLst/>
          </a:prstGeom>
          <a:solidFill>
            <a:srgbClr val="4DA72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A722FA6-ADBD-BF4A-B652-57345CB45E96}" type="TxLink">
              <a:rPr lang="en-US" sz="2000" b="0" i="0" u="none" strike="noStrike" kern="1200">
                <a:solidFill>
                  <a:schemeClr val="bg1"/>
                </a:solidFill>
                <a:latin typeface="Arial"/>
                <a:cs typeface="Arial"/>
              </a:rPr>
              <a:pPr/>
              <a:t> </a:t>
            </a:fld>
            <a:endParaRPr lang="en-US" sz="900" kern="1200">
              <a:solidFill>
                <a:schemeClr val="bg1"/>
              </a:solidFill>
            </a:endParaRPr>
          </a:p>
        </xdr:txBody>
      </xdr:sp>
    </xdr:grpSp>
    <xdr:clientData/>
  </xdr:twoCellAnchor>
  <xdr:twoCellAnchor>
    <xdr:from>
      <xdr:col>33</xdr:col>
      <xdr:colOff>750455</xdr:colOff>
      <xdr:row>16</xdr:row>
      <xdr:rowOff>129887</xdr:rowOff>
    </xdr:from>
    <xdr:to>
      <xdr:col>40</xdr:col>
      <xdr:colOff>341292</xdr:colOff>
      <xdr:row>30</xdr:row>
      <xdr:rowOff>63115</xdr:rowOff>
    </xdr:to>
    <xdr:graphicFrame macro="">
      <xdr:nvGraphicFramePr>
        <xdr:cNvPr id="91" name="Chart 90">
          <a:extLst>
            <a:ext uri="{FF2B5EF4-FFF2-40B4-BE49-F238E27FC236}">
              <a16:creationId xmlns:a16="http://schemas.microsoft.com/office/drawing/2014/main" id="{4A77178D-85CF-7642-BC75-AEF6DDE7C2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33</xdr:col>
      <xdr:colOff>745507</xdr:colOff>
      <xdr:row>16</xdr:row>
      <xdr:rowOff>130711</xdr:rowOff>
    </xdr:from>
    <xdr:to>
      <xdr:col>40</xdr:col>
      <xdr:colOff>336344</xdr:colOff>
      <xdr:row>30</xdr:row>
      <xdr:rowOff>63939</xdr:rowOff>
    </xdr:to>
    <xdr:graphicFrame macro="">
      <xdr:nvGraphicFramePr>
        <xdr:cNvPr id="92" name="Chart 91">
          <a:extLst>
            <a:ext uri="{FF2B5EF4-FFF2-40B4-BE49-F238E27FC236}">
              <a16:creationId xmlns:a16="http://schemas.microsoft.com/office/drawing/2014/main" id="{857BB235-F7FD-324F-A4E5-D0924694D9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35</xdr:col>
      <xdr:colOff>346364</xdr:colOff>
      <xdr:row>22</xdr:row>
      <xdr:rowOff>72159</xdr:rowOff>
    </xdr:from>
    <xdr:to>
      <xdr:col>37</xdr:col>
      <xdr:colOff>342318</xdr:colOff>
      <xdr:row>23</xdr:row>
      <xdr:rowOff>60863</xdr:rowOff>
    </xdr:to>
    <xdr:sp macro="" textlink="">
      <xdr:nvSpPr>
        <xdr:cNvPr id="93" name="TextBox 92">
          <a:extLst>
            <a:ext uri="{FF2B5EF4-FFF2-40B4-BE49-F238E27FC236}">
              <a16:creationId xmlns:a16="http://schemas.microsoft.com/office/drawing/2014/main" id="{0ACAD279-3BF0-1249-A336-D74A2527A42B}"/>
            </a:ext>
          </a:extLst>
        </xdr:cNvPr>
        <xdr:cNvSpPr txBox="1"/>
      </xdr:nvSpPr>
      <xdr:spPr>
        <a:xfrm>
          <a:off x="51019364" y="5939559"/>
          <a:ext cx="1646954" cy="2427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600" b="0" i="0" u="none" strike="noStrike" kern="1200">
              <a:solidFill>
                <a:schemeClr val="tx1"/>
              </a:solidFill>
              <a:latin typeface="Arial"/>
              <a:ea typeface="+mn-ea"/>
              <a:cs typeface="Arial"/>
            </a:rPr>
            <a:t>LOW</a:t>
          </a:r>
        </a:p>
      </xdr:txBody>
    </xdr:sp>
    <xdr:clientData/>
  </xdr:twoCellAnchor>
  <xdr:twoCellAnchor>
    <xdr:from>
      <xdr:col>38</xdr:col>
      <xdr:colOff>227826</xdr:colOff>
      <xdr:row>22</xdr:row>
      <xdr:rowOff>95396</xdr:rowOff>
    </xdr:from>
    <xdr:to>
      <xdr:col>40</xdr:col>
      <xdr:colOff>203975</xdr:colOff>
      <xdr:row>23</xdr:row>
      <xdr:rowOff>84100</xdr:rowOff>
    </xdr:to>
    <xdr:sp macro="" textlink="">
      <xdr:nvSpPr>
        <xdr:cNvPr id="94" name="TextBox 93">
          <a:extLst>
            <a:ext uri="{FF2B5EF4-FFF2-40B4-BE49-F238E27FC236}">
              <a16:creationId xmlns:a16="http://schemas.microsoft.com/office/drawing/2014/main" id="{F1D60011-F40E-934D-A217-F434E1CCABD7}"/>
            </a:ext>
          </a:extLst>
        </xdr:cNvPr>
        <xdr:cNvSpPr txBox="1"/>
      </xdr:nvSpPr>
      <xdr:spPr>
        <a:xfrm>
          <a:off x="53377326" y="5962796"/>
          <a:ext cx="2185949" cy="2427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600" b="0" i="0" u="none" strike="noStrike" kern="1200">
              <a:solidFill>
                <a:schemeClr val="tx1"/>
              </a:solidFill>
              <a:latin typeface="Arial"/>
              <a:ea typeface="+mn-ea"/>
              <a:cs typeface="Arial"/>
            </a:rPr>
            <a:t>HIGH</a:t>
          </a:r>
        </a:p>
      </xdr:txBody>
    </xdr:sp>
    <xdr:clientData/>
  </xdr:twoCellAnchor>
  <xdr:twoCellAnchor>
    <xdr:from>
      <xdr:col>2</xdr:col>
      <xdr:colOff>1415748</xdr:colOff>
      <xdr:row>57</xdr:row>
      <xdr:rowOff>238479</xdr:rowOff>
    </xdr:from>
    <xdr:to>
      <xdr:col>5</xdr:col>
      <xdr:colOff>241905</xdr:colOff>
      <xdr:row>61</xdr:row>
      <xdr:rowOff>161271</xdr:rowOff>
    </xdr:to>
    <xdr:sp macro="" textlink="">
      <xdr:nvSpPr>
        <xdr:cNvPr id="95" name="Rounded Rectangle 94">
          <a:extLst>
            <a:ext uri="{FF2B5EF4-FFF2-40B4-BE49-F238E27FC236}">
              <a16:creationId xmlns:a16="http://schemas.microsoft.com/office/drawing/2014/main" id="{93319A90-F66C-6742-9DBB-DF56DABCF3DC}"/>
            </a:ext>
          </a:extLst>
        </xdr:cNvPr>
        <xdr:cNvSpPr/>
      </xdr:nvSpPr>
      <xdr:spPr>
        <a:xfrm>
          <a:off x="7181548" y="15694379"/>
          <a:ext cx="5519057" cy="1002292"/>
        </a:xfrm>
        <a:prstGeom prst="roundRect">
          <a:avLst>
            <a:gd name="adj" fmla="val 30087"/>
          </a:avLst>
        </a:prstGeom>
        <a:noFill/>
        <a:ln w="57150" cap="flat" cmpd="sng" algn="ctr">
          <a:solidFill>
            <a:schemeClr val="accent5">
              <a:lumMod val="75000"/>
            </a:schemeClr>
          </a:solidFill>
          <a:prstDash val="solid"/>
        </a:ln>
        <a:effectLst/>
      </xdr:spPr>
      <xdr:txBody>
        <a:bodyPr vertOverflow="clip" horzOverflow="clip" rtlCol="0" anchor="ctr"/>
        <a:lstStyle/>
        <a:p>
          <a:pPr marL="0" marR="0" lvl="0" indent="0" algn="r" defTabSz="914400" eaLnBrk="1" fontAlgn="auto" latinLnBrk="0" hangingPunct="1">
            <a:lnSpc>
              <a:spcPct val="100000"/>
            </a:lnSpc>
            <a:spcBef>
              <a:spcPts val="0"/>
            </a:spcBef>
            <a:spcAft>
              <a:spcPts val="0"/>
            </a:spcAft>
            <a:buClrTx/>
            <a:buSzTx/>
            <a:buFontTx/>
            <a:buNone/>
            <a:tabLst/>
            <a:defRPr/>
          </a:pPr>
          <a:r>
            <a:rPr kumimoji="0" lang="en-US" sz="18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Average process time for selected process obtained from literature</a:t>
          </a:r>
        </a:p>
      </xdr:txBody>
    </xdr:sp>
    <xdr:clientData/>
  </xdr:twoCellAnchor>
  <xdr:twoCellAnchor>
    <xdr:from>
      <xdr:col>4</xdr:col>
      <xdr:colOff>1342089</xdr:colOff>
      <xdr:row>69</xdr:row>
      <xdr:rowOff>76208</xdr:rowOff>
    </xdr:from>
    <xdr:to>
      <xdr:col>6</xdr:col>
      <xdr:colOff>871997</xdr:colOff>
      <xdr:row>71</xdr:row>
      <xdr:rowOff>177808</xdr:rowOff>
    </xdr:to>
    <xdr:sp macro="" textlink="">
      <xdr:nvSpPr>
        <xdr:cNvPr id="96" name="Rounded Rectangle 95">
          <a:extLst>
            <a:ext uri="{FF2B5EF4-FFF2-40B4-BE49-F238E27FC236}">
              <a16:creationId xmlns:a16="http://schemas.microsoft.com/office/drawing/2014/main" id="{DA87D5EC-5524-7E43-9AE9-E5DF1ED0A805}"/>
            </a:ext>
          </a:extLst>
        </xdr:cNvPr>
        <xdr:cNvSpPr/>
      </xdr:nvSpPr>
      <xdr:spPr>
        <a:xfrm>
          <a:off x="11489389" y="18783308"/>
          <a:ext cx="4152708" cy="609600"/>
        </a:xfrm>
        <a:prstGeom prst="roundRect">
          <a:avLst>
            <a:gd name="adj" fmla="val 30087"/>
          </a:avLst>
        </a:prstGeom>
        <a:noFill/>
        <a:ln w="25400" cap="flat" cmpd="sng" algn="ctr">
          <a:solidFill>
            <a:schemeClr val="accent5">
              <a:lumMod val="75000"/>
            </a:schemeClr>
          </a:solidFill>
          <a:prstDash val="solid"/>
        </a:ln>
        <a:effectLst/>
      </xdr:spPr>
      <xdr:txBody>
        <a:bodyPr vertOverflow="clip" horzOverflow="clip" rtlCol="0" anchor="ctr"/>
        <a:lstStyle/>
        <a:p>
          <a:pPr marL="0" marR="0" lvl="0" indent="0" algn="r" defTabSz="914400" eaLnBrk="1" fontAlgn="auto" latinLnBrk="0" hangingPunct="1">
            <a:lnSpc>
              <a:spcPct val="100000"/>
            </a:lnSpc>
            <a:spcBef>
              <a:spcPts val="0"/>
            </a:spcBef>
            <a:spcAft>
              <a:spcPts val="0"/>
            </a:spcAft>
            <a:buClrTx/>
            <a:buSzTx/>
            <a:buFontTx/>
            <a:buNone/>
            <a:tabLst/>
            <a:defRPr/>
          </a:pPr>
          <a:r>
            <a:rPr lang="en-US" sz="1400" b="1" i="0" u="none" strike="noStrike">
              <a:effectLst/>
              <a:latin typeface="+mn-lt"/>
              <a:ea typeface="+mn-ea"/>
              <a:cs typeface="+mn-cs"/>
            </a:rPr>
            <a:t>kW/kg</a:t>
          </a:r>
          <a:r>
            <a:rPr lang="en-US" sz="1400" b="1" i="0" u="none" strike="noStrike" baseline="0">
              <a:effectLst/>
              <a:latin typeface="+mn-lt"/>
              <a:ea typeface="+mn-ea"/>
              <a:cs typeface="+mn-cs"/>
            </a:rPr>
            <a:t> </a:t>
          </a:r>
          <a:r>
            <a:rPr lang="en-US" sz="1400" b="1" i="0" u="none" strike="noStrike">
              <a:effectLst/>
              <a:latin typeface="+mn-lt"/>
              <a:ea typeface="+mn-ea"/>
              <a:cs typeface="+mn-cs"/>
            </a:rPr>
            <a:t>Value obtained</a:t>
          </a:r>
          <a:r>
            <a:rPr lang="en-US" sz="1400" b="1" i="0" u="none" strike="noStrike" baseline="0">
              <a:effectLst/>
              <a:latin typeface="+mn-lt"/>
              <a:ea typeface="+mn-ea"/>
              <a:cs typeface="+mn-cs"/>
            </a:rPr>
            <a:t> </a:t>
          </a:r>
          <a:r>
            <a:rPr lang="en-US" sz="1400" b="1" i="0" u="none" strike="noStrike">
              <a:effectLst/>
              <a:latin typeface="+mn-lt"/>
              <a:ea typeface="+mn-ea"/>
              <a:cs typeface="+mn-cs"/>
            </a:rPr>
            <a:t>based on literature</a:t>
          </a:r>
          <a:r>
            <a:rPr lang="en-US" sz="1800" b="1"/>
            <a:t> </a:t>
          </a:r>
          <a:endParaRPr kumimoji="0" lang="en-US" sz="18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endParaRPr>
        </a:p>
      </xdr:txBody>
    </xdr:sp>
    <xdr:clientData/>
  </xdr:twoCellAnchor>
  <xdr:twoCellAnchor>
    <xdr:from>
      <xdr:col>4</xdr:col>
      <xdr:colOff>872096</xdr:colOff>
      <xdr:row>94</xdr:row>
      <xdr:rowOff>120890</xdr:rowOff>
    </xdr:from>
    <xdr:to>
      <xdr:col>7</xdr:col>
      <xdr:colOff>227016</xdr:colOff>
      <xdr:row>98</xdr:row>
      <xdr:rowOff>254261</xdr:rowOff>
    </xdr:to>
    <xdr:sp macro="" textlink="">
      <xdr:nvSpPr>
        <xdr:cNvPr id="97" name="Rounded Rectangle 96">
          <a:extLst>
            <a:ext uri="{FF2B5EF4-FFF2-40B4-BE49-F238E27FC236}">
              <a16:creationId xmlns:a16="http://schemas.microsoft.com/office/drawing/2014/main" id="{D26F47A0-76BA-5046-8C97-F7D6BF83D9C2}"/>
            </a:ext>
          </a:extLst>
        </xdr:cNvPr>
        <xdr:cNvSpPr/>
      </xdr:nvSpPr>
      <xdr:spPr>
        <a:xfrm>
          <a:off x="11019396" y="25025590"/>
          <a:ext cx="6314520" cy="1162071"/>
        </a:xfrm>
        <a:prstGeom prst="roundRect">
          <a:avLst>
            <a:gd name="adj" fmla="val 30087"/>
          </a:avLst>
        </a:prstGeom>
        <a:noFill/>
        <a:ln w="25400" cap="flat" cmpd="sng" algn="ctr">
          <a:solidFill>
            <a:schemeClr val="accent5">
              <a:lumMod val="75000"/>
            </a:schemeClr>
          </a:solidFill>
          <a:prstDash val="solid"/>
        </a:ln>
        <a:effectLst/>
      </xdr:spPr>
      <xdr:txBody>
        <a:bodyPr vertOverflow="clip" horzOverflow="clip" rtlCol="0" anchor="ctr"/>
        <a:lstStyle/>
        <a:p>
          <a:pPr marL="0" marR="0" lvl="0" indent="0" algn="r" defTabSz="914400" eaLnBrk="1" fontAlgn="auto" latinLnBrk="0" hangingPunct="1">
            <a:lnSpc>
              <a:spcPct val="100000"/>
            </a:lnSpc>
            <a:spcBef>
              <a:spcPts val="0"/>
            </a:spcBef>
            <a:spcAft>
              <a:spcPts val="0"/>
            </a:spcAft>
            <a:buClrTx/>
            <a:buSzTx/>
            <a:buFontTx/>
            <a:buNone/>
            <a:tabLst/>
            <a:defRPr/>
          </a:pPr>
          <a:endParaRPr lang="en-US" sz="1400" b="0" i="0" u="none" strike="noStrike">
            <a:effectLst/>
            <a:latin typeface="+mn-lt"/>
            <a:ea typeface="+mn-ea"/>
            <a:cs typeface="+mn-cs"/>
          </a:endParaRPr>
        </a:p>
        <a:p>
          <a:pPr marL="0" marR="0" lvl="0" indent="0" algn="r" defTabSz="914400" eaLnBrk="1" fontAlgn="auto" latinLnBrk="0" hangingPunct="1">
            <a:lnSpc>
              <a:spcPct val="100000"/>
            </a:lnSpc>
            <a:spcBef>
              <a:spcPts val="0"/>
            </a:spcBef>
            <a:spcAft>
              <a:spcPts val="0"/>
            </a:spcAft>
            <a:buClrTx/>
            <a:buSzTx/>
            <a:buFontTx/>
            <a:buNone/>
            <a:tabLst/>
            <a:defRPr/>
          </a:pPr>
          <a:r>
            <a:rPr lang="en-US" sz="1400" b="0" i="0" u="none" strike="noStrike">
              <a:effectLst/>
              <a:latin typeface="+mn-lt"/>
              <a:ea typeface="+mn-ea"/>
              <a:cs typeface="+mn-cs"/>
            </a:rPr>
            <a:t>As we</a:t>
          </a:r>
          <a:r>
            <a:rPr lang="en-US" sz="1400" b="0" i="0" u="none" strike="noStrike" baseline="0">
              <a:effectLst/>
              <a:latin typeface="+mn-lt"/>
              <a:ea typeface="+mn-ea"/>
              <a:cs typeface="+mn-cs"/>
            </a:rPr>
            <a:t> calculated energy per kg of material process, we are keeping the eqipment volume to accomodate 1L with 80% utilization volume, which requires total volume</a:t>
          </a:r>
        </a:p>
      </xdr:txBody>
    </xdr:sp>
    <xdr:clientData/>
  </xdr:twoCellAnchor>
  <xdr:twoCellAnchor>
    <xdr:from>
      <xdr:col>20</xdr:col>
      <xdr:colOff>660400</xdr:colOff>
      <xdr:row>19</xdr:row>
      <xdr:rowOff>237067</xdr:rowOff>
    </xdr:from>
    <xdr:to>
      <xdr:col>23</xdr:col>
      <xdr:colOff>769119</xdr:colOff>
      <xdr:row>23</xdr:row>
      <xdr:rowOff>101731</xdr:rowOff>
    </xdr:to>
    <xdr:sp macro="" textlink="">
      <xdr:nvSpPr>
        <xdr:cNvPr id="98" name="Rounded Rectangle 97">
          <a:extLst>
            <a:ext uri="{FF2B5EF4-FFF2-40B4-BE49-F238E27FC236}">
              <a16:creationId xmlns:a16="http://schemas.microsoft.com/office/drawing/2014/main" id="{B6776DC3-DCC4-354E-9D9E-E5A0FA5CB55B}"/>
            </a:ext>
          </a:extLst>
        </xdr:cNvPr>
        <xdr:cNvSpPr/>
      </xdr:nvSpPr>
      <xdr:spPr>
        <a:xfrm>
          <a:off x="30988000" y="5342467"/>
          <a:ext cx="2864619" cy="880664"/>
        </a:xfrm>
        <a:prstGeom prst="roundRect">
          <a:avLst/>
        </a:prstGeom>
        <a:solidFill>
          <a:schemeClr val="accent5">
            <a:lumMod val="40000"/>
            <a:lumOff val="60000"/>
          </a:scheme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Note: Unitilized volume is 80% of the total volume of the equipment</a:t>
          </a:r>
        </a:p>
      </xdr:txBody>
    </xdr:sp>
    <xdr:clientData/>
  </xdr:twoCellAnchor>
  <xdr:twoCellAnchor editAs="oneCell">
    <xdr:from>
      <xdr:col>6</xdr:col>
      <xdr:colOff>1335385</xdr:colOff>
      <xdr:row>54</xdr:row>
      <xdr:rowOff>53693</xdr:rowOff>
    </xdr:from>
    <xdr:to>
      <xdr:col>13</xdr:col>
      <xdr:colOff>367543</xdr:colOff>
      <xdr:row>81</xdr:row>
      <xdr:rowOff>108630</xdr:rowOff>
    </xdr:to>
    <xdr:pic>
      <xdr:nvPicPr>
        <xdr:cNvPr id="99" name="Picture 98">
          <a:extLst>
            <a:ext uri="{FF2B5EF4-FFF2-40B4-BE49-F238E27FC236}">
              <a16:creationId xmlns:a16="http://schemas.microsoft.com/office/drawing/2014/main" id="{0D88EDEE-9956-8D41-9F94-D7ECF4894D25}"/>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105485" y="14747593"/>
          <a:ext cx="6461658" cy="71161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xdr:from>
      <xdr:col>2</xdr:col>
      <xdr:colOff>888320</xdr:colOff>
      <xdr:row>12</xdr:row>
      <xdr:rowOff>96539</xdr:rowOff>
    </xdr:from>
    <xdr:to>
      <xdr:col>3</xdr:col>
      <xdr:colOff>1731513</xdr:colOff>
      <xdr:row>14</xdr:row>
      <xdr:rowOff>126369</xdr:rowOff>
    </xdr:to>
    <xdr:sp macro="" textlink="">
      <xdr:nvSpPr>
        <xdr:cNvPr id="2" name="Rounded Rectangle 1">
          <a:extLst>
            <a:ext uri="{FF2B5EF4-FFF2-40B4-BE49-F238E27FC236}">
              <a16:creationId xmlns:a16="http://schemas.microsoft.com/office/drawing/2014/main" id="{E07E875F-B708-8842-93E7-48D0F892028D}"/>
            </a:ext>
          </a:extLst>
        </xdr:cNvPr>
        <xdr:cNvSpPr/>
      </xdr:nvSpPr>
      <xdr:spPr>
        <a:xfrm>
          <a:off x="6654120" y="3220739"/>
          <a:ext cx="2913293" cy="664830"/>
        </a:xfrm>
        <a:prstGeom prst="roundRect">
          <a:avLst>
            <a:gd name="adj" fmla="val 46754"/>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&lt; Enter Process Name</a:t>
          </a:r>
        </a:p>
      </xdr:txBody>
    </xdr:sp>
    <xdr:clientData/>
  </xdr:twoCellAnchor>
  <xdr:twoCellAnchor>
    <xdr:from>
      <xdr:col>0</xdr:col>
      <xdr:colOff>272199</xdr:colOff>
      <xdr:row>0</xdr:row>
      <xdr:rowOff>2</xdr:rowOff>
    </xdr:from>
    <xdr:to>
      <xdr:col>14</xdr:col>
      <xdr:colOff>12701</xdr:colOff>
      <xdr:row>4</xdr:row>
      <xdr:rowOff>0</xdr:rowOff>
    </xdr:to>
    <xdr:sp macro="" textlink="">
      <xdr:nvSpPr>
        <xdr:cNvPr id="3" name="Title">
          <a:extLst>
            <a:ext uri="{FF2B5EF4-FFF2-40B4-BE49-F238E27FC236}">
              <a16:creationId xmlns:a16="http://schemas.microsoft.com/office/drawing/2014/main" id="{C2799D0E-8B52-5346-B197-B1593266548D}"/>
            </a:ext>
          </a:extLst>
        </xdr:cNvPr>
        <xdr:cNvSpPr/>
      </xdr:nvSpPr>
      <xdr:spPr>
        <a:xfrm>
          <a:off x="272199" y="2"/>
          <a:ext cx="22765602" cy="1092198"/>
        </a:xfrm>
        <a:prstGeom prst="rect">
          <a:avLst/>
        </a:prstGeom>
        <a:solidFill>
          <a:srgbClr val="004F4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4000"/>
        </a:p>
      </xdr:txBody>
    </xdr:sp>
    <xdr:clientData/>
  </xdr:twoCellAnchor>
  <xdr:twoCellAnchor>
    <xdr:from>
      <xdr:col>0</xdr:col>
      <xdr:colOff>0</xdr:colOff>
      <xdr:row>0</xdr:row>
      <xdr:rowOff>0</xdr:rowOff>
    </xdr:from>
    <xdr:to>
      <xdr:col>0</xdr:col>
      <xdr:colOff>304800</xdr:colOff>
      <xdr:row>4</xdr:row>
      <xdr:rowOff>0</xdr:rowOff>
    </xdr:to>
    <xdr:sp macro="" textlink="">
      <xdr:nvSpPr>
        <xdr:cNvPr id="4" name="_Yellow">
          <a:extLst>
            <a:ext uri="{FF2B5EF4-FFF2-40B4-BE49-F238E27FC236}">
              <a16:creationId xmlns:a16="http://schemas.microsoft.com/office/drawing/2014/main" id="{67CE845E-5E7D-E24D-838B-C9103CF4C6FF}"/>
            </a:ext>
          </a:extLst>
        </xdr:cNvPr>
        <xdr:cNvSpPr/>
      </xdr:nvSpPr>
      <xdr:spPr>
        <a:xfrm>
          <a:off x="0" y="0"/>
          <a:ext cx="304800" cy="1092200"/>
        </a:xfrm>
        <a:prstGeom prst="rect">
          <a:avLst/>
        </a:prstGeom>
        <a:solidFill>
          <a:srgbClr val="FFCD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editAs="oneCell">
    <xdr:from>
      <xdr:col>12</xdr:col>
      <xdr:colOff>429694</xdr:colOff>
      <xdr:row>0</xdr:row>
      <xdr:rowOff>0</xdr:rowOff>
    </xdr:from>
    <xdr:to>
      <xdr:col>14</xdr:col>
      <xdr:colOff>32784</xdr:colOff>
      <xdr:row>4</xdr:row>
      <xdr:rowOff>54738</xdr:rowOff>
    </xdr:to>
    <xdr:pic>
      <xdr:nvPicPr>
        <xdr:cNvPr id="5" name="Clarkson Logo" descr="A logo with white text and black background&#10;&#10;Description automatically generated">
          <a:extLst>
            <a:ext uri="{FF2B5EF4-FFF2-40B4-BE49-F238E27FC236}">
              <a16:creationId xmlns:a16="http://schemas.microsoft.com/office/drawing/2014/main" id="{D4BE0938-0D45-E049-8903-4047805F2D21}"/>
            </a:ext>
          </a:extLst>
        </xdr:cNvPr>
        <xdr:cNvPicPr>
          <a:picLocks noChangeAspect="1"/>
        </xdr:cNvPicPr>
      </xdr:nvPicPr>
      <xdr:blipFill>
        <a:blip xmlns:r="http://schemas.openxmlformats.org/officeDocument/2006/relationships" r:embed="rId1">
          <a:alphaModFix amt="50000"/>
        </a:blip>
        <a:stretch>
          <a:fillRect/>
        </a:stretch>
      </xdr:blipFill>
      <xdr:spPr>
        <a:xfrm>
          <a:off x="21803794" y="0"/>
          <a:ext cx="1254090" cy="1146938"/>
        </a:xfrm>
        <a:prstGeom prst="rect">
          <a:avLst/>
        </a:prstGeom>
      </xdr:spPr>
    </xdr:pic>
    <xdr:clientData/>
  </xdr:twoCellAnchor>
  <xdr:twoCellAnchor>
    <xdr:from>
      <xdr:col>0</xdr:col>
      <xdr:colOff>490909</xdr:colOff>
      <xdr:row>0</xdr:row>
      <xdr:rowOff>189722</xdr:rowOff>
    </xdr:from>
    <xdr:to>
      <xdr:col>13</xdr:col>
      <xdr:colOff>479581</xdr:colOff>
      <xdr:row>3</xdr:row>
      <xdr:rowOff>168759</xdr:rowOff>
    </xdr:to>
    <xdr:sp macro="" textlink="">
      <xdr:nvSpPr>
        <xdr:cNvPr id="6" name="CO2 eq Framework">
          <a:extLst>
            <a:ext uri="{FF2B5EF4-FFF2-40B4-BE49-F238E27FC236}">
              <a16:creationId xmlns:a16="http://schemas.microsoft.com/office/drawing/2014/main" id="{63C32C38-1C85-6C46-AA88-4123561C5035}"/>
            </a:ext>
          </a:extLst>
        </xdr:cNvPr>
        <xdr:cNvSpPr txBox="1"/>
      </xdr:nvSpPr>
      <xdr:spPr>
        <a:xfrm>
          <a:off x="490909" y="189722"/>
          <a:ext cx="22188272" cy="741037"/>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4400">
              <a:solidFill>
                <a:schemeClr val="bg1"/>
              </a:solidFill>
              <a:latin typeface="Arial" panose="020B0604020202020204" pitchFamily="34" charset="0"/>
              <a:cs typeface="Arial" panose="020B0604020202020204" pitchFamily="34" charset="0"/>
            </a:rPr>
            <a:t>Ceria Particle Synthesis Inventory Data Entry</a:t>
          </a:r>
        </a:p>
      </xdr:txBody>
    </xdr:sp>
    <xdr:clientData/>
  </xdr:twoCellAnchor>
  <xdr:twoCellAnchor>
    <xdr:from>
      <xdr:col>0</xdr:col>
      <xdr:colOff>53287</xdr:colOff>
      <xdr:row>8</xdr:row>
      <xdr:rowOff>146094</xdr:rowOff>
    </xdr:from>
    <xdr:to>
      <xdr:col>3</xdr:col>
      <xdr:colOff>1110140</xdr:colOff>
      <xdr:row>11</xdr:row>
      <xdr:rowOff>228600</xdr:rowOff>
    </xdr:to>
    <xdr:sp macro="" textlink="">
      <xdr:nvSpPr>
        <xdr:cNvPr id="7" name="Rounded Rectangle 6">
          <a:extLst>
            <a:ext uri="{FF2B5EF4-FFF2-40B4-BE49-F238E27FC236}">
              <a16:creationId xmlns:a16="http://schemas.microsoft.com/office/drawing/2014/main" id="{5729A70F-E585-5641-8C1C-B18FC31E7D6E}"/>
            </a:ext>
          </a:extLst>
        </xdr:cNvPr>
        <xdr:cNvSpPr/>
      </xdr:nvSpPr>
      <xdr:spPr>
        <a:xfrm>
          <a:off x="53287" y="2254294"/>
          <a:ext cx="8892753" cy="844506"/>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Process Information</a:t>
          </a:r>
        </a:p>
      </xdr:txBody>
    </xdr:sp>
    <xdr:clientData/>
  </xdr:twoCellAnchor>
  <xdr:twoCellAnchor>
    <xdr:from>
      <xdr:col>0</xdr:col>
      <xdr:colOff>110321</xdr:colOff>
      <xdr:row>4</xdr:row>
      <xdr:rowOff>97691</xdr:rowOff>
    </xdr:from>
    <xdr:to>
      <xdr:col>0</xdr:col>
      <xdr:colOff>2944702</xdr:colOff>
      <xdr:row>6</xdr:row>
      <xdr:rowOff>108260</xdr:rowOff>
    </xdr:to>
    <xdr:sp macro="" textlink="">
      <xdr:nvSpPr>
        <xdr:cNvPr id="8" name="Rounded Rectangle 7" descr="Navigation button for Start worksheet">
          <a:hlinkClick xmlns:r="http://schemas.openxmlformats.org/officeDocument/2006/relationships" r:id="rId2"/>
          <a:extLst>
            <a:ext uri="{FF2B5EF4-FFF2-40B4-BE49-F238E27FC236}">
              <a16:creationId xmlns:a16="http://schemas.microsoft.com/office/drawing/2014/main" id="{F7645494-50AE-2444-AF87-9E37F1CE2ABF}"/>
            </a:ext>
          </a:extLst>
        </xdr:cNvPr>
        <xdr:cNvSpPr/>
      </xdr:nvSpPr>
      <xdr:spPr>
        <a:xfrm>
          <a:off x="110321" y="1189891"/>
          <a:ext cx="2834381" cy="518569"/>
        </a:xfrm>
        <a:prstGeom prst="roundRect">
          <a:avLst>
            <a:gd name="adj" fmla="val 5000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&lt; Start</a:t>
          </a:r>
        </a:p>
      </xdr:txBody>
    </xdr:sp>
    <xdr:clientData/>
  </xdr:twoCellAnchor>
  <xdr:twoCellAnchor>
    <xdr:from>
      <xdr:col>10</xdr:col>
      <xdr:colOff>586612</xdr:colOff>
      <xdr:row>4</xdr:row>
      <xdr:rowOff>130445</xdr:rowOff>
    </xdr:from>
    <xdr:to>
      <xdr:col>13</xdr:col>
      <xdr:colOff>763080</xdr:colOff>
      <xdr:row>6</xdr:row>
      <xdr:rowOff>141014</xdr:rowOff>
    </xdr:to>
    <xdr:sp macro="" textlink="">
      <xdr:nvSpPr>
        <xdr:cNvPr id="9" name="Rounded Rectangle 8" descr="Navigation button for Inventory pick list worksheet">
          <a:hlinkClick xmlns:r="http://schemas.openxmlformats.org/officeDocument/2006/relationships" r:id="rId3"/>
          <a:extLst>
            <a:ext uri="{FF2B5EF4-FFF2-40B4-BE49-F238E27FC236}">
              <a16:creationId xmlns:a16="http://schemas.microsoft.com/office/drawing/2014/main" id="{348EECE3-A2FC-CC4C-BB44-5F281601553F}"/>
            </a:ext>
          </a:extLst>
        </xdr:cNvPr>
        <xdr:cNvSpPr/>
      </xdr:nvSpPr>
      <xdr:spPr>
        <a:xfrm>
          <a:off x="20309712" y="1222645"/>
          <a:ext cx="2652968" cy="518569"/>
        </a:xfrm>
        <a:prstGeom prst="roundRect">
          <a:avLst>
            <a:gd name="adj" fmla="val 5000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Process Overview</a:t>
          </a:r>
        </a:p>
      </xdr:txBody>
    </xdr:sp>
    <xdr:clientData/>
  </xdr:twoCellAnchor>
  <xdr:twoCellAnchor>
    <xdr:from>
      <xdr:col>0</xdr:col>
      <xdr:colOff>53287</xdr:colOff>
      <xdr:row>15</xdr:row>
      <xdr:rowOff>262608</xdr:rowOff>
    </xdr:from>
    <xdr:to>
      <xdr:col>2</xdr:col>
      <xdr:colOff>1223395</xdr:colOff>
      <xdr:row>19</xdr:row>
      <xdr:rowOff>3612</xdr:rowOff>
    </xdr:to>
    <xdr:sp macro="" textlink="">
      <xdr:nvSpPr>
        <xdr:cNvPr id="10" name="Rounded Rectangle 9">
          <a:extLst>
            <a:ext uri="{FF2B5EF4-FFF2-40B4-BE49-F238E27FC236}">
              <a16:creationId xmlns:a16="http://schemas.microsoft.com/office/drawing/2014/main" id="{15B4EC13-0452-0B4D-8D05-565C5908A0FE}"/>
            </a:ext>
          </a:extLst>
        </xdr:cNvPr>
        <xdr:cNvSpPr/>
      </xdr:nvSpPr>
      <xdr:spPr>
        <a:xfrm>
          <a:off x="53287" y="4263108"/>
          <a:ext cx="6935908" cy="845904"/>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20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Input Materials</a:t>
          </a:r>
        </a:p>
      </xdr:txBody>
    </xdr:sp>
    <xdr:clientData/>
  </xdr:twoCellAnchor>
  <xdr:twoCellAnchor>
    <xdr:from>
      <xdr:col>0</xdr:col>
      <xdr:colOff>53287</xdr:colOff>
      <xdr:row>19</xdr:row>
      <xdr:rowOff>138636</xdr:rowOff>
    </xdr:from>
    <xdr:to>
      <xdr:col>1</xdr:col>
      <xdr:colOff>1584588</xdr:colOff>
      <xdr:row>22</xdr:row>
      <xdr:rowOff>203199</xdr:rowOff>
    </xdr:to>
    <xdr:sp macro="" textlink="">
      <xdr:nvSpPr>
        <xdr:cNvPr id="11" name="Rounded Rectangle 10">
          <a:hlinkClick xmlns:r="http://schemas.openxmlformats.org/officeDocument/2006/relationships" r:id="rId4"/>
          <a:extLst>
            <a:ext uri="{FF2B5EF4-FFF2-40B4-BE49-F238E27FC236}">
              <a16:creationId xmlns:a16="http://schemas.microsoft.com/office/drawing/2014/main" id="{AE23B3D5-7D2F-BC4A-8076-3CDE7CE269E1}"/>
            </a:ext>
          </a:extLst>
        </xdr:cNvPr>
        <xdr:cNvSpPr/>
      </xdr:nvSpPr>
      <xdr:spPr>
        <a:xfrm>
          <a:off x="53287" y="5244036"/>
          <a:ext cx="5201601" cy="826563"/>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1.1 Precursor Materials(Click here add additional chemicals)</a:t>
          </a:r>
        </a:p>
      </xdr:txBody>
    </xdr:sp>
    <xdr:clientData/>
  </xdr:twoCellAnchor>
  <xdr:twoCellAnchor>
    <xdr:from>
      <xdr:col>2</xdr:col>
      <xdr:colOff>1582625</xdr:colOff>
      <xdr:row>22</xdr:row>
      <xdr:rowOff>254117</xdr:rowOff>
    </xdr:from>
    <xdr:to>
      <xdr:col>4</xdr:col>
      <xdr:colOff>114418</xdr:colOff>
      <xdr:row>26</xdr:row>
      <xdr:rowOff>141797</xdr:rowOff>
    </xdr:to>
    <xdr:sp macro="" textlink="">
      <xdr:nvSpPr>
        <xdr:cNvPr id="12" name="Rounded Rectangle 11">
          <a:extLst>
            <a:ext uri="{FF2B5EF4-FFF2-40B4-BE49-F238E27FC236}">
              <a16:creationId xmlns:a16="http://schemas.microsoft.com/office/drawing/2014/main" id="{64DBDF0B-1375-4B40-B9C2-B8CEC556FE64}"/>
            </a:ext>
          </a:extLst>
        </xdr:cNvPr>
        <xdr:cNvSpPr/>
      </xdr:nvSpPr>
      <xdr:spPr>
        <a:xfrm>
          <a:off x="7348425" y="6121517"/>
          <a:ext cx="2913293" cy="903680"/>
        </a:xfrm>
        <a:prstGeom prst="roundRect">
          <a:avLst>
            <a:gd name="adj" fmla="val 46754"/>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Enter Amount of Precursor Used in this process </a:t>
          </a:r>
          <a:r>
            <a:rPr lang="en-US" sz="1400" b="0" i="0" u="none" strike="noStrike">
              <a:effectLst/>
              <a:latin typeface="Arial" panose="020B0604020202020204" pitchFamily="34" charset="0"/>
              <a:ea typeface="+mn-ea"/>
              <a:cs typeface="Arial" panose="020B0604020202020204" pitchFamily="34" charset="0"/>
            </a:rPr>
            <a:t>↓</a:t>
          </a:r>
          <a:endPar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endParaRPr>
        </a:p>
      </xdr:txBody>
    </xdr:sp>
    <xdr:clientData/>
  </xdr:twoCellAnchor>
  <xdr:twoCellAnchor>
    <xdr:from>
      <xdr:col>7</xdr:col>
      <xdr:colOff>187538</xdr:colOff>
      <xdr:row>27</xdr:row>
      <xdr:rowOff>37947</xdr:rowOff>
    </xdr:from>
    <xdr:to>
      <xdr:col>10</xdr:col>
      <xdr:colOff>517339</xdr:colOff>
      <xdr:row>29</xdr:row>
      <xdr:rowOff>204822</xdr:rowOff>
    </xdr:to>
    <xdr:sp macro="" textlink="">
      <xdr:nvSpPr>
        <xdr:cNvPr id="13" name="Rounded Rectangle 12">
          <a:hlinkClick xmlns:r="http://schemas.openxmlformats.org/officeDocument/2006/relationships" r:id="rId4"/>
          <a:extLst>
            <a:ext uri="{FF2B5EF4-FFF2-40B4-BE49-F238E27FC236}">
              <a16:creationId xmlns:a16="http://schemas.microsoft.com/office/drawing/2014/main" id="{0BC90093-8D60-4445-9928-079DECADEE2D}"/>
            </a:ext>
          </a:extLst>
        </xdr:cNvPr>
        <xdr:cNvSpPr/>
      </xdr:nvSpPr>
      <xdr:spPr>
        <a:xfrm>
          <a:off x="17294438" y="7175347"/>
          <a:ext cx="2946001" cy="954275"/>
        </a:xfrm>
        <a:prstGeom prst="roundRect">
          <a:avLst>
            <a:gd name="adj" fmla="val 24141"/>
          </a:avLst>
        </a:prstGeom>
        <a:solidFill>
          <a:schemeClr val="accent5">
            <a:lumMod val="40000"/>
            <a:lumOff val="60000"/>
          </a:scheme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Theoretical Amount of Product obtained is calcuated based on Molar mass and ratios</a:t>
          </a:r>
        </a:p>
      </xdr:txBody>
    </xdr:sp>
    <xdr:clientData/>
  </xdr:twoCellAnchor>
  <xdr:twoCellAnchor>
    <xdr:from>
      <xdr:col>0</xdr:col>
      <xdr:colOff>53287</xdr:colOff>
      <xdr:row>31</xdr:row>
      <xdr:rowOff>240237</xdr:rowOff>
    </xdr:from>
    <xdr:to>
      <xdr:col>0</xdr:col>
      <xdr:colOff>2870200</xdr:colOff>
      <xdr:row>34</xdr:row>
      <xdr:rowOff>12817</xdr:rowOff>
    </xdr:to>
    <xdr:sp macro="" textlink="">
      <xdr:nvSpPr>
        <xdr:cNvPr id="14" name="Rounded Rectangle 13">
          <a:extLst>
            <a:ext uri="{FF2B5EF4-FFF2-40B4-BE49-F238E27FC236}">
              <a16:creationId xmlns:a16="http://schemas.microsoft.com/office/drawing/2014/main" id="{2FEAF23D-B319-244C-8CA9-DB7C26933D66}"/>
            </a:ext>
          </a:extLst>
        </xdr:cNvPr>
        <xdr:cNvSpPr/>
      </xdr:nvSpPr>
      <xdr:spPr>
        <a:xfrm>
          <a:off x="53287" y="8673037"/>
          <a:ext cx="2816913" cy="534580"/>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1.2 Solvents</a:t>
          </a:r>
        </a:p>
      </xdr:txBody>
    </xdr:sp>
    <xdr:clientData/>
  </xdr:twoCellAnchor>
  <xdr:twoCellAnchor>
    <xdr:from>
      <xdr:col>2</xdr:col>
      <xdr:colOff>387723</xdr:colOff>
      <xdr:row>12</xdr:row>
      <xdr:rowOff>228600</xdr:rowOff>
    </xdr:from>
    <xdr:to>
      <xdr:col>2</xdr:col>
      <xdr:colOff>976939</xdr:colOff>
      <xdr:row>14</xdr:row>
      <xdr:rowOff>46736</xdr:rowOff>
    </xdr:to>
    <xdr:sp macro="" textlink="">
      <xdr:nvSpPr>
        <xdr:cNvPr id="15" name="Text Placeholder 1248">
          <a:extLst>
            <a:ext uri="{FF2B5EF4-FFF2-40B4-BE49-F238E27FC236}">
              <a16:creationId xmlns:a16="http://schemas.microsoft.com/office/drawing/2014/main" id="{08DC38AD-A739-D941-809D-E471BB52FF80}"/>
            </a:ext>
          </a:extLst>
        </xdr:cNvPr>
        <xdr:cNvSpPr>
          <a:spLocks noGrp="1"/>
        </xdr:cNvSpPr>
      </xdr:nvSpPr>
      <xdr:spPr>
        <a:xfrm>
          <a:off x="6153523" y="3352800"/>
          <a:ext cx="589216" cy="453136"/>
        </a:xfrm>
        <a:prstGeom prst="ellipse">
          <a:avLst/>
        </a:prstGeom>
        <a:solidFill>
          <a:srgbClr val="FFC000">
            <a:lumMod val="60000"/>
            <a:lumOff val="40000"/>
          </a:srgbClr>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r>
            <a:rPr lang="en-US">
              <a:latin typeface="Arial" panose="020B0604020202020204" pitchFamily="34" charset="0"/>
              <a:cs typeface="Arial" panose="020B0604020202020204" pitchFamily="34" charset="0"/>
            </a:rPr>
            <a:t>1</a:t>
          </a:r>
        </a:p>
      </xdr:txBody>
    </xdr:sp>
    <xdr:clientData/>
  </xdr:twoCellAnchor>
  <xdr:twoCellAnchor>
    <xdr:from>
      <xdr:col>4</xdr:col>
      <xdr:colOff>1995714</xdr:colOff>
      <xdr:row>7</xdr:row>
      <xdr:rowOff>165100</xdr:rowOff>
    </xdr:from>
    <xdr:to>
      <xdr:col>5</xdr:col>
      <xdr:colOff>262636</xdr:colOff>
      <xdr:row>9</xdr:row>
      <xdr:rowOff>237236</xdr:rowOff>
    </xdr:to>
    <xdr:sp macro="" textlink="">
      <xdr:nvSpPr>
        <xdr:cNvPr id="16" name="Text Placeholder 1248">
          <a:extLst>
            <a:ext uri="{FF2B5EF4-FFF2-40B4-BE49-F238E27FC236}">
              <a16:creationId xmlns:a16="http://schemas.microsoft.com/office/drawing/2014/main" id="{CF9B2E7A-66BD-1444-8CA7-0ABE2122242E}"/>
            </a:ext>
          </a:extLst>
        </xdr:cNvPr>
        <xdr:cNvSpPr>
          <a:spLocks noGrp="1"/>
        </xdr:cNvSpPr>
      </xdr:nvSpPr>
      <xdr:spPr>
        <a:xfrm>
          <a:off x="12143014" y="2019300"/>
          <a:ext cx="578322" cy="580136"/>
        </a:xfrm>
        <a:prstGeom prst="ellipse">
          <a:avLst/>
        </a:prstGeom>
        <a:solidFill>
          <a:srgbClr val="FFC000">
            <a:lumMod val="60000"/>
            <a:lumOff val="40000"/>
          </a:srgbClr>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r>
            <a:rPr lang="en-US"/>
            <a:t>#</a:t>
          </a:r>
        </a:p>
      </xdr:txBody>
    </xdr:sp>
    <xdr:clientData/>
  </xdr:twoCellAnchor>
  <xdr:twoCellAnchor>
    <xdr:from>
      <xdr:col>4</xdr:col>
      <xdr:colOff>1995714</xdr:colOff>
      <xdr:row>10</xdr:row>
      <xdr:rowOff>139700</xdr:rowOff>
    </xdr:from>
    <xdr:to>
      <xdr:col>5</xdr:col>
      <xdr:colOff>262636</xdr:colOff>
      <xdr:row>12</xdr:row>
      <xdr:rowOff>211836</xdr:rowOff>
    </xdr:to>
    <xdr:sp macro="" textlink="">
      <xdr:nvSpPr>
        <xdr:cNvPr id="17" name="Text Placeholder 1248">
          <a:extLst>
            <a:ext uri="{FF2B5EF4-FFF2-40B4-BE49-F238E27FC236}">
              <a16:creationId xmlns:a16="http://schemas.microsoft.com/office/drawing/2014/main" id="{06224605-CA87-B946-94ED-D06E0A2FAE9E}"/>
            </a:ext>
          </a:extLst>
        </xdr:cNvPr>
        <xdr:cNvSpPr>
          <a:spLocks noGrp="1"/>
        </xdr:cNvSpPr>
      </xdr:nvSpPr>
      <xdr:spPr>
        <a:xfrm>
          <a:off x="12143014" y="2755900"/>
          <a:ext cx="578322" cy="580136"/>
        </a:xfrm>
        <a:prstGeom prst="ellipse">
          <a:avLst/>
        </a:prstGeom>
        <a:solidFill>
          <a:srgbClr val="60CCF3"/>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r>
            <a:rPr lang="en-US"/>
            <a:t>#</a:t>
          </a:r>
        </a:p>
      </xdr:txBody>
    </xdr:sp>
    <xdr:clientData/>
  </xdr:twoCellAnchor>
  <xdr:twoCellAnchor>
    <xdr:from>
      <xdr:col>5</xdr:col>
      <xdr:colOff>408887</xdr:colOff>
      <xdr:row>7</xdr:row>
      <xdr:rowOff>165100</xdr:rowOff>
    </xdr:from>
    <xdr:to>
      <xdr:col>6</xdr:col>
      <xdr:colOff>914400</xdr:colOff>
      <xdr:row>9</xdr:row>
      <xdr:rowOff>217080</xdr:rowOff>
    </xdr:to>
    <xdr:sp macro="" textlink="">
      <xdr:nvSpPr>
        <xdr:cNvPr id="18" name="Rounded Rectangle 17">
          <a:extLst>
            <a:ext uri="{FF2B5EF4-FFF2-40B4-BE49-F238E27FC236}">
              <a16:creationId xmlns:a16="http://schemas.microsoft.com/office/drawing/2014/main" id="{187E6F32-26A4-EB45-B5F3-B9699F279EC1}"/>
            </a:ext>
          </a:extLst>
        </xdr:cNvPr>
        <xdr:cNvSpPr/>
      </xdr:nvSpPr>
      <xdr:spPr>
        <a:xfrm>
          <a:off x="12867587" y="2019300"/>
          <a:ext cx="2816913" cy="559980"/>
        </a:xfrm>
        <a:prstGeom prst="roundRect">
          <a:avLst>
            <a:gd name="adj" fmla="val 43110"/>
          </a:avLst>
        </a:prstGeom>
        <a:solidFill>
          <a:srgbClr val="FFC000">
            <a:lumMod val="60000"/>
            <a:lumOff val="40000"/>
          </a:srgbClr>
        </a:solidFill>
        <a:ln w="44450">
          <a:solidFill>
            <a:sysClr val="windowText" lastClr="000000"/>
          </a:solidFill>
        </a:ln>
      </xdr:spPr>
      <xdr:txBody>
        <a:bodyPr vert="horz" wrap="square" lIns="0" tIns="0" rIns="0" bIns="0" rtlCol="0" anchor="ctr">
          <a:noAutofit/>
        </a:bodyPr>
        <a:lstStyle/>
        <a:p>
          <a:pPr marL="0" marR="0" lvl="0" indent="0" algn="ctr" defTabSz="914400" rtl="0" eaLnBrk="1" fontAlgn="auto" latinLnBrk="0" hangingPunct="1">
            <a:lnSpc>
              <a:spcPct val="100000"/>
            </a:lnSpc>
            <a:spcBef>
              <a:spcPts val="0"/>
            </a:spcBef>
            <a:spcAft>
              <a:spcPts val="0"/>
            </a:spcAft>
            <a:buClrTx/>
            <a:buSzTx/>
            <a:buFont typeface="Arial" panose="020B0604020202020204" pitchFamily="34" charset="0"/>
            <a:buNone/>
            <a:tabLst/>
            <a:defRPr/>
          </a:pPr>
          <a:r>
            <a:rPr lang="en-US" sz="2800" b="1" kern="1200">
              <a:ln w="0">
                <a:noFill/>
              </a:ln>
              <a:solidFill>
                <a:sysClr val="windowText" lastClr="000000"/>
              </a:solidFill>
              <a:latin typeface="Tw Cen MT"/>
              <a:ea typeface="+mn-ea"/>
              <a:cs typeface="+mn-cs"/>
            </a:rPr>
            <a:t>Required</a:t>
          </a:r>
        </a:p>
      </xdr:txBody>
    </xdr:sp>
    <xdr:clientData/>
  </xdr:twoCellAnchor>
  <xdr:twoCellAnchor>
    <xdr:from>
      <xdr:col>5</xdr:col>
      <xdr:colOff>408887</xdr:colOff>
      <xdr:row>10</xdr:row>
      <xdr:rowOff>190500</xdr:rowOff>
    </xdr:from>
    <xdr:to>
      <xdr:col>6</xdr:col>
      <xdr:colOff>914400</xdr:colOff>
      <xdr:row>12</xdr:row>
      <xdr:rowOff>242480</xdr:rowOff>
    </xdr:to>
    <xdr:sp macro="" textlink="">
      <xdr:nvSpPr>
        <xdr:cNvPr id="19" name="Rounded Rectangle 18">
          <a:extLst>
            <a:ext uri="{FF2B5EF4-FFF2-40B4-BE49-F238E27FC236}">
              <a16:creationId xmlns:a16="http://schemas.microsoft.com/office/drawing/2014/main" id="{44B7E862-2E68-E147-A756-911611671AC4}"/>
            </a:ext>
          </a:extLst>
        </xdr:cNvPr>
        <xdr:cNvSpPr/>
      </xdr:nvSpPr>
      <xdr:spPr>
        <a:xfrm>
          <a:off x="12867587" y="2806700"/>
          <a:ext cx="2816913" cy="559980"/>
        </a:xfrm>
        <a:prstGeom prst="roundRect">
          <a:avLst>
            <a:gd name="adj" fmla="val 43110"/>
          </a:avLst>
        </a:prstGeom>
        <a:solidFill>
          <a:srgbClr val="60CCF3"/>
        </a:solidFill>
        <a:ln w="44450">
          <a:solidFill>
            <a:sysClr val="windowText" lastClr="000000"/>
          </a:solidFill>
        </a:ln>
      </xdr:spPr>
      <xdr:txBody>
        <a:bodyPr vert="horz" wrap="square" lIns="0" tIns="0" rIns="0" bIns="0" rtlCol="0" anchor="ctr">
          <a:noAutofit/>
        </a:bodyPr>
        <a:lstStyle/>
        <a:p>
          <a:pPr marL="0" marR="0" lvl="0" indent="0" algn="ctr" defTabSz="914400" rtl="0" eaLnBrk="1" fontAlgn="auto" latinLnBrk="0" hangingPunct="1">
            <a:lnSpc>
              <a:spcPct val="100000"/>
            </a:lnSpc>
            <a:spcBef>
              <a:spcPts val="0"/>
            </a:spcBef>
            <a:spcAft>
              <a:spcPts val="0"/>
            </a:spcAft>
            <a:buClrTx/>
            <a:buSzTx/>
            <a:buFont typeface="Arial" panose="020B0604020202020204" pitchFamily="34" charset="0"/>
            <a:buNone/>
            <a:tabLst/>
            <a:defRPr/>
          </a:pPr>
          <a:r>
            <a:rPr lang="en-US" sz="2800" b="1" kern="1200">
              <a:ln w="0">
                <a:noFill/>
              </a:ln>
              <a:solidFill>
                <a:sysClr val="windowText" lastClr="000000"/>
              </a:solidFill>
              <a:latin typeface="Tw Cen MT"/>
              <a:ea typeface="+mn-ea"/>
              <a:cs typeface="+mn-cs"/>
            </a:rPr>
            <a:t>Optional</a:t>
          </a:r>
        </a:p>
      </xdr:txBody>
    </xdr:sp>
    <xdr:clientData/>
  </xdr:twoCellAnchor>
  <xdr:twoCellAnchor>
    <xdr:from>
      <xdr:col>0</xdr:col>
      <xdr:colOff>3500325</xdr:colOff>
      <xdr:row>22</xdr:row>
      <xdr:rowOff>254117</xdr:rowOff>
    </xdr:from>
    <xdr:to>
      <xdr:col>2</xdr:col>
      <xdr:colOff>190618</xdr:colOff>
      <xdr:row>26</xdr:row>
      <xdr:rowOff>141797</xdr:rowOff>
    </xdr:to>
    <xdr:sp macro="" textlink="">
      <xdr:nvSpPr>
        <xdr:cNvPr id="20" name="Rounded Rectangle 19">
          <a:extLst>
            <a:ext uri="{FF2B5EF4-FFF2-40B4-BE49-F238E27FC236}">
              <a16:creationId xmlns:a16="http://schemas.microsoft.com/office/drawing/2014/main" id="{50E76C4E-EAA2-3548-9A50-04545E1941C1}"/>
            </a:ext>
          </a:extLst>
        </xdr:cNvPr>
        <xdr:cNvSpPr/>
      </xdr:nvSpPr>
      <xdr:spPr>
        <a:xfrm>
          <a:off x="3500325" y="6121517"/>
          <a:ext cx="2456093" cy="903680"/>
        </a:xfrm>
        <a:prstGeom prst="roundRect">
          <a:avLst>
            <a:gd name="adj" fmla="val 46754"/>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Choose from known precursors from drop down menu</a:t>
          </a:r>
        </a:p>
      </xdr:txBody>
    </xdr:sp>
    <xdr:clientData/>
  </xdr:twoCellAnchor>
  <xdr:twoCellAnchor>
    <xdr:from>
      <xdr:col>0</xdr:col>
      <xdr:colOff>3233697</xdr:colOff>
      <xdr:row>23</xdr:row>
      <xdr:rowOff>190500</xdr:rowOff>
    </xdr:from>
    <xdr:to>
      <xdr:col>1</xdr:col>
      <xdr:colOff>135636</xdr:colOff>
      <xdr:row>25</xdr:row>
      <xdr:rowOff>249936</xdr:rowOff>
    </xdr:to>
    <xdr:sp macro="" textlink="">
      <xdr:nvSpPr>
        <xdr:cNvPr id="21" name="Text Placeholder 1248">
          <a:extLst>
            <a:ext uri="{FF2B5EF4-FFF2-40B4-BE49-F238E27FC236}">
              <a16:creationId xmlns:a16="http://schemas.microsoft.com/office/drawing/2014/main" id="{990D3B43-EA35-6B4C-B7F1-3AC8A8184593}"/>
            </a:ext>
          </a:extLst>
        </xdr:cNvPr>
        <xdr:cNvSpPr>
          <a:spLocks noGrp="1"/>
        </xdr:cNvSpPr>
      </xdr:nvSpPr>
      <xdr:spPr>
        <a:xfrm>
          <a:off x="3233697" y="6311900"/>
          <a:ext cx="572239" cy="567436"/>
        </a:xfrm>
        <a:prstGeom prst="ellipse">
          <a:avLst/>
        </a:prstGeom>
        <a:solidFill>
          <a:srgbClr val="60CCF3"/>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r>
            <a:rPr lang="en-US">
              <a:latin typeface="Arial" panose="020B0604020202020204" pitchFamily="34" charset="0"/>
              <a:cs typeface="Arial" panose="020B0604020202020204" pitchFamily="34" charset="0"/>
            </a:rPr>
            <a:t>2</a:t>
          </a:r>
        </a:p>
      </xdr:txBody>
    </xdr:sp>
    <xdr:clientData/>
  </xdr:twoCellAnchor>
  <xdr:twoCellAnchor>
    <xdr:from>
      <xdr:col>2</xdr:col>
      <xdr:colOff>1248656</xdr:colOff>
      <xdr:row>23</xdr:row>
      <xdr:rowOff>190500</xdr:rowOff>
    </xdr:from>
    <xdr:to>
      <xdr:col>2</xdr:col>
      <xdr:colOff>1816100</xdr:colOff>
      <xdr:row>25</xdr:row>
      <xdr:rowOff>249936</xdr:rowOff>
    </xdr:to>
    <xdr:sp macro="" textlink="">
      <xdr:nvSpPr>
        <xdr:cNvPr id="22" name="Text Placeholder 1248">
          <a:extLst>
            <a:ext uri="{FF2B5EF4-FFF2-40B4-BE49-F238E27FC236}">
              <a16:creationId xmlns:a16="http://schemas.microsoft.com/office/drawing/2014/main" id="{02BA6BFB-BA29-3E41-B03F-8430F0DB4509}"/>
            </a:ext>
          </a:extLst>
        </xdr:cNvPr>
        <xdr:cNvSpPr>
          <a:spLocks noGrp="1"/>
        </xdr:cNvSpPr>
      </xdr:nvSpPr>
      <xdr:spPr>
        <a:xfrm>
          <a:off x="7014456" y="6311900"/>
          <a:ext cx="567444" cy="567436"/>
        </a:xfrm>
        <a:prstGeom prst="ellipse">
          <a:avLst/>
        </a:prstGeom>
        <a:solidFill>
          <a:srgbClr val="60CCF3"/>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r>
            <a:rPr lang="en-US">
              <a:latin typeface="Arial" panose="020B0604020202020204" pitchFamily="34" charset="0"/>
              <a:cs typeface="Arial" panose="020B0604020202020204" pitchFamily="34" charset="0"/>
            </a:rPr>
            <a:t>3</a:t>
          </a:r>
        </a:p>
      </xdr:txBody>
    </xdr:sp>
    <xdr:clientData/>
  </xdr:twoCellAnchor>
  <xdr:twoCellAnchor>
    <xdr:from>
      <xdr:col>1</xdr:col>
      <xdr:colOff>2804</xdr:colOff>
      <xdr:row>33</xdr:row>
      <xdr:rowOff>232402</xdr:rowOff>
    </xdr:from>
    <xdr:to>
      <xdr:col>1</xdr:col>
      <xdr:colOff>1727791</xdr:colOff>
      <xdr:row>35</xdr:row>
      <xdr:rowOff>207800</xdr:rowOff>
    </xdr:to>
    <xdr:sp macro="" textlink="">
      <xdr:nvSpPr>
        <xdr:cNvPr id="23" name="Rounded Rectangle 22">
          <a:extLst>
            <a:ext uri="{FF2B5EF4-FFF2-40B4-BE49-F238E27FC236}">
              <a16:creationId xmlns:a16="http://schemas.microsoft.com/office/drawing/2014/main" id="{6482AFEE-CC7D-8441-87DE-084C90FD7005}"/>
            </a:ext>
          </a:extLst>
        </xdr:cNvPr>
        <xdr:cNvSpPr/>
      </xdr:nvSpPr>
      <xdr:spPr>
        <a:xfrm>
          <a:off x="3673104" y="9173202"/>
          <a:ext cx="1724987" cy="483398"/>
        </a:xfrm>
        <a:prstGeom prst="roundRect">
          <a:avLst>
            <a:gd name="adj" fmla="val 46754"/>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Choose Solvent</a:t>
          </a:r>
        </a:p>
      </xdr:txBody>
    </xdr:sp>
    <xdr:clientData/>
  </xdr:twoCellAnchor>
  <xdr:twoCellAnchor>
    <xdr:from>
      <xdr:col>0</xdr:col>
      <xdr:colOff>3293533</xdr:colOff>
      <xdr:row>33</xdr:row>
      <xdr:rowOff>190383</xdr:rowOff>
    </xdr:from>
    <xdr:to>
      <xdr:col>1</xdr:col>
      <xdr:colOff>211836</xdr:colOff>
      <xdr:row>35</xdr:row>
      <xdr:rowOff>249819</xdr:rowOff>
    </xdr:to>
    <xdr:sp macro="" textlink="">
      <xdr:nvSpPr>
        <xdr:cNvPr id="24" name="Text Placeholder 1248">
          <a:extLst>
            <a:ext uri="{FF2B5EF4-FFF2-40B4-BE49-F238E27FC236}">
              <a16:creationId xmlns:a16="http://schemas.microsoft.com/office/drawing/2014/main" id="{F5DCC2CF-378D-6A42-9CC1-18CC4F1E9095}"/>
            </a:ext>
          </a:extLst>
        </xdr:cNvPr>
        <xdr:cNvSpPr>
          <a:spLocks noGrp="1"/>
        </xdr:cNvSpPr>
      </xdr:nvSpPr>
      <xdr:spPr>
        <a:xfrm>
          <a:off x="3293533" y="9131183"/>
          <a:ext cx="588603" cy="567436"/>
        </a:xfrm>
        <a:prstGeom prst="ellipse">
          <a:avLst/>
        </a:prstGeom>
        <a:solidFill>
          <a:srgbClr val="60CCF3"/>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r>
            <a:rPr lang="en-US">
              <a:latin typeface="Arial" panose="020B0604020202020204" pitchFamily="34" charset="0"/>
              <a:cs typeface="Arial" panose="020B0604020202020204" pitchFamily="34" charset="0"/>
            </a:rPr>
            <a:t>4</a:t>
          </a:r>
        </a:p>
      </xdr:txBody>
    </xdr:sp>
    <xdr:clientData/>
  </xdr:twoCellAnchor>
  <xdr:twoCellAnchor>
    <xdr:from>
      <xdr:col>2</xdr:col>
      <xdr:colOff>334184</xdr:colOff>
      <xdr:row>33</xdr:row>
      <xdr:rowOff>216011</xdr:rowOff>
    </xdr:from>
    <xdr:to>
      <xdr:col>3</xdr:col>
      <xdr:colOff>317500</xdr:colOff>
      <xdr:row>35</xdr:row>
      <xdr:rowOff>192591</xdr:rowOff>
    </xdr:to>
    <xdr:sp macro="" textlink="">
      <xdr:nvSpPr>
        <xdr:cNvPr id="25" name="Rounded Rectangle 24">
          <a:extLst>
            <a:ext uri="{FF2B5EF4-FFF2-40B4-BE49-F238E27FC236}">
              <a16:creationId xmlns:a16="http://schemas.microsoft.com/office/drawing/2014/main" id="{327D7D39-D064-194D-A814-6E8251EA3448}"/>
            </a:ext>
          </a:extLst>
        </xdr:cNvPr>
        <xdr:cNvSpPr/>
      </xdr:nvSpPr>
      <xdr:spPr>
        <a:xfrm>
          <a:off x="6099984" y="9156811"/>
          <a:ext cx="2053416" cy="484580"/>
        </a:xfrm>
        <a:prstGeom prst="roundRect">
          <a:avLst>
            <a:gd name="adj" fmla="val 46754"/>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Enter Solvent</a:t>
          </a:r>
        </a:p>
      </xdr:txBody>
    </xdr:sp>
    <xdr:clientData/>
  </xdr:twoCellAnchor>
  <xdr:twoCellAnchor>
    <xdr:from>
      <xdr:col>1</xdr:col>
      <xdr:colOff>1998920</xdr:colOff>
      <xdr:row>33</xdr:row>
      <xdr:rowOff>168233</xdr:rowOff>
    </xdr:from>
    <xdr:to>
      <xdr:col>2</xdr:col>
      <xdr:colOff>529630</xdr:colOff>
      <xdr:row>35</xdr:row>
      <xdr:rowOff>240369</xdr:rowOff>
    </xdr:to>
    <xdr:sp macro="" textlink="">
      <xdr:nvSpPr>
        <xdr:cNvPr id="26" name="Text Placeholder 1248">
          <a:extLst>
            <a:ext uri="{FF2B5EF4-FFF2-40B4-BE49-F238E27FC236}">
              <a16:creationId xmlns:a16="http://schemas.microsoft.com/office/drawing/2014/main" id="{8F1354D6-1354-F44D-8F18-B48E529CCCC4}"/>
            </a:ext>
          </a:extLst>
        </xdr:cNvPr>
        <xdr:cNvSpPr>
          <a:spLocks noGrp="1"/>
        </xdr:cNvSpPr>
      </xdr:nvSpPr>
      <xdr:spPr>
        <a:xfrm>
          <a:off x="5669220" y="9109033"/>
          <a:ext cx="626210" cy="580136"/>
        </a:xfrm>
        <a:prstGeom prst="ellipse">
          <a:avLst/>
        </a:prstGeom>
        <a:solidFill>
          <a:srgbClr val="60CCF3"/>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r>
            <a:rPr lang="en-US">
              <a:latin typeface="Arial" panose="020B0604020202020204" pitchFamily="34" charset="0"/>
              <a:cs typeface="Arial" panose="020B0604020202020204" pitchFamily="34" charset="0"/>
            </a:rPr>
            <a:t>5</a:t>
          </a:r>
        </a:p>
      </xdr:txBody>
    </xdr:sp>
    <xdr:clientData/>
  </xdr:twoCellAnchor>
  <xdr:twoCellAnchor>
    <xdr:from>
      <xdr:col>0</xdr:col>
      <xdr:colOff>53287</xdr:colOff>
      <xdr:row>41</xdr:row>
      <xdr:rowOff>11637</xdr:rowOff>
    </xdr:from>
    <xdr:to>
      <xdr:col>0</xdr:col>
      <xdr:colOff>2870200</xdr:colOff>
      <xdr:row>43</xdr:row>
      <xdr:rowOff>63617</xdr:rowOff>
    </xdr:to>
    <xdr:sp macro="" textlink="">
      <xdr:nvSpPr>
        <xdr:cNvPr id="27" name="Rounded Rectangle 26">
          <a:extLst>
            <a:ext uri="{FF2B5EF4-FFF2-40B4-BE49-F238E27FC236}">
              <a16:creationId xmlns:a16="http://schemas.microsoft.com/office/drawing/2014/main" id="{F4BBC983-A2BD-8044-8D9B-5C132680B9E1}"/>
            </a:ext>
          </a:extLst>
        </xdr:cNvPr>
        <xdr:cNvSpPr/>
      </xdr:nvSpPr>
      <xdr:spPr>
        <a:xfrm>
          <a:off x="53287" y="11022537"/>
          <a:ext cx="2816913" cy="559980"/>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1.3 Water</a:t>
          </a:r>
        </a:p>
      </xdr:txBody>
    </xdr:sp>
    <xdr:clientData/>
  </xdr:twoCellAnchor>
  <xdr:twoCellAnchor>
    <xdr:from>
      <xdr:col>1</xdr:col>
      <xdr:colOff>84026</xdr:colOff>
      <xdr:row>43</xdr:row>
      <xdr:rowOff>85761</xdr:rowOff>
    </xdr:from>
    <xdr:to>
      <xdr:col>1</xdr:col>
      <xdr:colOff>1557966</xdr:colOff>
      <xdr:row>45</xdr:row>
      <xdr:rowOff>62341</xdr:rowOff>
    </xdr:to>
    <xdr:sp macro="" textlink="">
      <xdr:nvSpPr>
        <xdr:cNvPr id="28" name="Rounded Rectangle 27">
          <a:extLst>
            <a:ext uri="{FF2B5EF4-FFF2-40B4-BE49-F238E27FC236}">
              <a16:creationId xmlns:a16="http://schemas.microsoft.com/office/drawing/2014/main" id="{C3661E7C-9658-0446-A688-37358877B05D}"/>
            </a:ext>
          </a:extLst>
        </xdr:cNvPr>
        <xdr:cNvSpPr/>
      </xdr:nvSpPr>
      <xdr:spPr>
        <a:xfrm>
          <a:off x="3754326" y="11604661"/>
          <a:ext cx="1473940" cy="662380"/>
        </a:xfrm>
        <a:prstGeom prst="roundRect">
          <a:avLst>
            <a:gd name="adj" fmla="val 46754"/>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Choose Type</a:t>
          </a:r>
        </a:p>
      </xdr:txBody>
    </xdr:sp>
    <xdr:clientData/>
  </xdr:twoCellAnchor>
  <xdr:twoCellAnchor>
    <xdr:from>
      <xdr:col>0</xdr:col>
      <xdr:colOff>3274533</xdr:colOff>
      <xdr:row>43</xdr:row>
      <xdr:rowOff>94651</xdr:rowOff>
    </xdr:from>
    <xdr:to>
      <xdr:col>1</xdr:col>
      <xdr:colOff>200000</xdr:colOff>
      <xdr:row>45</xdr:row>
      <xdr:rowOff>6668</xdr:rowOff>
    </xdr:to>
    <xdr:sp macro="" textlink="">
      <xdr:nvSpPr>
        <xdr:cNvPr id="29" name="Text Placeholder 1248">
          <a:extLst>
            <a:ext uri="{FF2B5EF4-FFF2-40B4-BE49-F238E27FC236}">
              <a16:creationId xmlns:a16="http://schemas.microsoft.com/office/drawing/2014/main" id="{BCB56D60-5192-4D4A-B37C-9ED6CEF95CD2}"/>
            </a:ext>
          </a:extLst>
        </xdr:cNvPr>
        <xdr:cNvSpPr>
          <a:spLocks noGrp="1"/>
        </xdr:cNvSpPr>
      </xdr:nvSpPr>
      <xdr:spPr>
        <a:xfrm>
          <a:off x="3274533" y="11613551"/>
          <a:ext cx="595767" cy="597817"/>
        </a:xfrm>
        <a:prstGeom prst="ellipse">
          <a:avLst/>
        </a:prstGeom>
        <a:solidFill>
          <a:srgbClr val="60CCF3"/>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r>
            <a:rPr lang="en-US">
              <a:latin typeface="Arial" panose="020B0604020202020204" pitchFamily="34" charset="0"/>
              <a:cs typeface="Arial" panose="020B0604020202020204" pitchFamily="34" charset="0"/>
            </a:rPr>
            <a:t>6</a:t>
          </a:r>
        </a:p>
      </xdr:txBody>
    </xdr:sp>
    <xdr:clientData/>
  </xdr:twoCellAnchor>
  <xdr:twoCellAnchor>
    <xdr:from>
      <xdr:col>2</xdr:col>
      <xdr:colOff>228895</xdr:colOff>
      <xdr:row>43</xdr:row>
      <xdr:rowOff>93145</xdr:rowOff>
    </xdr:from>
    <xdr:to>
      <xdr:col>3</xdr:col>
      <xdr:colOff>114300</xdr:colOff>
      <xdr:row>45</xdr:row>
      <xdr:rowOff>69725</xdr:rowOff>
    </xdr:to>
    <xdr:sp macro="" textlink="">
      <xdr:nvSpPr>
        <xdr:cNvPr id="30" name="Rounded Rectangle 29">
          <a:extLst>
            <a:ext uri="{FF2B5EF4-FFF2-40B4-BE49-F238E27FC236}">
              <a16:creationId xmlns:a16="http://schemas.microsoft.com/office/drawing/2014/main" id="{32D3FFCE-F0AD-F146-BFD2-53744D2214D1}"/>
            </a:ext>
          </a:extLst>
        </xdr:cNvPr>
        <xdr:cNvSpPr/>
      </xdr:nvSpPr>
      <xdr:spPr>
        <a:xfrm>
          <a:off x="5994695" y="11612045"/>
          <a:ext cx="1955505" cy="662380"/>
        </a:xfrm>
        <a:prstGeom prst="roundRect">
          <a:avLst>
            <a:gd name="adj" fmla="val 46754"/>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Enter Quantity</a:t>
          </a:r>
        </a:p>
      </xdr:txBody>
    </xdr:sp>
    <xdr:clientData/>
  </xdr:twoCellAnchor>
  <xdr:twoCellAnchor>
    <xdr:from>
      <xdr:col>1</xdr:col>
      <xdr:colOff>1799560</xdr:colOff>
      <xdr:row>43</xdr:row>
      <xdr:rowOff>45367</xdr:rowOff>
    </xdr:from>
    <xdr:to>
      <xdr:col>2</xdr:col>
      <xdr:colOff>350000</xdr:colOff>
      <xdr:row>45</xdr:row>
      <xdr:rowOff>13333</xdr:rowOff>
    </xdr:to>
    <xdr:sp macro="" textlink="">
      <xdr:nvSpPr>
        <xdr:cNvPr id="31" name="Text Placeholder 1248">
          <a:extLst>
            <a:ext uri="{FF2B5EF4-FFF2-40B4-BE49-F238E27FC236}">
              <a16:creationId xmlns:a16="http://schemas.microsoft.com/office/drawing/2014/main" id="{3DD9DC85-2F16-9F4B-BB2D-E8F56E40AFED}"/>
            </a:ext>
          </a:extLst>
        </xdr:cNvPr>
        <xdr:cNvSpPr>
          <a:spLocks noGrp="1"/>
        </xdr:cNvSpPr>
      </xdr:nvSpPr>
      <xdr:spPr>
        <a:xfrm>
          <a:off x="5469860" y="11564267"/>
          <a:ext cx="645940" cy="653766"/>
        </a:xfrm>
        <a:prstGeom prst="ellipse">
          <a:avLst/>
        </a:prstGeom>
        <a:solidFill>
          <a:srgbClr val="60CCF3"/>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r>
            <a:rPr lang="en-US">
              <a:latin typeface="Arial" panose="020B0604020202020204" pitchFamily="34" charset="0"/>
              <a:cs typeface="Arial" panose="020B0604020202020204" pitchFamily="34" charset="0"/>
            </a:rPr>
            <a:t>7</a:t>
          </a:r>
        </a:p>
      </xdr:txBody>
    </xdr:sp>
    <xdr:clientData/>
  </xdr:twoCellAnchor>
  <xdr:twoCellAnchor>
    <xdr:from>
      <xdr:col>0</xdr:col>
      <xdr:colOff>53287</xdr:colOff>
      <xdr:row>51</xdr:row>
      <xdr:rowOff>209595</xdr:rowOff>
    </xdr:from>
    <xdr:to>
      <xdr:col>3</xdr:col>
      <xdr:colOff>1110140</xdr:colOff>
      <xdr:row>54</xdr:row>
      <xdr:rowOff>84666</xdr:rowOff>
    </xdr:to>
    <xdr:sp macro="" textlink="">
      <xdr:nvSpPr>
        <xdr:cNvPr id="32" name="Rounded Rectangle 31">
          <a:extLst>
            <a:ext uri="{FF2B5EF4-FFF2-40B4-BE49-F238E27FC236}">
              <a16:creationId xmlns:a16="http://schemas.microsoft.com/office/drawing/2014/main" id="{247BCF83-ABB8-174A-AD27-DB5FAB80C8BA}"/>
            </a:ext>
          </a:extLst>
        </xdr:cNvPr>
        <xdr:cNvSpPr/>
      </xdr:nvSpPr>
      <xdr:spPr>
        <a:xfrm>
          <a:off x="53287" y="14141495"/>
          <a:ext cx="8892753" cy="637071"/>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20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Process Time Information</a:t>
          </a:r>
        </a:p>
      </xdr:txBody>
    </xdr:sp>
    <xdr:clientData/>
  </xdr:twoCellAnchor>
  <xdr:twoCellAnchor>
    <xdr:from>
      <xdr:col>1</xdr:col>
      <xdr:colOff>84025</xdr:colOff>
      <xdr:row>55</xdr:row>
      <xdr:rowOff>127000</xdr:rowOff>
    </xdr:from>
    <xdr:to>
      <xdr:col>1</xdr:col>
      <xdr:colOff>2015066</xdr:colOff>
      <xdr:row>58</xdr:row>
      <xdr:rowOff>104674</xdr:rowOff>
    </xdr:to>
    <xdr:sp macro="" textlink="">
      <xdr:nvSpPr>
        <xdr:cNvPr id="33" name="Rounded Rectangle 32">
          <a:extLst>
            <a:ext uri="{FF2B5EF4-FFF2-40B4-BE49-F238E27FC236}">
              <a16:creationId xmlns:a16="http://schemas.microsoft.com/office/drawing/2014/main" id="{16EFB4EE-B7E5-9249-A254-D7B06E50E2A4}"/>
            </a:ext>
          </a:extLst>
        </xdr:cNvPr>
        <xdr:cNvSpPr/>
      </xdr:nvSpPr>
      <xdr:spPr>
        <a:xfrm>
          <a:off x="3754325" y="15074900"/>
          <a:ext cx="1931041" cy="739674"/>
        </a:xfrm>
        <a:prstGeom prst="roundRect">
          <a:avLst>
            <a:gd name="adj" fmla="val 46754"/>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Replace with your Process Time</a:t>
          </a:r>
        </a:p>
      </xdr:txBody>
    </xdr:sp>
    <xdr:clientData/>
  </xdr:twoCellAnchor>
  <xdr:twoCellAnchor>
    <xdr:from>
      <xdr:col>0</xdr:col>
      <xdr:colOff>3124200</xdr:colOff>
      <xdr:row>55</xdr:row>
      <xdr:rowOff>177682</xdr:rowOff>
    </xdr:from>
    <xdr:to>
      <xdr:col>1</xdr:col>
      <xdr:colOff>84836</xdr:colOff>
      <xdr:row>58</xdr:row>
      <xdr:rowOff>12752</xdr:rowOff>
    </xdr:to>
    <xdr:sp macro="" textlink="">
      <xdr:nvSpPr>
        <xdr:cNvPr id="34" name="Text Placeholder 1248">
          <a:extLst>
            <a:ext uri="{FF2B5EF4-FFF2-40B4-BE49-F238E27FC236}">
              <a16:creationId xmlns:a16="http://schemas.microsoft.com/office/drawing/2014/main" id="{377D5B1E-A03A-004A-978B-89AFC056D707}"/>
            </a:ext>
          </a:extLst>
        </xdr:cNvPr>
        <xdr:cNvSpPr>
          <a:spLocks noGrp="1"/>
        </xdr:cNvSpPr>
      </xdr:nvSpPr>
      <xdr:spPr>
        <a:xfrm>
          <a:off x="3124200" y="15125582"/>
          <a:ext cx="630936" cy="597070"/>
        </a:xfrm>
        <a:prstGeom prst="ellipse">
          <a:avLst/>
        </a:prstGeom>
        <a:solidFill>
          <a:srgbClr val="FFC000">
            <a:lumMod val="60000"/>
            <a:lumOff val="40000"/>
          </a:srgbClr>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pPr marL="0" indent="0" algn="ctr" defTabSz="914400" rtl="0" eaLnBrk="1" latinLnBrk="0" hangingPunct="1">
            <a:lnSpc>
              <a:spcPct val="100000"/>
            </a:lnSpc>
            <a:spcBef>
              <a:spcPts val="0"/>
            </a:spcBef>
            <a:buFont typeface="Arial" panose="020B0604020202020204" pitchFamily="34" charset="0"/>
            <a:buNone/>
          </a:pPr>
          <a:r>
            <a:rPr lang="en-US" sz="2800" b="1" kern="1200">
              <a:ln w="0">
                <a:noFill/>
              </a:ln>
              <a:solidFill>
                <a:sysClr val="windowText" lastClr="000000"/>
              </a:solidFill>
              <a:latin typeface="Arial" panose="020B0604020202020204" pitchFamily="34" charset="0"/>
              <a:ea typeface="+mn-ea"/>
              <a:cs typeface="Arial" panose="020B0604020202020204" pitchFamily="34" charset="0"/>
            </a:rPr>
            <a:t>8</a:t>
          </a:r>
        </a:p>
      </xdr:txBody>
    </xdr:sp>
    <xdr:clientData/>
  </xdr:twoCellAnchor>
  <xdr:twoCellAnchor>
    <xdr:from>
      <xdr:col>0</xdr:col>
      <xdr:colOff>53287</xdr:colOff>
      <xdr:row>65</xdr:row>
      <xdr:rowOff>135467</xdr:rowOff>
    </xdr:from>
    <xdr:to>
      <xdr:col>3</xdr:col>
      <xdr:colOff>1110140</xdr:colOff>
      <xdr:row>68</xdr:row>
      <xdr:rowOff>12701</xdr:rowOff>
    </xdr:to>
    <xdr:sp macro="" textlink="">
      <xdr:nvSpPr>
        <xdr:cNvPr id="35" name="Rounded Rectangle 34">
          <a:extLst>
            <a:ext uri="{FF2B5EF4-FFF2-40B4-BE49-F238E27FC236}">
              <a16:creationId xmlns:a16="http://schemas.microsoft.com/office/drawing/2014/main" id="{79A989D1-9E4D-B342-97A1-10616889671C}"/>
            </a:ext>
          </a:extLst>
        </xdr:cNvPr>
        <xdr:cNvSpPr/>
      </xdr:nvSpPr>
      <xdr:spPr>
        <a:xfrm>
          <a:off x="53287" y="17826567"/>
          <a:ext cx="8892753" cy="639234"/>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Equipment Power Information</a:t>
          </a:r>
        </a:p>
      </xdr:txBody>
    </xdr:sp>
    <xdr:clientData/>
  </xdr:twoCellAnchor>
  <xdr:twoCellAnchor>
    <xdr:from>
      <xdr:col>2</xdr:col>
      <xdr:colOff>833868</xdr:colOff>
      <xdr:row>61</xdr:row>
      <xdr:rowOff>220998</xdr:rowOff>
    </xdr:from>
    <xdr:to>
      <xdr:col>3</xdr:col>
      <xdr:colOff>1684866</xdr:colOff>
      <xdr:row>64</xdr:row>
      <xdr:rowOff>34731</xdr:rowOff>
    </xdr:to>
    <xdr:sp macro="" textlink="">
      <xdr:nvSpPr>
        <xdr:cNvPr id="36" name="Rounded Rectangle 35">
          <a:extLst>
            <a:ext uri="{FF2B5EF4-FFF2-40B4-BE49-F238E27FC236}">
              <a16:creationId xmlns:a16="http://schemas.microsoft.com/office/drawing/2014/main" id="{DE2AB55A-C462-9D41-941E-BFC87030AFC3}"/>
            </a:ext>
          </a:extLst>
        </xdr:cNvPr>
        <xdr:cNvSpPr/>
      </xdr:nvSpPr>
      <xdr:spPr>
        <a:xfrm>
          <a:off x="6599668" y="16756398"/>
          <a:ext cx="2921098" cy="715433"/>
        </a:xfrm>
        <a:prstGeom prst="roundRect">
          <a:avLst>
            <a:gd name="adj" fmla="val 46754"/>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Enter additional time information</a:t>
          </a:r>
        </a:p>
      </xdr:txBody>
    </xdr:sp>
    <xdr:clientData/>
  </xdr:twoCellAnchor>
  <xdr:twoCellAnchor>
    <xdr:from>
      <xdr:col>2</xdr:col>
      <xdr:colOff>368300</xdr:colOff>
      <xdr:row>61</xdr:row>
      <xdr:rowOff>244196</xdr:rowOff>
    </xdr:from>
    <xdr:to>
      <xdr:col>2</xdr:col>
      <xdr:colOff>998744</xdr:colOff>
      <xdr:row>63</xdr:row>
      <xdr:rowOff>214733</xdr:rowOff>
    </xdr:to>
    <xdr:sp macro="" textlink="">
      <xdr:nvSpPr>
        <xdr:cNvPr id="37" name="Text Placeholder 1248">
          <a:extLst>
            <a:ext uri="{FF2B5EF4-FFF2-40B4-BE49-F238E27FC236}">
              <a16:creationId xmlns:a16="http://schemas.microsoft.com/office/drawing/2014/main" id="{40B2A36E-D60E-9246-A50D-90FDF973E2E5}"/>
            </a:ext>
          </a:extLst>
        </xdr:cNvPr>
        <xdr:cNvSpPr>
          <a:spLocks noGrp="1"/>
        </xdr:cNvSpPr>
      </xdr:nvSpPr>
      <xdr:spPr>
        <a:xfrm>
          <a:off x="6134100" y="16779596"/>
          <a:ext cx="630444" cy="618237"/>
        </a:xfrm>
        <a:prstGeom prst="ellipse">
          <a:avLst/>
        </a:prstGeom>
        <a:solidFill>
          <a:srgbClr val="60CCF3"/>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r>
            <a:rPr lang="en-US">
              <a:latin typeface="Arial" panose="020B0604020202020204" pitchFamily="34" charset="0"/>
              <a:cs typeface="Arial" panose="020B0604020202020204" pitchFamily="34" charset="0"/>
            </a:rPr>
            <a:t>9</a:t>
          </a:r>
        </a:p>
      </xdr:txBody>
    </xdr:sp>
    <xdr:clientData/>
  </xdr:twoCellAnchor>
  <xdr:twoCellAnchor>
    <xdr:from>
      <xdr:col>3</xdr:col>
      <xdr:colOff>1698428</xdr:colOff>
      <xdr:row>66</xdr:row>
      <xdr:rowOff>89252</xdr:rowOff>
    </xdr:from>
    <xdr:to>
      <xdr:col>4</xdr:col>
      <xdr:colOff>1845056</xdr:colOff>
      <xdr:row>69</xdr:row>
      <xdr:rowOff>39590</xdr:rowOff>
    </xdr:to>
    <xdr:sp macro="" textlink="">
      <xdr:nvSpPr>
        <xdr:cNvPr id="38" name="Rounded Rectangle 37">
          <a:extLst>
            <a:ext uri="{FF2B5EF4-FFF2-40B4-BE49-F238E27FC236}">
              <a16:creationId xmlns:a16="http://schemas.microsoft.com/office/drawing/2014/main" id="{80E23B96-04E1-F34F-985C-9CDB706D9C0E}"/>
            </a:ext>
          </a:extLst>
        </xdr:cNvPr>
        <xdr:cNvSpPr/>
      </xdr:nvSpPr>
      <xdr:spPr>
        <a:xfrm>
          <a:off x="9534328" y="18034352"/>
          <a:ext cx="2458028" cy="712338"/>
        </a:xfrm>
        <a:prstGeom prst="roundRect">
          <a:avLst>
            <a:gd name="adj" fmla="val 46754"/>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Replace with your Power Rating information</a:t>
          </a:r>
        </a:p>
      </xdr:txBody>
    </xdr:sp>
    <xdr:clientData/>
  </xdr:twoCellAnchor>
  <xdr:twoCellAnchor>
    <xdr:from>
      <xdr:col>3</xdr:col>
      <xdr:colOff>1232860</xdr:colOff>
      <xdr:row>66</xdr:row>
      <xdr:rowOff>137850</xdr:rowOff>
    </xdr:from>
    <xdr:to>
      <xdr:col>3</xdr:col>
      <xdr:colOff>1863304</xdr:colOff>
      <xdr:row>68</xdr:row>
      <xdr:rowOff>244992</xdr:rowOff>
    </xdr:to>
    <xdr:sp macro="" textlink="">
      <xdr:nvSpPr>
        <xdr:cNvPr id="39" name="Text Placeholder 1248">
          <a:extLst>
            <a:ext uri="{FF2B5EF4-FFF2-40B4-BE49-F238E27FC236}">
              <a16:creationId xmlns:a16="http://schemas.microsoft.com/office/drawing/2014/main" id="{8849E186-1139-D744-869D-EA073F607340}"/>
            </a:ext>
          </a:extLst>
        </xdr:cNvPr>
        <xdr:cNvSpPr>
          <a:spLocks noGrp="1"/>
        </xdr:cNvSpPr>
      </xdr:nvSpPr>
      <xdr:spPr>
        <a:xfrm>
          <a:off x="9068760" y="18082950"/>
          <a:ext cx="630444" cy="615142"/>
        </a:xfrm>
        <a:prstGeom prst="ellipse">
          <a:avLst/>
        </a:prstGeom>
        <a:solidFill>
          <a:srgbClr val="FFC000">
            <a:lumMod val="60000"/>
            <a:lumOff val="40000"/>
          </a:srgbClr>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pPr marL="0" indent="0" algn="ctr" defTabSz="914400" rtl="0" eaLnBrk="1" latinLnBrk="0" hangingPunct="1">
            <a:lnSpc>
              <a:spcPct val="100000"/>
            </a:lnSpc>
            <a:spcBef>
              <a:spcPts val="0"/>
            </a:spcBef>
            <a:buFont typeface="Arial" panose="020B0604020202020204" pitchFamily="34" charset="0"/>
            <a:buNone/>
          </a:pPr>
          <a:r>
            <a:rPr lang="en-US" sz="2800" b="1" kern="1200">
              <a:ln w="0">
                <a:noFill/>
              </a:ln>
              <a:solidFill>
                <a:sysClr val="windowText" lastClr="000000"/>
              </a:solidFill>
              <a:latin typeface="Arial" panose="020B0604020202020204" pitchFamily="34" charset="0"/>
              <a:ea typeface="+mn-ea"/>
              <a:cs typeface="Arial" panose="020B0604020202020204" pitchFamily="34" charset="0"/>
            </a:rPr>
            <a:t>10</a:t>
          </a:r>
        </a:p>
      </xdr:txBody>
    </xdr:sp>
    <xdr:clientData/>
  </xdr:twoCellAnchor>
  <xdr:twoCellAnchor>
    <xdr:from>
      <xdr:col>0</xdr:col>
      <xdr:colOff>53287</xdr:colOff>
      <xdr:row>76</xdr:row>
      <xdr:rowOff>220845</xdr:rowOff>
    </xdr:from>
    <xdr:to>
      <xdr:col>3</xdr:col>
      <xdr:colOff>1110140</xdr:colOff>
      <xdr:row>79</xdr:row>
      <xdr:rowOff>98079</xdr:rowOff>
    </xdr:to>
    <xdr:sp macro="" textlink="">
      <xdr:nvSpPr>
        <xdr:cNvPr id="40" name="Rounded Rectangle 39">
          <a:extLst>
            <a:ext uri="{FF2B5EF4-FFF2-40B4-BE49-F238E27FC236}">
              <a16:creationId xmlns:a16="http://schemas.microsoft.com/office/drawing/2014/main" id="{9186E85B-FC00-0747-A28F-3D02CD4D378F}"/>
            </a:ext>
          </a:extLst>
        </xdr:cNvPr>
        <xdr:cNvSpPr/>
      </xdr:nvSpPr>
      <xdr:spPr>
        <a:xfrm>
          <a:off x="53287" y="20705945"/>
          <a:ext cx="8892753" cy="639234"/>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Process Conditions</a:t>
          </a:r>
        </a:p>
      </xdr:txBody>
    </xdr:sp>
    <xdr:clientData/>
  </xdr:twoCellAnchor>
  <xdr:twoCellAnchor>
    <xdr:from>
      <xdr:col>0</xdr:col>
      <xdr:colOff>53287</xdr:colOff>
      <xdr:row>85</xdr:row>
      <xdr:rowOff>93845</xdr:rowOff>
    </xdr:from>
    <xdr:to>
      <xdr:col>3</xdr:col>
      <xdr:colOff>1110140</xdr:colOff>
      <xdr:row>88</xdr:row>
      <xdr:rowOff>9179</xdr:rowOff>
    </xdr:to>
    <xdr:sp macro="" textlink="">
      <xdr:nvSpPr>
        <xdr:cNvPr id="41" name="Rounded Rectangle 40">
          <a:extLst>
            <a:ext uri="{FF2B5EF4-FFF2-40B4-BE49-F238E27FC236}">
              <a16:creationId xmlns:a16="http://schemas.microsoft.com/office/drawing/2014/main" id="{34F5D6DF-0A06-C347-B218-6ED6B47F2E07}"/>
            </a:ext>
          </a:extLst>
        </xdr:cNvPr>
        <xdr:cNvSpPr/>
      </xdr:nvSpPr>
      <xdr:spPr>
        <a:xfrm>
          <a:off x="53287" y="22864945"/>
          <a:ext cx="8892753" cy="639234"/>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Equipment Volume Utilization Calculation</a:t>
          </a:r>
        </a:p>
      </xdr:txBody>
    </xdr:sp>
    <xdr:clientData/>
  </xdr:twoCellAnchor>
  <xdr:twoCellAnchor>
    <xdr:from>
      <xdr:col>2</xdr:col>
      <xdr:colOff>115931</xdr:colOff>
      <xdr:row>88</xdr:row>
      <xdr:rowOff>63617</xdr:rowOff>
    </xdr:from>
    <xdr:to>
      <xdr:col>3</xdr:col>
      <xdr:colOff>1440927</xdr:colOff>
      <xdr:row>93</xdr:row>
      <xdr:rowOff>76200</xdr:rowOff>
    </xdr:to>
    <xdr:sp macro="" textlink="">
      <xdr:nvSpPr>
        <xdr:cNvPr id="42" name="Rounded Rectangle 41">
          <a:hlinkClick xmlns:r="http://schemas.openxmlformats.org/officeDocument/2006/relationships" r:id="rId5"/>
          <a:extLst>
            <a:ext uri="{FF2B5EF4-FFF2-40B4-BE49-F238E27FC236}">
              <a16:creationId xmlns:a16="http://schemas.microsoft.com/office/drawing/2014/main" id="{C687921B-A6FF-914E-B8D2-245915FB597F}"/>
            </a:ext>
          </a:extLst>
        </xdr:cNvPr>
        <xdr:cNvSpPr/>
      </xdr:nvSpPr>
      <xdr:spPr>
        <a:xfrm>
          <a:off x="5881731" y="23558617"/>
          <a:ext cx="3395096" cy="1168283"/>
        </a:xfrm>
        <a:prstGeom prst="roundRect">
          <a:avLst>
            <a:gd name="adj" fmla="val 24141"/>
          </a:avLst>
        </a:prstGeom>
        <a:solidFill>
          <a:schemeClr val="accent5">
            <a:lumMod val="40000"/>
            <a:lumOff val="60000"/>
          </a:scheme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Production volume is calculated based on all the </a:t>
          </a:r>
          <a:r>
            <a:rPr kumimoji="0" lang="en-US" sz="14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Input materials </a:t>
          </a: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entered above</a:t>
          </a:r>
          <a:b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b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(1L =~ 1Kg)</a:t>
          </a:r>
        </a:p>
      </xdr:txBody>
    </xdr:sp>
    <xdr:clientData/>
  </xdr:twoCellAnchor>
  <xdr:twoCellAnchor>
    <xdr:from>
      <xdr:col>4</xdr:col>
      <xdr:colOff>669728</xdr:colOff>
      <xdr:row>80</xdr:row>
      <xdr:rowOff>140052</xdr:rowOff>
    </xdr:from>
    <xdr:to>
      <xdr:col>5</xdr:col>
      <xdr:colOff>816356</xdr:colOff>
      <xdr:row>83</xdr:row>
      <xdr:rowOff>90390</xdr:rowOff>
    </xdr:to>
    <xdr:sp macro="" textlink="">
      <xdr:nvSpPr>
        <xdr:cNvPr id="43" name="Rounded Rectangle 42">
          <a:extLst>
            <a:ext uri="{FF2B5EF4-FFF2-40B4-BE49-F238E27FC236}">
              <a16:creationId xmlns:a16="http://schemas.microsoft.com/office/drawing/2014/main" id="{479724CB-D0C7-E242-ACE0-EC531F7A84EA}"/>
            </a:ext>
          </a:extLst>
        </xdr:cNvPr>
        <xdr:cNvSpPr/>
      </xdr:nvSpPr>
      <xdr:spPr>
        <a:xfrm>
          <a:off x="10817028" y="21641152"/>
          <a:ext cx="2458028" cy="712338"/>
        </a:xfrm>
        <a:prstGeom prst="roundRect">
          <a:avLst>
            <a:gd name="adj" fmla="val 46754"/>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Enter additional information</a:t>
          </a:r>
        </a:p>
      </xdr:txBody>
    </xdr:sp>
    <xdr:clientData/>
  </xdr:twoCellAnchor>
  <xdr:twoCellAnchor>
    <xdr:from>
      <xdr:col>4</xdr:col>
      <xdr:colOff>140660</xdr:colOff>
      <xdr:row>80</xdr:row>
      <xdr:rowOff>188650</xdr:rowOff>
    </xdr:from>
    <xdr:to>
      <xdr:col>4</xdr:col>
      <xdr:colOff>771104</xdr:colOff>
      <xdr:row>83</xdr:row>
      <xdr:rowOff>41792</xdr:rowOff>
    </xdr:to>
    <xdr:sp macro="" textlink="">
      <xdr:nvSpPr>
        <xdr:cNvPr id="44" name="Text Placeholder 1248">
          <a:extLst>
            <a:ext uri="{FF2B5EF4-FFF2-40B4-BE49-F238E27FC236}">
              <a16:creationId xmlns:a16="http://schemas.microsoft.com/office/drawing/2014/main" id="{B9292E9C-C7AD-B140-9616-C8995C6BCEA8}"/>
            </a:ext>
          </a:extLst>
        </xdr:cNvPr>
        <xdr:cNvSpPr>
          <a:spLocks noGrp="1"/>
        </xdr:cNvSpPr>
      </xdr:nvSpPr>
      <xdr:spPr>
        <a:xfrm>
          <a:off x="10287960" y="21689750"/>
          <a:ext cx="630444" cy="615142"/>
        </a:xfrm>
        <a:prstGeom prst="ellipse">
          <a:avLst/>
        </a:prstGeom>
        <a:solidFill>
          <a:srgbClr val="60CCF3"/>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pPr marL="0" indent="0" algn="ctr" defTabSz="914400" rtl="0" eaLnBrk="1" latinLnBrk="0" hangingPunct="1">
            <a:lnSpc>
              <a:spcPct val="100000"/>
            </a:lnSpc>
            <a:spcBef>
              <a:spcPts val="0"/>
            </a:spcBef>
            <a:buFont typeface="Arial" panose="020B0604020202020204" pitchFamily="34" charset="0"/>
            <a:buNone/>
          </a:pPr>
          <a:r>
            <a:rPr lang="en-US" sz="2800" b="1" kern="1200">
              <a:ln w="0">
                <a:noFill/>
              </a:ln>
              <a:solidFill>
                <a:sysClr val="windowText" lastClr="000000"/>
              </a:solidFill>
              <a:latin typeface="Arial" panose="020B0604020202020204" pitchFamily="34" charset="0"/>
              <a:ea typeface="+mn-ea"/>
              <a:cs typeface="Arial" panose="020B0604020202020204" pitchFamily="34" charset="0"/>
            </a:rPr>
            <a:t>11</a:t>
          </a:r>
        </a:p>
      </xdr:txBody>
    </xdr:sp>
    <xdr:clientData/>
  </xdr:twoCellAnchor>
  <xdr:twoCellAnchor>
    <xdr:from>
      <xdr:col>2</xdr:col>
      <xdr:colOff>659568</xdr:colOff>
      <xdr:row>93</xdr:row>
      <xdr:rowOff>236572</xdr:rowOff>
    </xdr:from>
    <xdr:to>
      <xdr:col>3</xdr:col>
      <xdr:colOff>1504696</xdr:colOff>
      <xdr:row>96</xdr:row>
      <xdr:rowOff>174210</xdr:rowOff>
    </xdr:to>
    <xdr:sp macro="" textlink="">
      <xdr:nvSpPr>
        <xdr:cNvPr id="45" name="Rounded Rectangle 44">
          <a:extLst>
            <a:ext uri="{FF2B5EF4-FFF2-40B4-BE49-F238E27FC236}">
              <a16:creationId xmlns:a16="http://schemas.microsoft.com/office/drawing/2014/main" id="{0EC4631B-8241-844A-8A8D-20FB75875FF4}"/>
            </a:ext>
          </a:extLst>
        </xdr:cNvPr>
        <xdr:cNvSpPr/>
      </xdr:nvSpPr>
      <xdr:spPr>
        <a:xfrm>
          <a:off x="6425368" y="24887272"/>
          <a:ext cx="2915228" cy="712338"/>
        </a:xfrm>
        <a:prstGeom prst="roundRect">
          <a:avLst>
            <a:gd name="adj" fmla="val 46754"/>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Replace with your volume</a:t>
          </a:r>
        </a:p>
      </xdr:txBody>
    </xdr:sp>
    <xdr:clientData/>
  </xdr:twoCellAnchor>
  <xdr:twoCellAnchor>
    <xdr:from>
      <xdr:col>2</xdr:col>
      <xdr:colOff>130500</xdr:colOff>
      <xdr:row>94</xdr:row>
      <xdr:rowOff>71810</xdr:rowOff>
    </xdr:from>
    <xdr:to>
      <xdr:col>2</xdr:col>
      <xdr:colOff>760944</xdr:colOff>
      <xdr:row>96</xdr:row>
      <xdr:rowOff>166252</xdr:rowOff>
    </xdr:to>
    <xdr:sp macro="" textlink="">
      <xdr:nvSpPr>
        <xdr:cNvPr id="46" name="Text Placeholder 1248">
          <a:extLst>
            <a:ext uri="{FF2B5EF4-FFF2-40B4-BE49-F238E27FC236}">
              <a16:creationId xmlns:a16="http://schemas.microsoft.com/office/drawing/2014/main" id="{9B86EC5F-D10B-6943-8D7E-8DAFFE5645CB}"/>
            </a:ext>
          </a:extLst>
        </xdr:cNvPr>
        <xdr:cNvSpPr>
          <a:spLocks noGrp="1"/>
        </xdr:cNvSpPr>
      </xdr:nvSpPr>
      <xdr:spPr>
        <a:xfrm>
          <a:off x="5896300" y="24976510"/>
          <a:ext cx="630444" cy="615142"/>
        </a:xfrm>
        <a:prstGeom prst="ellipse">
          <a:avLst/>
        </a:prstGeom>
        <a:solidFill>
          <a:srgbClr val="60CCF3"/>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pPr marL="0" indent="0" algn="ctr" defTabSz="914400" rtl="0" eaLnBrk="1" latinLnBrk="0" hangingPunct="1">
            <a:lnSpc>
              <a:spcPct val="100000"/>
            </a:lnSpc>
            <a:spcBef>
              <a:spcPts val="0"/>
            </a:spcBef>
            <a:buFont typeface="Arial" panose="020B0604020202020204" pitchFamily="34" charset="0"/>
            <a:buNone/>
          </a:pPr>
          <a:r>
            <a:rPr lang="en-US" sz="2800" b="1" kern="1200">
              <a:ln w="0">
                <a:noFill/>
              </a:ln>
              <a:solidFill>
                <a:sysClr val="windowText" lastClr="000000"/>
              </a:solidFill>
              <a:latin typeface="Arial" panose="020B0604020202020204" pitchFamily="34" charset="0"/>
              <a:ea typeface="+mn-ea"/>
              <a:cs typeface="Arial" panose="020B0604020202020204" pitchFamily="34" charset="0"/>
            </a:rPr>
            <a:t>12</a:t>
          </a:r>
        </a:p>
      </xdr:txBody>
    </xdr:sp>
    <xdr:clientData/>
  </xdr:twoCellAnchor>
  <xdr:twoCellAnchor>
    <xdr:from>
      <xdr:col>2</xdr:col>
      <xdr:colOff>523137</xdr:colOff>
      <xdr:row>98</xdr:row>
      <xdr:rowOff>1612</xdr:rowOff>
    </xdr:from>
    <xdr:to>
      <xdr:col>4</xdr:col>
      <xdr:colOff>38906</xdr:colOff>
      <xdr:row>99</xdr:row>
      <xdr:rowOff>174776</xdr:rowOff>
    </xdr:to>
    <xdr:sp macro="" textlink="">
      <xdr:nvSpPr>
        <xdr:cNvPr id="47" name="Rounded Rectangle 46">
          <a:extLst>
            <a:ext uri="{FF2B5EF4-FFF2-40B4-BE49-F238E27FC236}">
              <a16:creationId xmlns:a16="http://schemas.microsoft.com/office/drawing/2014/main" id="{A6F894D8-ABB8-FB4C-A6D3-E4A43B18B3BA}"/>
            </a:ext>
          </a:extLst>
        </xdr:cNvPr>
        <xdr:cNvSpPr/>
      </xdr:nvSpPr>
      <xdr:spPr>
        <a:xfrm>
          <a:off x="6288937" y="25935012"/>
          <a:ext cx="3897269" cy="706564"/>
        </a:xfrm>
        <a:prstGeom prst="roundRect">
          <a:avLst>
            <a:gd name="adj" fmla="val 24141"/>
          </a:avLst>
        </a:prstGeom>
        <a:solidFill>
          <a:schemeClr val="accent5">
            <a:lumMod val="40000"/>
            <a:lumOff val="60000"/>
          </a:scheme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Volume Utilized fraction is ratio of </a:t>
          </a:r>
          <a:r>
            <a:rPr kumimoji="0" lang="en-US" sz="14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Production</a:t>
          </a: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 to </a:t>
          </a:r>
          <a:r>
            <a:rPr kumimoji="0" lang="en-US" sz="14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Equipment</a:t>
          </a: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 Volume</a:t>
          </a:r>
        </a:p>
      </xdr:txBody>
    </xdr:sp>
    <xdr:clientData/>
  </xdr:twoCellAnchor>
  <xdr:twoCellAnchor>
    <xdr:from>
      <xdr:col>2</xdr:col>
      <xdr:colOff>68756</xdr:colOff>
      <xdr:row>139</xdr:row>
      <xdr:rowOff>116377</xdr:rowOff>
    </xdr:from>
    <xdr:to>
      <xdr:col>3</xdr:col>
      <xdr:colOff>2235108</xdr:colOff>
      <xdr:row>141</xdr:row>
      <xdr:rowOff>247180</xdr:rowOff>
    </xdr:to>
    <xdr:sp macro="" textlink="">
      <xdr:nvSpPr>
        <xdr:cNvPr id="48" name="Rounded Rectangle 47">
          <a:extLst>
            <a:ext uri="{FF2B5EF4-FFF2-40B4-BE49-F238E27FC236}">
              <a16:creationId xmlns:a16="http://schemas.microsoft.com/office/drawing/2014/main" id="{9DDF4A7F-E6FB-1242-8DC3-D9CC4E95299F}"/>
            </a:ext>
          </a:extLst>
        </xdr:cNvPr>
        <xdr:cNvSpPr/>
      </xdr:nvSpPr>
      <xdr:spPr>
        <a:xfrm>
          <a:off x="5834556" y="37022577"/>
          <a:ext cx="4236452" cy="638803"/>
        </a:xfrm>
        <a:prstGeom prst="roundRect">
          <a:avLst>
            <a:gd name="adj" fmla="val 24141"/>
          </a:avLst>
        </a:prstGeom>
        <a:solidFill>
          <a:schemeClr val="accent5">
            <a:lumMod val="40000"/>
            <a:lumOff val="60000"/>
          </a:scheme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Calculated as the sum of Theoritical Yield from the 1.1 Precursor Materials Table</a:t>
          </a:r>
        </a:p>
      </xdr:txBody>
    </xdr:sp>
    <xdr:clientData/>
  </xdr:twoCellAnchor>
  <xdr:twoCellAnchor>
    <xdr:from>
      <xdr:col>0</xdr:col>
      <xdr:colOff>53287</xdr:colOff>
      <xdr:row>137</xdr:row>
      <xdr:rowOff>25399</xdr:rowOff>
    </xdr:from>
    <xdr:to>
      <xdr:col>3</xdr:col>
      <xdr:colOff>1110140</xdr:colOff>
      <xdr:row>139</xdr:row>
      <xdr:rowOff>85378</xdr:rowOff>
    </xdr:to>
    <xdr:sp macro="" textlink="">
      <xdr:nvSpPr>
        <xdr:cNvPr id="49" name="Rounded Rectangle 48">
          <a:extLst>
            <a:ext uri="{FF2B5EF4-FFF2-40B4-BE49-F238E27FC236}">
              <a16:creationId xmlns:a16="http://schemas.microsoft.com/office/drawing/2014/main" id="{BB19CF0E-9E7C-7046-96F0-C014DF64F160}"/>
            </a:ext>
          </a:extLst>
        </xdr:cNvPr>
        <xdr:cNvSpPr/>
      </xdr:nvSpPr>
      <xdr:spPr>
        <a:xfrm>
          <a:off x="53287" y="36423599"/>
          <a:ext cx="8892753" cy="567979"/>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Yield Calculation for this process</a:t>
          </a:r>
        </a:p>
      </xdr:txBody>
    </xdr:sp>
    <xdr:clientData/>
  </xdr:twoCellAnchor>
  <xdr:twoCellAnchor>
    <xdr:from>
      <xdr:col>0</xdr:col>
      <xdr:colOff>53287</xdr:colOff>
      <xdr:row>100</xdr:row>
      <xdr:rowOff>253865</xdr:rowOff>
    </xdr:from>
    <xdr:to>
      <xdr:col>3</xdr:col>
      <xdr:colOff>1110140</xdr:colOff>
      <xdr:row>103</xdr:row>
      <xdr:rowOff>131099</xdr:rowOff>
    </xdr:to>
    <xdr:sp macro="" textlink="">
      <xdr:nvSpPr>
        <xdr:cNvPr id="50" name="Rounded Rectangle 49">
          <a:extLst>
            <a:ext uri="{FF2B5EF4-FFF2-40B4-BE49-F238E27FC236}">
              <a16:creationId xmlns:a16="http://schemas.microsoft.com/office/drawing/2014/main" id="{4BC62A5E-4680-C446-8F51-7981F1257245}"/>
            </a:ext>
          </a:extLst>
        </xdr:cNvPr>
        <xdr:cNvSpPr/>
      </xdr:nvSpPr>
      <xdr:spPr>
        <a:xfrm>
          <a:off x="53287" y="26974665"/>
          <a:ext cx="8892753" cy="639234"/>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1.3 Energy Consumption Estimation</a:t>
          </a:r>
        </a:p>
      </xdr:txBody>
    </xdr:sp>
    <xdr:clientData/>
  </xdr:twoCellAnchor>
  <xdr:twoCellAnchor>
    <xdr:from>
      <xdr:col>4</xdr:col>
      <xdr:colOff>1995714</xdr:colOff>
      <xdr:row>13</xdr:row>
      <xdr:rowOff>63500</xdr:rowOff>
    </xdr:from>
    <xdr:to>
      <xdr:col>5</xdr:col>
      <xdr:colOff>262636</xdr:colOff>
      <xdr:row>14</xdr:row>
      <xdr:rowOff>241300</xdr:rowOff>
    </xdr:to>
    <xdr:sp macro="" textlink="">
      <xdr:nvSpPr>
        <xdr:cNvPr id="51" name="Text Placeholder 1248">
          <a:extLst>
            <a:ext uri="{FF2B5EF4-FFF2-40B4-BE49-F238E27FC236}">
              <a16:creationId xmlns:a16="http://schemas.microsoft.com/office/drawing/2014/main" id="{006018F0-6F46-934E-915D-53E87ABAB33D}"/>
            </a:ext>
          </a:extLst>
        </xdr:cNvPr>
        <xdr:cNvSpPr>
          <a:spLocks noGrp="1"/>
        </xdr:cNvSpPr>
      </xdr:nvSpPr>
      <xdr:spPr>
        <a:xfrm>
          <a:off x="12143014" y="3441700"/>
          <a:ext cx="578322" cy="558800"/>
        </a:xfrm>
        <a:prstGeom prst="ellipse">
          <a:avLst/>
        </a:prstGeom>
        <a:solidFill>
          <a:schemeClr val="accent5">
            <a:lumMod val="40000"/>
            <a:lumOff val="60000"/>
          </a:schemeClr>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r>
            <a:rPr lang="en-US"/>
            <a:t>#</a:t>
          </a:r>
        </a:p>
      </xdr:txBody>
    </xdr:sp>
    <xdr:clientData/>
  </xdr:twoCellAnchor>
  <xdr:twoCellAnchor>
    <xdr:from>
      <xdr:col>5</xdr:col>
      <xdr:colOff>408887</xdr:colOff>
      <xdr:row>13</xdr:row>
      <xdr:rowOff>101600</xdr:rowOff>
    </xdr:from>
    <xdr:to>
      <xdr:col>6</xdr:col>
      <xdr:colOff>914400</xdr:colOff>
      <xdr:row>14</xdr:row>
      <xdr:rowOff>215900</xdr:rowOff>
    </xdr:to>
    <xdr:sp macro="" textlink="">
      <xdr:nvSpPr>
        <xdr:cNvPr id="52" name="Rounded Rectangle 51">
          <a:extLst>
            <a:ext uri="{FF2B5EF4-FFF2-40B4-BE49-F238E27FC236}">
              <a16:creationId xmlns:a16="http://schemas.microsoft.com/office/drawing/2014/main" id="{165AEB46-32F9-2A44-925A-2E4C575EED02}"/>
            </a:ext>
          </a:extLst>
        </xdr:cNvPr>
        <xdr:cNvSpPr/>
      </xdr:nvSpPr>
      <xdr:spPr>
        <a:xfrm>
          <a:off x="12867587" y="3479800"/>
          <a:ext cx="2816913" cy="495300"/>
        </a:xfrm>
        <a:prstGeom prst="roundRect">
          <a:avLst>
            <a:gd name="adj" fmla="val 43110"/>
          </a:avLst>
        </a:prstGeom>
        <a:solidFill>
          <a:schemeClr val="accent5">
            <a:lumMod val="40000"/>
            <a:lumOff val="60000"/>
          </a:schemeClr>
        </a:solidFill>
        <a:ln w="44450">
          <a:solidFill>
            <a:sysClr val="windowText" lastClr="000000"/>
          </a:solidFill>
        </a:ln>
      </xdr:spPr>
      <xdr:txBody>
        <a:bodyPr vert="horz" wrap="square" lIns="0" tIns="0" rIns="0" bIns="0" rtlCol="0" anchor="ctr">
          <a:noAutofit/>
        </a:bodyPr>
        <a:lstStyle/>
        <a:p>
          <a:pPr marL="0" marR="0" lvl="0" indent="0" algn="ctr" defTabSz="914400" rtl="0" eaLnBrk="1" fontAlgn="auto" latinLnBrk="0" hangingPunct="1">
            <a:lnSpc>
              <a:spcPct val="100000"/>
            </a:lnSpc>
            <a:spcBef>
              <a:spcPts val="0"/>
            </a:spcBef>
            <a:spcAft>
              <a:spcPts val="0"/>
            </a:spcAft>
            <a:buClrTx/>
            <a:buSzTx/>
            <a:buFont typeface="Arial" panose="020B0604020202020204" pitchFamily="34" charset="0"/>
            <a:buNone/>
            <a:tabLst/>
            <a:defRPr/>
          </a:pPr>
          <a:r>
            <a:rPr lang="en-US" sz="2800" b="1" kern="1200">
              <a:ln w="0">
                <a:noFill/>
              </a:ln>
              <a:solidFill>
                <a:sysClr val="windowText" lastClr="000000"/>
              </a:solidFill>
              <a:latin typeface="Tw Cen MT"/>
              <a:ea typeface="+mn-ea"/>
              <a:cs typeface="+mn-cs"/>
            </a:rPr>
            <a:t>Estimated</a:t>
          </a:r>
        </a:p>
      </xdr:txBody>
    </xdr:sp>
    <xdr:clientData/>
  </xdr:twoCellAnchor>
  <xdr:twoCellAnchor>
    <xdr:from>
      <xdr:col>2</xdr:col>
      <xdr:colOff>417867</xdr:colOff>
      <xdr:row>104</xdr:row>
      <xdr:rowOff>241592</xdr:rowOff>
    </xdr:from>
    <xdr:to>
      <xdr:col>5</xdr:col>
      <xdr:colOff>329259</xdr:colOff>
      <xdr:row>107</xdr:row>
      <xdr:rowOff>179429</xdr:rowOff>
    </xdr:to>
    <xdr:sp macro="" textlink="">
      <xdr:nvSpPr>
        <xdr:cNvPr id="53" name="Rounded Rectangle 52">
          <a:extLst>
            <a:ext uri="{FF2B5EF4-FFF2-40B4-BE49-F238E27FC236}">
              <a16:creationId xmlns:a16="http://schemas.microsoft.com/office/drawing/2014/main" id="{8CE09052-7B80-1544-807B-2BC45023F9A3}"/>
            </a:ext>
          </a:extLst>
        </xdr:cNvPr>
        <xdr:cNvSpPr/>
      </xdr:nvSpPr>
      <xdr:spPr>
        <a:xfrm>
          <a:off x="6183667" y="27978392"/>
          <a:ext cx="6604292" cy="699837"/>
        </a:xfrm>
        <a:prstGeom prst="roundRect">
          <a:avLst>
            <a:gd name="adj" fmla="val 24141"/>
          </a:avLst>
        </a:prstGeom>
        <a:solidFill>
          <a:schemeClr val="accent5">
            <a:lumMod val="40000"/>
            <a:lumOff val="60000"/>
          </a:scheme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Estimated based on the </a:t>
          </a:r>
        </a:p>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 process time(h) * power rating consumption(kW)/L * Equipment Volume(L)</a:t>
          </a:r>
        </a:p>
      </xdr:txBody>
    </xdr:sp>
    <xdr:clientData/>
  </xdr:twoCellAnchor>
  <xdr:twoCellAnchor>
    <xdr:from>
      <xdr:col>2</xdr:col>
      <xdr:colOff>711948</xdr:colOff>
      <xdr:row>108</xdr:row>
      <xdr:rowOff>71120</xdr:rowOff>
    </xdr:from>
    <xdr:to>
      <xdr:col>3</xdr:col>
      <xdr:colOff>1557076</xdr:colOff>
      <xdr:row>111</xdr:row>
      <xdr:rowOff>10160</xdr:rowOff>
    </xdr:to>
    <xdr:sp macro="" textlink="">
      <xdr:nvSpPr>
        <xdr:cNvPr id="54" name="Rounded Rectangle 53">
          <a:extLst>
            <a:ext uri="{FF2B5EF4-FFF2-40B4-BE49-F238E27FC236}">
              <a16:creationId xmlns:a16="http://schemas.microsoft.com/office/drawing/2014/main" id="{F81F385F-24F5-3845-B455-B239ABB040FC}"/>
            </a:ext>
          </a:extLst>
        </xdr:cNvPr>
        <xdr:cNvSpPr/>
      </xdr:nvSpPr>
      <xdr:spPr>
        <a:xfrm>
          <a:off x="6477748" y="28823920"/>
          <a:ext cx="2915228" cy="701040"/>
        </a:xfrm>
        <a:prstGeom prst="roundRect">
          <a:avLst>
            <a:gd name="adj" fmla="val 46754"/>
          </a:avLst>
        </a:prstGeom>
        <a:solidFill>
          <a:srgbClr val="B9D4B1"/>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Enter any auxilary energy usage</a:t>
          </a:r>
        </a:p>
      </xdr:txBody>
    </xdr:sp>
    <xdr:clientData/>
  </xdr:twoCellAnchor>
  <xdr:twoCellAnchor>
    <xdr:from>
      <xdr:col>2</xdr:col>
      <xdr:colOff>152400</xdr:colOff>
      <xdr:row>108</xdr:row>
      <xdr:rowOff>68918</xdr:rowOff>
    </xdr:from>
    <xdr:to>
      <xdr:col>2</xdr:col>
      <xdr:colOff>782844</xdr:colOff>
      <xdr:row>110</xdr:row>
      <xdr:rowOff>173520</xdr:rowOff>
    </xdr:to>
    <xdr:sp macro="" textlink="">
      <xdr:nvSpPr>
        <xdr:cNvPr id="55" name="Text Placeholder 1248">
          <a:extLst>
            <a:ext uri="{FF2B5EF4-FFF2-40B4-BE49-F238E27FC236}">
              <a16:creationId xmlns:a16="http://schemas.microsoft.com/office/drawing/2014/main" id="{5AD2BD19-6667-9244-B62F-8673C29AF8D2}"/>
            </a:ext>
          </a:extLst>
        </xdr:cNvPr>
        <xdr:cNvSpPr>
          <a:spLocks noGrp="1"/>
        </xdr:cNvSpPr>
      </xdr:nvSpPr>
      <xdr:spPr>
        <a:xfrm>
          <a:off x="5918200" y="28821718"/>
          <a:ext cx="630444" cy="612602"/>
        </a:xfrm>
        <a:prstGeom prst="ellipse">
          <a:avLst/>
        </a:prstGeom>
        <a:solidFill>
          <a:srgbClr val="60CCF3"/>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pPr marL="0" indent="0" algn="ctr" defTabSz="914400" rtl="0" eaLnBrk="1" latinLnBrk="0" hangingPunct="1">
            <a:lnSpc>
              <a:spcPct val="100000"/>
            </a:lnSpc>
            <a:spcBef>
              <a:spcPts val="0"/>
            </a:spcBef>
            <a:buFont typeface="Arial" panose="020B0604020202020204" pitchFamily="34" charset="0"/>
            <a:buNone/>
          </a:pPr>
          <a:r>
            <a:rPr lang="en-US" sz="2800" b="1" kern="1200">
              <a:ln w="0">
                <a:noFill/>
              </a:ln>
              <a:solidFill>
                <a:sysClr val="windowText" lastClr="000000"/>
              </a:solidFill>
              <a:latin typeface="Arial" panose="020B0604020202020204" pitchFamily="34" charset="0"/>
              <a:ea typeface="+mn-ea"/>
              <a:cs typeface="Arial" panose="020B0604020202020204" pitchFamily="34" charset="0"/>
            </a:rPr>
            <a:t>13</a:t>
          </a:r>
        </a:p>
      </xdr:txBody>
    </xdr:sp>
    <xdr:clientData/>
  </xdr:twoCellAnchor>
  <xdr:twoCellAnchor>
    <xdr:from>
      <xdr:col>0</xdr:col>
      <xdr:colOff>0</xdr:colOff>
      <xdr:row>104</xdr:row>
      <xdr:rowOff>91440</xdr:rowOff>
    </xdr:from>
    <xdr:to>
      <xdr:col>1</xdr:col>
      <xdr:colOff>901700</xdr:colOff>
      <xdr:row>106</xdr:row>
      <xdr:rowOff>118020</xdr:rowOff>
    </xdr:to>
    <xdr:sp macro="" textlink="">
      <xdr:nvSpPr>
        <xdr:cNvPr id="56" name="Rounded Rectangle 55">
          <a:extLst>
            <a:ext uri="{FF2B5EF4-FFF2-40B4-BE49-F238E27FC236}">
              <a16:creationId xmlns:a16="http://schemas.microsoft.com/office/drawing/2014/main" id="{9E88E5C7-D4B3-D44B-866B-182DE48E4D9A}"/>
            </a:ext>
          </a:extLst>
        </xdr:cNvPr>
        <xdr:cNvSpPr/>
      </xdr:nvSpPr>
      <xdr:spPr>
        <a:xfrm>
          <a:off x="0" y="27828240"/>
          <a:ext cx="4572000" cy="534580"/>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Best Estimate: With idle Electricity</a:t>
          </a:r>
        </a:p>
      </xdr:txBody>
    </xdr:sp>
    <xdr:clientData/>
  </xdr:twoCellAnchor>
  <xdr:twoCellAnchor>
    <xdr:from>
      <xdr:col>0</xdr:col>
      <xdr:colOff>53287</xdr:colOff>
      <xdr:row>117</xdr:row>
      <xdr:rowOff>74768</xdr:rowOff>
    </xdr:from>
    <xdr:to>
      <xdr:col>3</xdr:col>
      <xdr:colOff>1110140</xdr:colOff>
      <xdr:row>119</xdr:row>
      <xdr:rowOff>208704</xdr:rowOff>
    </xdr:to>
    <xdr:sp macro="" textlink="">
      <xdr:nvSpPr>
        <xdr:cNvPr id="57" name="Rounded Rectangle 56">
          <a:extLst>
            <a:ext uri="{FF2B5EF4-FFF2-40B4-BE49-F238E27FC236}">
              <a16:creationId xmlns:a16="http://schemas.microsoft.com/office/drawing/2014/main" id="{57567C31-4E5F-584F-AD99-781DED20E4E0}"/>
            </a:ext>
          </a:extLst>
        </xdr:cNvPr>
        <xdr:cNvSpPr/>
      </xdr:nvSpPr>
      <xdr:spPr>
        <a:xfrm>
          <a:off x="53287" y="31113568"/>
          <a:ext cx="8892753" cy="641936"/>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1.4 Carbon Dioxide Equivalent Estimate</a:t>
          </a:r>
        </a:p>
      </xdr:txBody>
    </xdr:sp>
    <xdr:clientData/>
  </xdr:twoCellAnchor>
  <xdr:twoCellAnchor>
    <xdr:from>
      <xdr:col>0</xdr:col>
      <xdr:colOff>0</xdr:colOff>
      <xdr:row>121</xdr:row>
      <xdr:rowOff>80491</xdr:rowOff>
    </xdr:from>
    <xdr:to>
      <xdr:col>0</xdr:col>
      <xdr:colOff>2816913</xdr:colOff>
      <xdr:row>123</xdr:row>
      <xdr:rowOff>107072</xdr:rowOff>
    </xdr:to>
    <xdr:sp macro="" textlink="">
      <xdr:nvSpPr>
        <xdr:cNvPr id="58" name="Rounded Rectangle 57">
          <a:extLst>
            <a:ext uri="{FF2B5EF4-FFF2-40B4-BE49-F238E27FC236}">
              <a16:creationId xmlns:a16="http://schemas.microsoft.com/office/drawing/2014/main" id="{65A7FDD9-E2A3-514D-9BFD-195FE3BE27DB}"/>
            </a:ext>
          </a:extLst>
        </xdr:cNvPr>
        <xdr:cNvSpPr/>
      </xdr:nvSpPr>
      <xdr:spPr>
        <a:xfrm>
          <a:off x="0" y="32135291"/>
          <a:ext cx="2816913" cy="534581"/>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1.4.1 Good Estimate</a:t>
          </a:r>
        </a:p>
      </xdr:txBody>
    </xdr:sp>
    <xdr:clientData/>
  </xdr:twoCellAnchor>
  <xdr:twoCellAnchor>
    <xdr:from>
      <xdr:col>1</xdr:col>
      <xdr:colOff>411362</xdr:colOff>
      <xdr:row>120</xdr:row>
      <xdr:rowOff>101493</xdr:rowOff>
    </xdr:from>
    <xdr:to>
      <xdr:col>2</xdr:col>
      <xdr:colOff>770107</xdr:colOff>
      <xdr:row>123</xdr:row>
      <xdr:rowOff>40532</xdr:rowOff>
    </xdr:to>
    <xdr:sp macro="" textlink="">
      <xdr:nvSpPr>
        <xdr:cNvPr id="59" name="Rounded Rectangle 58">
          <a:extLst>
            <a:ext uri="{FF2B5EF4-FFF2-40B4-BE49-F238E27FC236}">
              <a16:creationId xmlns:a16="http://schemas.microsoft.com/office/drawing/2014/main" id="{F164FB9E-3EE3-124A-A8E3-5DE92F3940FB}"/>
            </a:ext>
          </a:extLst>
        </xdr:cNvPr>
        <xdr:cNvSpPr/>
      </xdr:nvSpPr>
      <xdr:spPr>
        <a:xfrm>
          <a:off x="4081662" y="31902293"/>
          <a:ext cx="2454245" cy="701039"/>
        </a:xfrm>
        <a:prstGeom prst="roundRect">
          <a:avLst>
            <a:gd name="adj" fmla="val 46754"/>
          </a:avLst>
        </a:prstGeom>
        <a:solidFill>
          <a:srgbClr val="B9D4B1"/>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Select location of power source</a:t>
          </a:r>
        </a:p>
      </xdr:txBody>
    </xdr:sp>
    <xdr:clientData/>
  </xdr:twoCellAnchor>
  <xdr:twoCellAnchor>
    <xdr:from>
      <xdr:col>0</xdr:col>
      <xdr:colOff>3526708</xdr:colOff>
      <xdr:row>120</xdr:row>
      <xdr:rowOff>99291</xdr:rowOff>
    </xdr:from>
    <xdr:to>
      <xdr:col>1</xdr:col>
      <xdr:colOff>482258</xdr:colOff>
      <xdr:row>122</xdr:row>
      <xdr:rowOff>203892</xdr:rowOff>
    </xdr:to>
    <xdr:sp macro="" textlink="">
      <xdr:nvSpPr>
        <xdr:cNvPr id="60" name="Text Placeholder 1248">
          <a:extLst>
            <a:ext uri="{FF2B5EF4-FFF2-40B4-BE49-F238E27FC236}">
              <a16:creationId xmlns:a16="http://schemas.microsoft.com/office/drawing/2014/main" id="{3E9BD5CB-776F-F348-A87B-CB10B333ABAA}"/>
            </a:ext>
          </a:extLst>
        </xdr:cNvPr>
        <xdr:cNvSpPr>
          <a:spLocks noGrp="1"/>
        </xdr:cNvSpPr>
      </xdr:nvSpPr>
      <xdr:spPr>
        <a:xfrm>
          <a:off x="3526708" y="31900091"/>
          <a:ext cx="625850" cy="612601"/>
        </a:xfrm>
        <a:prstGeom prst="ellipse">
          <a:avLst/>
        </a:prstGeom>
        <a:solidFill>
          <a:srgbClr val="60CCF3"/>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pPr marL="0" indent="0" algn="ctr" defTabSz="914400" rtl="0" eaLnBrk="1" latinLnBrk="0" hangingPunct="1">
            <a:lnSpc>
              <a:spcPct val="100000"/>
            </a:lnSpc>
            <a:spcBef>
              <a:spcPts val="0"/>
            </a:spcBef>
            <a:buFont typeface="Arial" panose="020B0604020202020204" pitchFamily="34" charset="0"/>
            <a:buNone/>
          </a:pPr>
          <a:r>
            <a:rPr lang="en-US" sz="2800" b="1" kern="1200">
              <a:ln w="0">
                <a:noFill/>
              </a:ln>
              <a:solidFill>
                <a:sysClr val="windowText" lastClr="000000"/>
              </a:solidFill>
              <a:latin typeface="Arial" panose="020B0604020202020204" pitchFamily="34" charset="0"/>
              <a:ea typeface="+mn-ea"/>
              <a:cs typeface="Arial" panose="020B0604020202020204" pitchFamily="34" charset="0"/>
            </a:rPr>
            <a:t>14</a:t>
          </a:r>
        </a:p>
      </xdr:txBody>
    </xdr:sp>
    <xdr:clientData/>
  </xdr:twoCellAnchor>
  <xdr:twoCellAnchor>
    <xdr:from>
      <xdr:col>2</xdr:col>
      <xdr:colOff>532526</xdr:colOff>
      <xdr:row>142</xdr:row>
      <xdr:rowOff>110286</xdr:rowOff>
    </xdr:from>
    <xdr:to>
      <xdr:col>3</xdr:col>
      <xdr:colOff>2283297</xdr:colOff>
      <xdr:row>145</xdr:row>
      <xdr:rowOff>49326</xdr:rowOff>
    </xdr:to>
    <xdr:sp macro="" textlink="">
      <xdr:nvSpPr>
        <xdr:cNvPr id="61" name="Rounded Rectangle 60">
          <a:extLst>
            <a:ext uri="{FF2B5EF4-FFF2-40B4-BE49-F238E27FC236}">
              <a16:creationId xmlns:a16="http://schemas.microsoft.com/office/drawing/2014/main" id="{BC3DEE3A-69B8-4043-A8DB-73DA589B1912}"/>
            </a:ext>
          </a:extLst>
        </xdr:cNvPr>
        <xdr:cNvSpPr/>
      </xdr:nvSpPr>
      <xdr:spPr>
        <a:xfrm>
          <a:off x="6298326" y="37778486"/>
          <a:ext cx="3820871" cy="701040"/>
        </a:xfrm>
        <a:prstGeom prst="roundRect">
          <a:avLst>
            <a:gd name="adj" fmla="val 46754"/>
          </a:avLst>
        </a:prstGeom>
        <a:solidFill>
          <a:srgbClr val="B9D4B1"/>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Enter total amount of final product obtained in this process</a:t>
          </a:r>
        </a:p>
      </xdr:txBody>
    </xdr:sp>
    <xdr:clientData/>
  </xdr:twoCellAnchor>
  <xdr:twoCellAnchor>
    <xdr:from>
      <xdr:col>2</xdr:col>
      <xdr:colOff>65609</xdr:colOff>
      <xdr:row>142</xdr:row>
      <xdr:rowOff>199524</xdr:rowOff>
    </xdr:from>
    <xdr:to>
      <xdr:col>2</xdr:col>
      <xdr:colOff>650489</xdr:colOff>
      <xdr:row>145</xdr:row>
      <xdr:rowOff>50126</xdr:rowOff>
    </xdr:to>
    <xdr:sp macro="" textlink="">
      <xdr:nvSpPr>
        <xdr:cNvPr id="62" name="Text Placeholder 1248">
          <a:extLst>
            <a:ext uri="{FF2B5EF4-FFF2-40B4-BE49-F238E27FC236}">
              <a16:creationId xmlns:a16="http://schemas.microsoft.com/office/drawing/2014/main" id="{7CA3F321-B563-C141-86EA-03525E4B7D7B}"/>
            </a:ext>
          </a:extLst>
        </xdr:cNvPr>
        <xdr:cNvSpPr>
          <a:spLocks noGrp="1"/>
        </xdr:cNvSpPr>
      </xdr:nvSpPr>
      <xdr:spPr>
        <a:xfrm>
          <a:off x="5831409" y="37867724"/>
          <a:ext cx="584880" cy="612602"/>
        </a:xfrm>
        <a:prstGeom prst="ellipse">
          <a:avLst/>
        </a:prstGeom>
        <a:solidFill>
          <a:srgbClr val="FFCD00"/>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pPr marL="0" indent="0" algn="ctr" defTabSz="914400" rtl="0" eaLnBrk="1" latinLnBrk="0" hangingPunct="1">
            <a:lnSpc>
              <a:spcPct val="100000"/>
            </a:lnSpc>
            <a:spcBef>
              <a:spcPts val="0"/>
            </a:spcBef>
            <a:buFont typeface="Arial" panose="020B0604020202020204" pitchFamily="34" charset="0"/>
            <a:buNone/>
          </a:pPr>
          <a:r>
            <a:rPr lang="en-US" sz="2800" b="1" kern="1200">
              <a:ln w="0">
                <a:noFill/>
              </a:ln>
              <a:solidFill>
                <a:sysClr val="windowText" lastClr="000000"/>
              </a:solidFill>
              <a:latin typeface="Arial" panose="020B0604020202020204" pitchFamily="34" charset="0"/>
              <a:ea typeface="+mn-ea"/>
              <a:cs typeface="Arial" panose="020B0604020202020204" pitchFamily="34" charset="0"/>
            </a:rPr>
            <a:t>15</a:t>
          </a:r>
        </a:p>
      </xdr:txBody>
    </xdr:sp>
    <xdr:clientData/>
  </xdr:twoCellAnchor>
  <xdr:twoCellAnchor>
    <xdr:from>
      <xdr:col>2</xdr:col>
      <xdr:colOff>972767</xdr:colOff>
      <xdr:row>120</xdr:row>
      <xdr:rowOff>62164</xdr:rowOff>
    </xdr:from>
    <xdr:to>
      <xdr:col>4</xdr:col>
      <xdr:colOff>494697</xdr:colOff>
      <xdr:row>123</xdr:row>
      <xdr:rowOff>1</xdr:rowOff>
    </xdr:to>
    <xdr:sp macro="" textlink="">
      <xdr:nvSpPr>
        <xdr:cNvPr id="63" name="Rounded Rectangle 62">
          <a:hlinkClick xmlns:r="http://schemas.openxmlformats.org/officeDocument/2006/relationships" r:id="rId6"/>
          <a:extLst>
            <a:ext uri="{FF2B5EF4-FFF2-40B4-BE49-F238E27FC236}">
              <a16:creationId xmlns:a16="http://schemas.microsoft.com/office/drawing/2014/main" id="{6CB9FDB4-6DD1-E849-8CB3-370130D5C14E}"/>
            </a:ext>
          </a:extLst>
        </xdr:cNvPr>
        <xdr:cNvSpPr/>
      </xdr:nvSpPr>
      <xdr:spPr>
        <a:xfrm>
          <a:off x="6738567" y="31862964"/>
          <a:ext cx="3903430" cy="699837"/>
        </a:xfrm>
        <a:prstGeom prst="roundRect">
          <a:avLst>
            <a:gd name="adj" fmla="val 24141"/>
          </a:avLst>
        </a:prstGeom>
        <a:solidFill>
          <a:schemeClr val="accent5">
            <a:lumMod val="40000"/>
            <a:lumOff val="60000"/>
          </a:scheme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Click to view CO2e data from each state</a:t>
          </a:r>
        </a:p>
      </xdr:txBody>
    </xdr:sp>
    <xdr:clientData/>
  </xdr:twoCellAnchor>
  <xdr:twoCellAnchor>
    <xdr:from>
      <xdr:col>0</xdr:col>
      <xdr:colOff>0</xdr:colOff>
      <xdr:row>150</xdr:row>
      <xdr:rowOff>0</xdr:rowOff>
    </xdr:from>
    <xdr:to>
      <xdr:col>3</xdr:col>
      <xdr:colOff>1056853</xdr:colOff>
      <xdr:row>153</xdr:row>
      <xdr:rowOff>82507</xdr:rowOff>
    </xdr:to>
    <xdr:sp macro="" textlink="">
      <xdr:nvSpPr>
        <xdr:cNvPr id="64" name="Rounded Rectangle 63">
          <a:extLst>
            <a:ext uri="{FF2B5EF4-FFF2-40B4-BE49-F238E27FC236}">
              <a16:creationId xmlns:a16="http://schemas.microsoft.com/office/drawing/2014/main" id="{A68CE804-44A4-5F42-AFA2-680769EFF88B}"/>
            </a:ext>
          </a:extLst>
        </xdr:cNvPr>
        <xdr:cNvSpPr/>
      </xdr:nvSpPr>
      <xdr:spPr>
        <a:xfrm>
          <a:off x="0" y="39700200"/>
          <a:ext cx="8892753" cy="844507"/>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2. Outputs</a:t>
          </a:r>
        </a:p>
      </xdr:txBody>
    </xdr:sp>
    <xdr:clientData/>
  </xdr:twoCellAnchor>
  <xdr:twoCellAnchor>
    <xdr:from>
      <xdr:col>0</xdr:col>
      <xdr:colOff>0</xdr:colOff>
      <xdr:row>153</xdr:row>
      <xdr:rowOff>148617</xdr:rowOff>
    </xdr:from>
    <xdr:to>
      <xdr:col>1</xdr:col>
      <xdr:colOff>1567234</xdr:colOff>
      <xdr:row>155</xdr:row>
      <xdr:rowOff>231123</xdr:rowOff>
    </xdr:to>
    <xdr:sp macro="" textlink="">
      <xdr:nvSpPr>
        <xdr:cNvPr id="65" name="Rounded Rectangle 64">
          <a:extLst>
            <a:ext uri="{FF2B5EF4-FFF2-40B4-BE49-F238E27FC236}">
              <a16:creationId xmlns:a16="http://schemas.microsoft.com/office/drawing/2014/main" id="{99EF4F92-520E-A446-886C-17A4D089B683}"/>
            </a:ext>
          </a:extLst>
        </xdr:cNvPr>
        <xdr:cNvSpPr/>
      </xdr:nvSpPr>
      <xdr:spPr>
        <a:xfrm>
          <a:off x="0" y="40610817"/>
          <a:ext cx="5237534" cy="590506"/>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2.1 Products</a:t>
          </a:r>
        </a:p>
      </xdr:txBody>
    </xdr:sp>
    <xdr:clientData/>
  </xdr:twoCellAnchor>
  <xdr:twoCellAnchor>
    <xdr:from>
      <xdr:col>0</xdr:col>
      <xdr:colOff>0</xdr:colOff>
      <xdr:row>164</xdr:row>
      <xdr:rowOff>229680</xdr:rowOff>
    </xdr:from>
    <xdr:to>
      <xdr:col>1</xdr:col>
      <xdr:colOff>1567234</xdr:colOff>
      <xdr:row>167</xdr:row>
      <xdr:rowOff>55485</xdr:rowOff>
    </xdr:to>
    <xdr:sp macro="" textlink="">
      <xdr:nvSpPr>
        <xdr:cNvPr id="66" name="Rounded Rectangle 65">
          <a:extLst>
            <a:ext uri="{FF2B5EF4-FFF2-40B4-BE49-F238E27FC236}">
              <a16:creationId xmlns:a16="http://schemas.microsoft.com/office/drawing/2014/main" id="{8330FE30-FB7D-CA4D-895B-258FAD75E632}"/>
            </a:ext>
          </a:extLst>
        </xdr:cNvPr>
        <xdr:cNvSpPr/>
      </xdr:nvSpPr>
      <xdr:spPr>
        <a:xfrm>
          <a:off x="0" y="43485880"/>
          <a:ext cx="5237534" cy="587805"/>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2.2. Emissions</a:t>
          </a:r>
        </a:p>
      </xdr:txBody>
    </xdr:sp>
    <xdr:clientData/>
  </xdr:twoCellAnchor>
  <xdr:twoCellAnchor>
    <xdr:from>
      <xdr:col>2</xdr:col>
      <xdr:colOff>684374</xdr:colOff>
      <xdr:row>156</xdr:row>
      <xdr:rowOff>187222</xdr:rowOff>
    </xdr:from>
    <xdr:to>
      <xdr:col>4</xdr:col>
      <xdr:colOff>129819</xdr:colOff>
      <xdr:row>160</xdr:row>
      <xdr:rowOff>82827</xdr:rowOff>
    </xdr:to>
    <xdr:sp macro="" textlink="">
      <xdr:nvSpPr>
        <xdr:cNvPr id="67" name="Rounded Rectangle 66">
          <a:extLst>
            <a:ext uri="{FF2B5EF4-FFF2-40B4-BE49-F238E27FC236}">
              <a16:creationId xmlns:a16="http://schemas.microsoft.com/office/drawing/2014/main" id="{D895AE79-33D5-3149-B793-765EF3863E13}"/>
            </a:ext>
          </a:extLst>
        </xdr:cNvPr>
        <xdr:cNvSpPr/>
      </xdr:nvSpPr>
      <xdr:spPr>
        <a:xfrm>
          <a:off x="6450174" y="41411422"/>
          <a:ext cx="3826945" cy="911605"/>
        </a:xfrm>
        <a:prstGeom prst="roundRect">
          <a:avLst>
            <a:gd name="adj" fmla="val 46754"/>
          </a:avLst>
        </a:prstGeom>
        <a:solidFill>
          <a:srgbClr val="B9D4B1"/>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By-products information and wastewater</a:t>
          </a:r>
        </a:p>
      </xdr:txBody>
    </xdr:sp>
    <xdr:clientData/>
  </xdr:twoCellAnchor>
  <xdr:twoCellAnchor>
    <xdr:from>
      <xdr:col>2</xdr:col>
      <xdr:colOff>120716</xdr:colOff>
      <xdr:row>157</xdr:row>
      <xdr:rowOff>39063</xdr:rowOff>
    </xdr:from>
    <xdr:to>
      <xdr:col>2</xdr:col>
      <xdr:colOff>755271</xdr:colOff>
      <xdr:row>159</xdr:row>
      <xdr:rowOff>143665</xdr:rowOff>
    </xdr:to>
    <xdr:sp macro="" textlink="">
      <xdr:nvSpPr>
        <xdr:cNvPr id="68" name="Text Placeholder 1248">
          <a:extLst>
            <a:ext uri="{FF2B5EF4-FFF2-40B4-BE49-F238E27FC236}">
              <a16:creationId xmlns:a16="http://schemas.microsoft.com/office/drawing/2014/main" id="{629A5407-0951-EE40-9490-98515D8DAA05}"/>
            </a:ext>
          </a:extLst>
        </xdr:cNvPr>
        <xdr:cNvSpPr>
          <a:spLocks noGrp="1"/>
        </xdr:cNvSpPr>
      </xdr:nvSpPr>
      <xdr:spPr>
        <a:xfrm>
          <a:off x="5886516" y="41517263"/>
          <a:ext cx="634555" cy="612602"/>
        </a:xfrm>
        <a:prstGeom prst="ellipse">
          <a:avLst/>
        </a:prstGeom>
        <a:solidFill>
          <a:srgbClr val="60CCF3"/>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pPr marL="0" indent="0" algn="ctr" defTabSz="914400" rtl="0" eaLnBrk="1" latinLnBrk="0" hangingPunct="1">
            <a:lnSpc>
              <a:spcPct val="100000"/>
            </a:lnSpc>
            <a:spcBef>
              <a:spcPts val="0"/>
            </a:spcBef>
            <a:buFont typeface="Arial" panose="020B0604020202020204" pitchFamily="34" charset="0"/>
            <a:buNone/>
          </a:pPr>
          <a:r>
            <a:rPr lang="en-US" sz="2800" b="1" kern="1200">
              <a:ln w="0">
                <a:noFill/>
              </a:ln>
              <a:solidFill>
                <a:sysClr val="windowText" lastClr="000000"/>
              </a:solidFill>
              <a:latin typeface="Arial" panose="020B0604020202020204" pitchFamily="34" charset="0"/>
              <a:ea typeface="+mn-ea"/>
              <a:cs typeface="Arial" panose="020B0604020202020204" pitchFamily="34" charset="0"/>
            </a:rPr>
            <a:t>16</a:t>
          </a:r>
        </a:p>
      </xdr:txBody>
    </xdr:sp>
    <xdr:clientData/>
  </xdr:twoCellAnchor>
  <xdr:twoCellAnchor>
    <xdr:from>
      <xdr:col>0</xdr:col>
      <xdr:colOff>0</xdr:colOff>
      <xdr:row>179</xdr:row>
      <xdr:rowOff>77832</xdr:rowOff>
    </xdr:from>
    <xdr:to>
      <xdr:col>1</xdr:col>
      <xdr:colOff>1567234</xdr:colOff>
      <xdr:row>181</xdr:row>
      <xdr:rowOff>152115</xdr:rowOff>
    </xdr:to>
    <xdr:sp macro="" textlink="">
      <xdr:nvSpPr>
        <xdr:cNvPr id="69" name="Rounded Rectangle 68">
          <a:extLst>
            <a:ext uri="{FF2B5EF4-FFF2-40B4-BE49-F238E27FC236}">
              <a16:creationId xmlns:a16="http://schemas.microsoft.com/office/drawing/2014/main" id="{C92B378A-DCC4-F04D-8280-09F3FE15A9EF}"/>
            </a:ext>
          </a:extLst>
        </xdr:cNvPr>
        <xdr:cNvSpPr/>
      </xdr:nvSpPr>
      <xdr:spPr>
        <a:xfrm>
          <a:off x="0" y="47144032"/>
          <a:ext cx="5237534" cy="582283"/>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2.3. Water Consumption</a:t>
          </a:r>
        </a:p>
      </xdr:txBody>
    </xdr:sp>
    <xdr:clientData/>
  </xdr:twoCellAnchor>
  <xdr:twoCellAnchor>
    <xdr:from>
      <xdr:col>0</xdr:col>
      <xdr:colOff>0</xdr:colOff>
      <xdr:row>184</xdr:row>
      <xdr:rowOff>160658</xdr:rowOff>
    </xdr:from>
    <xdr:to>
      <xdr:col>1</xdr:col>
      <xdr:colOff>1567234</xdr:colOff>
      <xdr:row>186</xdr:row>
      <xdr:rowOff>234941</xdr:rowOff>
    </xdr:to>
    <xdr:sp macro="" textlink="">
      <xdr:nvSpPr>
        <xdr:cNvPr id="70" name="Rounded Rectangle 69">
          <a:extLst>
            <a:ext uri="{FF2B5EF4-FFF2-40B4-BE49-F238E27FC236}">
              <a16:creationId xmlns:a16="http://schemas.microsoft.com/office/drawing/2014/main" id="{DFC360D0-A551-544A-8AEA-D24D7638145E}"/>
            </a:ext>
          </a:extLst>
        </xdr:cNvPr>
        <xdr:cNvSpPr/>
      </xdr:nvSpPr>
      <xdr:spPr>
        <a:xfrm>
          <a:off x="0" y="48496858"/>
          <a:ext cx="5237534" cy="582283"/>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2.4 Emission Outputs </a:t>
          </a:r>
        </a:p>
      </xdr:txBody>
    </xdr:sp>
    <xdr:clientData/>
  </xdr:twoCellAnchor>
  <xdr:twoCellAnchor>
    <xdr:from>
      <xdr:col>0</xdr:col>
      <xdr:colOff>0</xdr:colOff>
      <xdr:row>191</xdr:row>
      <xdr:rowOff>8811</xdr:rowOff>
    </xdr:from>
    <xdr:to>
      <xdr:col>1</xdr:col>
      <xdr:colOff>1567234</xdr:colOff>
      <xdr:row>193</xdr:row>
      <xdr:rowOff>83093</xdr:rowOff>
    </xdr:to>
    <xdr:sp macro="" textlink="">
      <xdr:nvSpPr>
        <xdr:cNvPr id="71" name="Rounded Rectangle 70">
          <a:extLst>
            <a:ext uri="{FF2B5EF4-FFF2-40B4-BE49-F238E27FC236}">
              <a16:creationId xmlns:a16="http://schemas.microsoft.com/office/drawing/2014/main" id="{850C93F9-9F41-F744-8955-8BDBD1BC3554}"/>
            </a:ext>
          </a:extLst>
        </xdr:cNvPr>
        <xdr:cNvSpPr/>
      </xdr:nvSpPr>
      <xdr:spPr>
        <a:xfrm>
          <a:off x="0" y="50148411"/>
          <a:ext cx="5237534" cy="582282"/>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2.5 Energy Consumption Calculation</a:t>
          </a:r>
        </a:p>
      </xdr:txBody>
    </xdr:sp>
    <xdr:clientData/>
  </xdr:twoCellAnchor>
  <xdr:twoCellAnchor>
    <xdr:from>
      <xdr:col>4</xdr:col>
      <xdr:colOff>711983</xdr:colOff>
      <xdr:row>163</xdr:row>
      <xdr:rowOff>173419</xdr:rowOff>
    </xdr:from>
    <xdr:to>
      <xdr:col>5</xdr:col>
      <xdr:colOff>1772537</xdr:colOff>
      <xdr:row>167</xdr:row>
      <xdr:rowOff>69024</xdr:rowOff>
    </xdr:to>
    <xdr:sp macro="" textlink="">
      <xdr:nvSpPr>
        <xdr:cNvPr id="72" name="Rounded Rectangle 71">
          <a:extLst>
            <a:ext uri="{FF2B5EF4-FFF2-40B4-BE49-F238E27FC236}">
              <a16:creationId xmlns:a16="http://schemas.microsoft.com/office/drawing/2014/main" id="{98B95AC2-3FFD-A147-A35B-4B548A219D7D}"/>
            </a:ext>
          </a:extLst>
        </xdr:cNvPr>
        <xdr:cNvSpPr/>
      </xdr:nvSpPr>
      <xdr:spPr>
        <a:xfrm>
          <a:off x="10859283" y="43175619"/>
          <a:ext cx="3371954" cy="911605"/>
        </a:xfrm>
        <a:prstGeom prst="roundRect">
          <a:avLst>
            <a:gd name="adj" fmla="val 46754"/>
          </a:avLst>
        </a:prstGeom>
        <a:solidFill>
          <a:srgbClr val="B9D4B1"/>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Enter information regarding air and solid waste emission to environment</a:t>
          </a:r>
        </a:p>
      </xdr:txBody>
    </xdr:sp>
    <xdr:clientData/>
  </xdr:twoCellAnchor>
  <xdr:twoCellAnchor>
    <xdr:from>
      <xdr:col>4</xdr:col>
      <xdr:colOff>148325</xdr:colOff>
      <xdr:row>164</xdr:row>
      <xdr:rowOff>25259</xdr:rowOff>
    </xdr:from>
    <xdr:to>
      <xdr:col>4</xdr:col>
      <xdr:colOff>782880</xdr:colOff>
      <xdr:row>166</xdr:row>
      <xdr:rowOff>129861</xdr:rowOff>
    </xdr:to>
    <xdr:sp macro="" textlink="">
      <xdr:nvSpPr>
        <xdr:cNvPr id="73" name="Text Placeholder 1248">
          <a:extLst>
            <a:ext uri="{FF2B5EF4-FFF2-40B4-BE49-F238E27FC236}">
              <a16:creationId xmlns:a16="http://schemas.microsoft.com/office/drawing/2014/main" id="{CBEA2F03-341E-BC42-B99E-5AED44119A6F}"/>
            </a:ext>
          </a:extLst>
        </xdr:cNvPr>
        <xdr:cNvSpPr>
          <a:spLocks noGrp="1"/>
        </xdr:cNvSpPr>
      </xdr:nvSpPr>
      <xdr:spPr>
        <a:xfrm>
          <a:off x="10295625" y="43281459"/>
          <a:ext cx="634555" cy="612602"/>
        </a:xfrm>
        <a:prstGeom prst="ellipse">
          <a:avLst/>
        </a:prstGeom>
        <a:solidFill>
          <a:srgbClr val="60CCF3"/>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pPr marL="0" indent="0" algn="ctr" defTabSz="914400" rtl="0" eaLnBrk="1" latinLnBrk="0" hangingPunct="1">
            <a:lnSpc>
              <a:spcPct val="100000"/>
            </a:lnSpc>
            <a:spcBef>
              <a:spcPts val="0"/>
            </a:spcBef>
            <a:buFont typeface="Arial" panose="020B0604020202020204" pitchFamily="34" charset="0"/>
            <a:buNone/>
          </a:pPr>
          <a:r>
            <a:rPr lang="en-US" sz="2800" b="1" kern="1200">
              <a:ln w="0">
                <a:noFill/>
              </a:ln>
              <a:solidFill>
                <a:sysClr val="windowText" lastClr="000000"/>
              </a:solidFill>
              <a:latin typeface="Arial" panose="020B0604020202020204" pitchFamily="34" charset="0"/>
              <a:ea typeface="+mn-ea"/>
              <a:cs typeface="Arial" panose="020B0604020202020204" pitchFamily="34" charset="0"/>
            </a:rPr>
            <a:t>17</a:t>
          </a:r>
        </a:p>
      </xdr:txBody>
    </xdr:sp>
    <xdr:clientData/>
  </xdr:twoCellAnchor>
  <xdr:twoCellAnchor>
    <xdr:from>
      <xdr:col>0</xdr:col>
      <xdr:colOff>0</xdr:colOff>
      <xdr:row>197</xdr:row>
      <xdr:rowOff>138043</xdr:rowOff>
    </xdr:from>
    <xdr:to>
      <xdr:col>3</xdr:col>
      <xdr:colOff>1056853</xdr:colOff>
      <xdr:row>200</xdr:row>
      <xdr:rowOff>220550</xdr:rowOff>
    </xdr:to>
    <xdr:sp macro="" textlink="">
      <xdr:nvSpPr>
        <xdr:cNvPr id="74" name="Rounded Rectangle 73">
          <a:extLst>
            <a:ext uri="{FF2B5EF4-FFF2-40B4-BE49-F238E27FC236}">
              <a16:creationId xmlns:a16="http://schemas.microsoft.com/office/drawing/2014/main" id="{9E51081F-76CA-4340-9C20-206D41173EF0}"/>
            </a:ext>
          </a:extLst>
        </xdr:cNvPr>
        <xdr:cNvSpPr/>
      </xdr:nvSpPr>
      <xdr:spPr>
        <a:xfrm>
          <a:off x="0" y="51801643"/>
          <a:ext cx="8892753" cy="844507"/>
        </a:xfrm>
        <a:prstGeom prst="roundRect">
          <a:avLst>
            <a:gd name="adj" fmla="val 4311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3. Impact Assessment</a:t>
          </a:r>
        </a:p>
      </xdr:txBody>
    </xdr:sp>
    <xdr:clientData/>
  </xdr:twoCellAnchor>
  <xdr:twoCellAnchor>
    <xdr:from>
      <xdr:col>0</xdr:col>
      <xdr:colOff>0</xdr:colOff>
      <xdr:row>213</xdr:row>
      <xdr:rowOff>0</xdr:rowOff>
    </xdr:from>
    <xdr:to>
      <xdr:col>0</xdr:col>
      <xdr:colOff>2834381</xdr:colOff>
      <xdr:row>215</xdr:row>
      <xdr:rowOff>10569</xdr:rowOff>
    </xdr:to>
    <xdr:sp macro="" textlink="">
      <xdr:nvSpPr>
        <xdr:cNvPr id="75" name="Rounded Rectangle 74" descr="Navigation button for Start worksheet">
          <a:hlinkClick xmlns:r="http://schemas.openxmlformats.org/officeDocument/2006/relationships" r:id="rId7"/>
          <a:extLst>
            <a:ext uri="{FF2B5EF4-FFF2-40B4-BE49-F238E27FC236}">
              <a16:creationId xmlns:a16="http://schemas.microsoft.com/office/drawing/2014/main" id="{AAD16453-356A-EB41-90CB-5F6E9D78343C}"/>
            </a:ext>
          </a:extLst>
        </xdr:cNvPr>
        <xdr:cNvSpPr/>
      </xdr:nvSpPr>
      <xdr:spPr>
        <a:xfrm>
          <a:off x="0" y="55727600"/>
          <a:ext cx="2834381" cy="518569"/>
        </a:xfrm>
        <a:prstGeom prst="roundRect">
          <a:avLst>
            <a:gd name="adj" fmla="val 5000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Back to top</a:t>
          </a:r>
        </a:p>
      </xdr:txBody>
    </xdr:sp>
    <xdr:clientData/>
  </xdr:twoCellAnchor>
  <xdr:twoCellAnchor>
    <xdr:from>
      <xdr:col>16</xdr:col>
      <xdr:colOff>272198</xdr:colOff>
      <xdr:row>0</xdr:row>
      <xdr:rowOff>2</xdr:rowOff>
    </xdr:from>
    <xdr:to>
      <xdr:col>47</xdr:col>
      <xdr:colOff>679634</xdr:colOff>
      <xdr:row>5</xdr:row>
      <xdr:rowOff>158797</xdr:rowOff>
    </xdr:to>
    <xdr:sp macro="" textlink="">
      <xdr:nvSpPr>
        <xdr:cNvPr id="76" name="Title">
          <a:extLst>
            <a:ext uri="{FF2B5EF4-FFF2-40B4-BE49-F238E27FC236}">
              <a16:creationId xmlns:a16="http://schemas.microsoft.com/office/drawing/2014/main" id="{B31916E2-AAE1-0E42-A2FA-4291118E74A2}"/>
            </a:ext>
          </a:extLst>
        </xdr:cNvPr>
        <xdr:cNvSpPr/>
      </xdr:nvSpPr>
      <xdr:spPr>
        <a:xfrm>
          <a:off x="24948298" y="2"/>
          <a:ext cx="37377136" cy="1504995"/>
        </a:xfrm>
        <a:prstGeom prst="rect">
          <a:avLst/>
        </a:prstGeom>
        <a:solidFill>
          <a:srgbClr val="004F4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4000"/>
        </a:p>
      </xdr:txBody>
    </xdr:sp>
    <xdr:clientData/>
  </xdr:twoCellAnchor>
  <xdr:twoCellAnchor>
    <xdr:from>
      <xdr:col>16</xdr:col>
      <xdr:colOff>0</xdr:colOff>
      <xdr:row>0</xdr:row>
      <xdr:rowOff>0</xdr:rowOff>
    </xdr:from>
    <xdr:to>
      <xdr:col>16</xdr:col>
      <xdr:colOff>292100</xdr:colOff>
      <xdr:row>5</xdr:row>
      <xdr:rowOff>146097</xdr:rowOff>
    </xdr:to>
    <xdr:sp macro="" textlink="">
      <xdr:nvSpPr>
        <xdr:cNvPr id="77" name="_Yellow">
          <a:extLst>
            <a:ext uri="{FF2B5EF4-FFF2-40B4-BE49-F238E27FC236}">
              <a16:creationId xmlns:a16="http://schemas.microsoft.com/office/drawing/2014/main" id="{444E6A90-6F08-4243-87A6-E2D947EBB8B5}"/>
            </a:ext>
          </a:extLst>
        </xdr:cNvPr>
        <xdr:cNvSpPr/>
      </xdr:nvSpPr>
      <xdr:spPr>
        <a:xfrm>
          <a:off x="24676100" y="0"/>
          <a:ext cx="292100" cy="1492297"/>
        </a:xfrm>
        <a:prstGeom prst="rect">
          <a:avLst/>
        </a:prstGeom>
        <a:solidFill>
          <a:srgbClr val="FFCD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16</xdr:col>
      <xdr:colOff>399550</xdr:colOff>
      <xdr:row>1</xdr:row>
      <xdr:rowOff>42809</xdr:rowOff>
    </xdr:from>
    <xdr:to>
      <xdr:col>38</xdr:col>
      <xdr:colOff>806552</xdr:colOff>
      <xdr:row>3</xdr:row>
      <xdr:rowOff>287524</xdr:rowOff>
    </xdr:to>
    <xdr:sp macro="" textlink="">
      <xdr:nvSpPr>
        <xdr:cNvPr id="78" name="sheet title">
          <a:extLst>
            <a:ext uri="{FF2B5EF4-FFF2-40B4-BE49-F238E27FC236}">
              <a16:creationId xmlns:a16="http://schemas.microsoft.com/office/drawing/2014/main" id="{4C2CB911-AB05-3C46-B8AC-7F3D0FC06D6C}"/>
            </a:ext>
          </a:extLst>
        </xdr:cNvPr>
        <xdr:cNvSpPr txBox="1"/>
      </xdr:nvSpPr>
      <xdr:spPr>
        <a:xfrm>
          <a:off x="25075650" y="296809"/>
          <a:ext cx="28880402" cy="75271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4400">
              <a:solidFill>
                <a:schemeClr val="bg1"/>
              </a:solidFill>
              <a:latin typeface="Arial" panose="020B0604020202020204" pitchFamily="34" charset="0"/>
              <a:cs typeface="Arial" panose="020B0604020202020204" pitchFamily="34" charset="0"/>
            </a:rPr>
            <a:t>Major</a:t>
          </a:r>
          <a:r>
            <a:rPr lang="en-US" sz="4400" baseline="0">
              <a:solidFill>
                <a:schemeClr val="bg1"/>
              </a:solidFill>
              <a:latin typeface="Arial" panose="020B0604020202020204" pitchFamily="34" charset="0"/>
              <a:cs typeface="Arial" panose="020B0604020202020204" pitchFamily="34" charset="0"/>
            </a:rPr>
            <a:t> S</a:t>
          </a:r>
          <a:r>
            <a:rPr lang="en-US" sz="4400">
              <a:solidFill>
                <a:schemeClr val="bg1"/>
              </a:solidFill>
              <a:latin typeface="Arial" panose="020B0604020202020204" pitchFamily="34" charset="0"/>
              <a:cs typeface="Arial" panose="020B0604020202020204" pitchFamily="34" charset="0"/>
            </a:rPr>
            <a:t>lurry</a:t>
          </a:r>
          <a:r>
            <a:rPr lang="en-US" sz="4400" baseline="0">
              <a:solidFill>
                <a:schemeClr val="bg1"/>
              </a:solidFill>
              <a:latin typeface="Arial" panose="020B0604020202020204" pitchFamily="34" charset="0"/>
              <a:cs typeface="Arial" panose="020B0604020202020204" pitchFamily="34" charset="0"/>
            </a:rPr>
            <a:t> Manufacturing Processes Overview</a:t>
          </a:r>
          <a:endParaRPr lang="en-US" sz="4400">
            <a:solidFill>
              <a:schemeClr val="bg1"/>
            </a:solidFill>
            <a:latin typeface="Arial" panose="020B0604020202020204" pitchFamily="34" charset="0"/>
            <a:cs typeface="Arial" panose="020B0604020202020204" pitchFamily="34" charset="0"/>
          </a:endParaRPr>
        </a:p>
      </xdr:txBody>
    </xdr:sp>
    <xdr:clientData/>
  </xdr:twoCellAnchor>
  <xdr:twoCellAnchor>
    <xdr:from>
      <xdr:col>16</xdr:col>
      <xdr:colOff>57079</xdr:colOff>
      <xdr:row>6</xdr:row>
      <xdr:rowOff>71348</xdr:rowOff>
    </xdr:from>
    <xdr:to>
      <xdr:col>24</xdr:col>
      <xdr:colOff>98039</xdr:colOff>
      <xdr:row>12</xdr:row>
      <xdr:rowOff>21093</xdr:rowOff>
    </xdr:to>
    <xdr:sp macro="" textlink="">
      <xdr:nvSpPr>
        <xdr:cNvPr id="79" name="Rounded Rectangle 78">
          <a:extLst>
            <a:ext uri="{FF2B5EF4-FFF2-40B4-BE49-F238E27FC236}">
              <a16:creationId xmlns:a16="http://schemas.microsoft.com/office/drawing/2014/main" id="{DCBC01AF-EE81-0F4C-B124-69513BFE3003}"/>
            </a:ext>
          </a:extLst>
        </xdr:cNvPr>
        <xdr:cNvSpPr/>
      </xdr:nvSpPr>
      <xdr:spPr>
        <a:xfrm>
          <a:off x="24733179" y="1671548"/>
          <a:ext cx="9286560" cy="1473745"/>
        </a:xfrm>
        <a:prstGeom prst="roundRect">
          <a:avLst>
            <a:gd name="adj" fmla="val 24167"/>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8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We gather default equipment values from websites and literature to compile a comprehensive database of various tools with a wide range of specifications.</a:t>
          </a:r>
        </a:p>
      </xdr:txBody>
    </xdr:sp>
    <xdr:clientData/>
  </xdr:twoCellAnchor>
  <xdr:twoCellAnchor>
    <xdr:from>
      <xdr:col>24</xdr:col>
      <xdr:colOff>391654</xdr:colOff>
      <xdr:row>13</xdr:row>
      <xdr:rowOff>0</xdr:rowOff>
    </xdr:from>
    <xdr:to>
      <xdr:col>27</xdr:col>
      <xdr:colOff>416521</xdr:colOff>
      <xdr:row>15</xdr:row>
      <xdr:rowOff>110102</xdr:rowOff>
    </xdr:to>
    <xdr:sp macro="" textlink="">
      <xdr:nvSpPr>
        <xdr:cNvPr id="80" name="Rounded Rectangle 79">
          <a:extLst>
            <a:ext uri="{FF2B5EF4-FFF2-40B4-BE49-F238E27FC236}">
              <a16:creationId xmlns:a16="http://schemas.microsoft.com/office/drawing/2014/main" id="{1592E7F5-F1CA-2744-8DCC-42878501BE20}"/>
            </a:ext>
          </a:extLst>
        </xdr:cNvPr>
        <xdr:cNvSpPr/>
      </xdr:nvSpPr>
      <xdr:spPr>
        <a:xfrm>
          <a:off x="34313354" y="3378200"/>
          <a:ext cx="6285967" cy="745102"/>
        </a:xfrm>
        <a:prstGeom prst="roundRect">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Enter your process values to compare against values in literature</a:t>
          </a:r>
        </a:p>
      </xdr:txBody>
    </xdr:sp>
    <xdr:clientData/>
  </xdr:twoCellAnchor>
  <xdr:twoCellAnchor>
    <xdr:from>
      <xdr:col>24</xdr:col>
      <xdr:colOff>120952</xdr:colOff>
      <xdr:row>13</xdr:row>
      <xdr:rowOff>173033</xdr:rowOff>
    </xdr:from>
    <xdr:to>
      <xdr:col>24</xdr:col>
      <xdr:colOff>589216</xdr:colOff>
      <xdr:row>14</xdr:row>
      <xdr:rowOff>241905</xdr:rowOff>
    </xdr:to>
    <xdr:sp macro="" textlink="">
      <xdr:nvSpPr>
        <xdr:cNvPr id="81" name="Text Placeholder 1248">
          <a:extLst>
            <a:ext uri="{FF2B5EF4-FFF2-40B4-BE49-F238E27FC236}">
              <a16:creationId xmlns:a16="http://schemas.microsoft.com/office/drawing/2014/main" id="{815BA0C0-4334-D94E-8EAC-34F236C073A1}"/>
            </a:ext>
          </a:extLst>
        </xdr:cNvPr>
        <xdr:cNvSpPr>
          <a:spLocks noGrp="1"/>
        </xdr:cNvSpPr>
      </xdr:nvSpPr>
      <xdr:spPr>
        <a:xfrm>
          <a:off x="34042652" y="3551233"/>
          <a:ext cx="468264" cy="449872"/>
        </a:xfrm>
        <a:prstGeom prst="ellipse">
          <a:avLst/>
        </a:prstGeom>
        <a:solidFill>
          <a:srgbClr val="FFC000">
            <a:lumMod val="60000"/>
            <a:lumOff val="40000"/>
          </a:srgbClr>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r>
            <a:rPr lang="en-US">
              <a:latin typeface="Arial" panose="020B0604020202020204" pitchFamily="34" charset="0"/>
              <a:cs typeface="Arial" panose="020B0604020202020204" pitchFamily="34" charset="0"/>
            </a:rPr>
            <a:t>1</a:t>
          </a:r>
        </a:p>
      </xdr:txBody>
    </xdr:sp>
    <xdr:clientData/>
  </xdr:twoCellAnchor>
  <xdr:twoCellAnchor>
    <xdr:from>
      <xdr:col>38</xdr:col>
      <xdr:colOff>50800</xdr:colOff>
      <xdr:row>39</xdr:row>
      <xdr:rowOff>33866</xdr:rowOff>
    </xdr:from>
    <xdr:to>
      <xdr:col>51</xdr:col>
      <xdr:colOff>513033</xdr:colOff>
      <xdr:row>42</xdr:row>
      <xdr:rowOff>121670</xdr:rowOff>
    </xdr:to>
    <xdr:sp macro="" textlink="">
      <xdr:nvSpPr>
        <xdr:cNvPr id="82" name="Rounded Rectangle 81">
          <a:extLst>
            <a:ext uri="{FF2B5EF4-FFF2-40B4-BE49-F238E27FC236}">
              <a16:creationId xmlns:a16="http://schemas.microsoft.com/office/drawing/2014/main" id="{55F391FE-6AA5-F74F-B85C-9A775F4F028B}"/>
            </a:ext>
          </a:extLst>
        </xdr:cNvPr>
        <xdr:cNvSpPr/>
      </xdr:nvSpPr>
      <xdr:spPr>
        <a:xfrm>
          <a:off x="53200300" y="10498666"/>
          <a:ext cx="12895533" cy="887904"/>
        </a:xfrm>
        <a:prstGeom prst="roundRect">
          <a:avLst>
            <a:gd name="adj" fmla="val 5000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a:ln>
                <a:noFill/>
              </a:ln>
              <a:solidFill>
                <a:schemeClr val="tx1"/>
              </a:solidFill>
              <a:effectLst/>
              <a:uLnTx/>
              <a:uFillTx/>
              <a:latin typeface="Arial" panose="020B0604020202020204" pitchFamily="34" charset="0"/>
              <a:ea typeface="+mn-ea"/>
              <a:cs typeface="Arial" panose="020B0604020202020204" pitchFamily="34" charset="0"/>
            </a:rPr>
            <a:t>Process time information found in the literature</a:t>
          </a:r>
        </a:p>
      </xdr:txBody>
    </xdr:sp>
    <xdr:clientData/>
  </xdr:twoCellAnchor>
  <xdr:twoCellAnchor>
    <xdr:from>
      <xdr:col>17</xdr:col>
      <xdr:colOff>0</xdr:colOff>
      <xdr:row>39</xdr:row>
      <xdr:rowOff>0</xdr:rowOff>
    </xdr:from>
    <xdr:to>
      <xdr:col>24</xdr:col>
      <xdr:colOff>3085981</xdr:colOff>
      <xdr:row>42</xdr:row>
      <xdr:rowOff>87804</xdr:rowOff>
    </xdr:to>
    <xdr:sp macro="" textlink="">
      <xdr:nvSpPr>
        <xdr:cNvPr id="83" name="Rounded Rectangle 82">
          <a:extLst>
            <a:ext uri="{FF2B5EF4-FFF2-40B4-BE49-F238E27FC236}">
              <a16:creationId xmlns:a16="http://schemas.microsoft.com/office/drawing/2014/main" id="{E287CFA0-0F56-C440-AE48-6A37936DC8E2}"/>
            </a:ext>
          </a:extLst>
        </xdr:cNvPr>
        <xdr:cNvSpPr/>
      </xdr:nvSpPr>
      <xdr:spPr>
        <a:xfrm>
          <a:off x="25501600" y="10464800"/>
          <a:ext cx="11506081" cy="887904"/>
        </a:xfrm>
        <a:prstGeom prst="roundRect">
          <a:avLst>
            <a:gd name="adj" fmla="val 50000"/>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Tools related to this precific process and their power and volume specifications</a:t>
          </a:r>
        </a:p>
      </xdr:txBody>
    </xdr:sp>
    <xdr:clientData/>
  </xdr:twoCellAnchor>
  <xdr:twoCellAnchor>
    <xdr:from>
      <xdr:col>25</xdr:col>
      <xdr:colOff>1358019</xdr:colOff>
      <xdr:row>24</xdr:row>
      <xdr:rowOff>100594</xdr:rowOff>
    </xdr:from>
    <xdr:to>
      <xdr:col>26</xdr:col>
      <xdr:colOff>406400</xdr:colOff>
      <xdr:row>26</xdr:row>
      <xdr:rowOff>177760</xdr:rowOff>
    </xdr:to>
    <xdr:sp macro="" textlink="">
      <xdr:nvSpPr>
        <xdr:cNvPr id="84" name="Text Placeholder 1248">
          <a:extLst>
            <a:ext uri="{FF2B5EF4-FFF2-40B4-BE49-F238E27FC236}">
              <a16:creationId xmlns:a16="http://schemas.microsoft.com/office/drawing/2014/main" id="{D1921F5A-37B2-EB4D-92A5-E29EE66C0A78}"/>
            </a:ext>
          </a:extLst>
        </xdr:cNvPr>
        <xdr:cNvSpPr>
          <a:spLocks noGrp="1"/>
        </xdr:cNvSpPr>
      </xdr:nvSpPr>
      <xdr:spPr>
        <a:xfrm>
          <a:off x="39153219" y="6475994"/>
          <a:ext cx="585081" cy="585166"/>
        </a:xfrm>
        <a:prstGeom prst="ellipse">
          <a:avLst/>
        </a:prstGeom>
        <a:solidFill>
          <a:srgbClr val="FFC000">
            <a:lumMod val="60000"/>
            <a:lumOff val="40000"/>
          </a:srgbClr>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r>
            <a:rPr lang="en-US">
              <a:latin typeface="Arial" panose="020B0604020202020204" pitchFamily="34" charset="0"/>
              <a:cs typeface="Arial" panose="020B0604020202020204" pitchFamily="34" charset="0"/>
            </a:rPr>
            <a:t>2</a:t>
          </a:r>
        </a:p>
      </xdr:txBody>
    </xdr:sp>
    <xdr:clientData/>
  </xdr:twoCellAnchor>
  <xdr:twoCellAnchor>
    <xdr:from>
      <xdr:col>25</xdr:col>
      <xdr:colOff>1358019</xdr:colOff>
      <xdr:row>28</xdr:row>
      <xdr:rowOff>100594</xdr:rowOff>
    </xdr:from>
    <xdr:to>
      <xdr:col>26</xdr:col>
      <xdr:colOff>406400</xdr:colOff>
      <xdr:row>30</xdr:row>
      <xdr:rowOff>177760</xdr:rowOff>
    </xdr:to>
    <xdr:sp macro="" textlink="">
      <xdr:nvSpPr>
        <xdr:cNvPr id="85" name="Text Placeholder 1248">
          <a:extLst>
            <a:ext uri="{FF2B5EF4-FFF2-40B4-BE49-F238E27FC236}">
              <a16:creationId xmlns:a16="http://schemas.microsoft.com/office/drawing/2014/main" id="{46DC0776-B31F-8642-8C83-09DB38270BD9}"/>
            </a:ext>
          </a:extLst>
        </xdr:cNvPr>
        <xdr:cNvSpPr>
          <a:spLocks noGrp="1"/>
        </xdr:cNvSpPr>
      </xdr:nvSpPr>
      <xdr:spPr>
        <a:xfrm>
          <a:off x="39153219" y="7771394"/>
          <a:ext cx="585081" cy="585166"/>
        </a:xfrm>
        <a:prstGeom prst="ellipse">
          <a:avLst/>
        </a:prstGeom>
        <a:solidFill>
          <a:srgbClr val="FFC000">
            <a:lumMod val="60000"/>
            <a:lumOff val="40000"/>
          </a:srgbClr>
        </a:solidFill>
        <a:ln w="44450">
          <a:solidFill>
            <a:sysClr val="windowText" lastClr="000000"/>
          </a:solidFill>
        </a:ln>
      </xdr:spPr>
      <xdr:txBody>
        <a:bodyPr vert="horz" wrap="square" lIns="0" tIns="0" rIns="0" bIns="0" rtlCol="0" anchor="ctr">
          <a:noAutofit/>
        </a:bodyPr>
        <a:lstStyle>
          <a:lvl1pPr marL="0" indent="0" algn="ctr" defTabSz="914400" rtl="0" eaLnBrk="1" latinLnBrk="0" hangingPunct="1">
            <a:lnSpc>
              <a:spcPct val="100000"/>
            </a:lnSpc>
            <a:spcBef>
              <a:spcPts val="0"/>
            </a:spcBef>
            <a:buFont typeface="Arial" panose="020B0604020202020204" pitchFamily="34" charset="0"/>
            <a:buNone/>
            <a:defRPr sz="2800" b="1" kern="1200">
              <a:ln w="0">
                <a:noFill/>
              </a:ln>
              <a:solidFill>
                <a:sysClr val="windowText" lastClr="000000"/>
              </a:solidFill>
              <a:latin typeface="Tw Cen MT"/>
            </a:defRPr>
          </a:lvl1pPr>
          <a:lvl2pPr marL="4572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2pPr>
          <a:lvl3pPr marL="9144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3pPr>
          <a:lvl4pPr marL="13716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4pPr>
          <a:lvl5pPr marL="1828800" indent="0" algn="l" defTabSz="914400" rtl="0" eaLnBrk="1" latinLnBrk="0" hangingPunct="1">
            <a:lnSpc>
              <a:spcPct val="90000"/>
            </a:lnSpc>
            <a:spcBef>
              <a:spcPts val="500"/>
            </a:spcBef>
            <a:buFont typeface="Arial" panose="020B0604020202020204" pitchFamily="34" charset="0"/>
            <a:buNone/>
            <a:defRPr sz="2800" kern="1200">
              <a:solidFill>
                <a:sysClr val="windowText" lastClr="000000"/>
              </a:solidFill>
              <a:latin typeface="Tw Cen MT"/>
            </a:defRPr>
          </a:lvl5pPr>
          <a:lvl6pPr marL="25146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6pPr>
          <a:lvl7pPr marL="29718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7pPr>
          <a:lvl8pPr marL="34290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8pPr>
          <a:lvl9pPr marL="3886200" indent="-228600" algn="l" defTabSz="914400" rtl="0" eaLnBrk="1" latinLnBrk="0" hangingPunct="1">
            <a:lnSpc>
              <a:spcPct val="90000"/>
            </a:lnSpc>
            <a:spcBef>
              <a:spcPts val="500"/>
            </a:spcBef>
            <a:buFont typeface="Arial" panose="020B0604020202020204" pitchFamily="34" charset="0"/>
            <a:buChar char="•"/>
            <a:defRPr sz="1800" kern="1200">
              <a:solidFill>
                <a:sysClr val="windowText" lastClr="000000"/>
              </a:solidFill>
              <a:latin typeface="Tw Cen MT"/>
            </a:defRPr>
          </a:lvl9pPr>
        </a:lstStyle>
        <a:p>
          <a:r>
            <a:rPr lang="en-US">
              <a:latin typeface="Arial" panose="020B0604020202020204" pitchFamily="34" charset="0"/>
              <a:cs typeface="Arial" panose="020B0604020202020204" pitchFamily="34" charset="0"/>
            </a:rPr>
            <a:t>3</a:t>
          </a:r>
        </a:p>
      </xdr:txBody>
    </xdr:sp>
    <xdr:clientData/>
  </xdr:twoCellAnchor>
  <xdr:twoCellAnchor>
    <xdr:from>
      <xdr:col>26</xdr:col>
      <xdr:colOff>135467</xdr:colOff>
      <xdr:row>26</xdr:row>
      <xdr:rowOff>101601</xdr:rowOff>
    </xdr:from>
    <xdr:to>
      <xdr:col>29</xdr:col>
      <xdr:colOff>588567</xdr:colOff>
      <xdr:row>28</xdr:row>
      <xdr:rowOff>189405</xdr:rowOff>
    </xdr:to>
    <xdr:sp macro="" textlink="">
      <xdr:nvSpPr>
        <xdr:cNvPr id="86" name="Rounded Rectangle 85">
          <a:extLst>
            <a:ext uri="{FF2B5EF4-FFF2-40B4-BE49-F238E27FC236}">
              <a16:creationId xmlns:a16="http://schemas.microsoft.com/office/drawing/2014/main" id="{27C2F266-263B-CA4E-9C28-A2563A9AE5BA}"/>
            </a:ext>
          </a:extLst>
        </xdr:cNvPr>
        <xdr:cNvSpPr/>
      </xdr:nvSpPr>
      <xdr:spPr>
        <a:xfrm>
          <a:off x="39467367" y="6985001"/>
          <a:ext cx="3336000" cy="875204"/>
        </a:xfrm>
        <a:prstGeom prst="roundRect">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Enter your tool power rating to check range</a:t>
          </a:r>
        </a:p>
      </xdr:txBody>
    </xdr:sp>
    <xdr:clientData/>
  </xdr:twoCellAnchor>
  <xdr:twoCellAnchor>
    <xdr:from>
      <xdr:col>26</xdr:col>
      <xdr:colOff>0</xdr:colOff>
      <xdr:row>30</xdr:row>
      <xdr:rowOff>203200</xdr:rowOff>
    </xdr:from>
    <xdr:to>
      <xdr:col>29</xdr:col>
      <xdr:colOff>7119</xdr:colOff>
      <xdr:row>34</xdr:row>
      <xdr:rowOff>67864</xdr:rowOff>
    </xdr:to>
    <xdr:sp macro="" textlink="">
      <xdr:nvSpPr>
        <xdr:cNvPr id="87" name="Rounded Rectangle 86">
          <a:extLst>
            <a:ext uri="{FF2B5EF4-FFF2-40B4-BE49-F238E27FC236}">
              <a16:creationId xmlns:a16="http://schemas.microsoft.com/office/drawing/2014/main" id="{6A758F6A-D35D-404C-AFBB-90CB6347503A}"/>
            </a:ext>
          </a:extLst>
        </xdr:cNvPr>
        <xdr:cNvSpPr/>
      </xdr:nvSpPr>
      <xdr:spPr>
        <a:xfrm>
          <a:off x="39331900" y="8382000"/>
          <a:ext cx="2890019" cy="880664"/>
        </a:xfrm>
        <a:prstGeom prst="roundRect">
          <a:avLst/>
        </a:prstGeom>
        <a:solidFill>
          <a:schemeClr val="accent5">
            <a:lumMod val="40000"/>
            <a:lumOff val="60000"/>
          </a:scheme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Calcualted based on process time and tool power rating(kW)</a:t>
          </a:r>
        </a:p>
      </xdr:txBody>
    </xdr:sp>
    <xdr:clientData/>
  </xdr:twoCellAnchor>
  <xdr:twoCellAnchor>
    <xdr:from>
      <xdr:col>33</xdr:col>
      <xdr:colOff>276377</xdr:colOff>
      <xdr:row>13</xdr:row>
      <xdr:rowOff>294519</xdr:rowOff>
    </xdr:from>
    <xdr:to>
      <xdr:col>40</xdr:col>
      <xdr:colOff>432695</xdr:colOff>
      <xdr:row>15</xdr:row>
      <xdr:rowOff>46141</xdr:rowOff>
    </xdr:to>
    <xdr:grpSp>
      <xdr:nvGrpSpPr>
        <xdr:cNvPr id="88" name="Group 87">
          <a:extLst>
            <a:ext uri="{FF2B5EF4-FFF2-40B4-BE49-F238E27FC236}">
              <a16:creationId xmlns:a16="http://schemas.microsoft.com/office/drawing/2014/main" id="{561C51B7-C88C-D348-98A8-C0EAC3619A4D}"/>
            </a:ext>
          </a:extLst>
        </xdr:cNvPr>
        <xdr:cNvGrpSpPr/>
      </xdr:nvGrpSpPr>
      <xdr:grpSpPr>
        <a:xfrm>
          <a:off x="49298377" y="3672719"/>
          <a:ext cx="6493618" cy="386622"/>
          <a:chOff x="20803705" y="3035855"/>
          <a:chExt cx="6029371" cy="995751"/>
        </a:xfrm>
      </xdr:grpSpPr>
      <xdr:sp macro="" textlink="">
        <xdr:nvSpPr>
          <xdr:cNvPr id="89" name="Rounded Rectangle 88">
            <a:extLst>
              <a:ext uri="{FF2B5EF4-FFF2-40B4-BE49-F238E27FC236}">
                <a16:creationId xmlns:a16="http://schemas.microsoft.com/office/drawing/2014/main" id="{6D860AF7-0FC0-A7B5-BBA0-57C373792CAB}"/>
              </a:ext>
            </a:extLst>
          </xdr:cNvPr>
          <xdr:cNvSpPr/>
        </xdr:nvSpPr>
        <xdr:spPr>
          <a:xfrm>
            <a:off x="20803705" y="3035855"/>
            <a:ext cx="6029371" cy="995751"/>
          </a:xfrm>
          <a:prstGeom prst="roundRect">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b"/>
          <a:lstStyle/>
          <a:p>
            <a:pPr algn="r"/>
            <a:r>
              <a:rPr lang="en-US" sz="2000" kern="1200">
                <a:latin typeface="Arial" panose="020B0604020202020204" pitchFamily="34" charset="0"/>
                <a:cs typeface="Arial" panose="020B0604020202020204" pitchFamily="34" charset="0"/>
              </a:rPr>
              <a:t>tool power rating overview</a:t>
            </a:r>
          </a:p>
        </xdr:txBody>
      </xdr:sp>
      <xdr:sp macro="" textlink="$E$19">
        <xdr:nvSpPr>
          <xdr:cNvPr id="90" name="TextBox 89">
            <a:extLst>
              <a:ext uri="{FF2B5EF4-FFF2-40B4-BE49-F238E27FC236}">
                <a16:creationId xmlns:a16="http://schemas.microsoft.com/office/drawing/2014/main" id="{E3899B80-61FD-15EF-1A00-9636E4D99474}"/>
              </a:ext>
            </a:extLst>
          </xdr:cNvPr>
          <xdr:cNvSpPr txBox="1"/>
        </xdr:nvSpPr>
        <xdr:spPr>
          <a:xfrm>
            <a:off x="20917443" y="3144274"/>
            <a:ext cx="2290048" cy="553647"/>
          </a:xfrm>
          <a:prstGeom prst="rect">
            <a:avLst/>
          </a:prstGeom>
          <a:solidFill>
            <a:srgbClr val="4DA72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A722FA6-ADBD-BF4A-B652-57345CB45E96}" type="TxLink">
              <a:rPr lang="en-US" sz="2000" b="0" i="0" u="none" strike="noStrike" kern="1200">
                <a:solidFill>
                  <a:schemeClr val="bg1"/>
                </a:solidFill>
                <a:latin typeface="Arial"/>
                <a:cs typeface="Arial"/>
              </a:rPr>
              <a:pPr/>
              <a:t> </a:t>
            </a:fld>
            <a:endParaRPr lang="en-US" sz="900" kern="1200">
              <a:solidFill>
                <a:schemeClr val="bg1"/>
              </a:solidFill>
            </a:endParaRPr>
          </a:p>
        </xdr:txBody>
      </xdr:sp>
    </xdr:grpSp>
    <xdr:clientData/>
  </xdr:twoCellAnchor>
  <xdr:twoCellAnchor>
    <xdr:from>
      <xdr:col>33</xdr:col>
      <xdr:colOff>750455</xdr:colOff>
      <xdr:row>16</xdr:row>
      <xdr:rowOff>129887</xdr:rowOff>
    </xdr:from>
    <xdr:to>
      <xdr:col>40</xdr:col>
      <xdr:colOff>341292</xdr:colOff>
      <xdr:row>30</xdr:row>
      <xdr:rowOff>63115</xdr:rowOff>
    </xdr:to>
    <xdr:graphicFrame macro="">
      <xdr:nvGraphicFramePr>
        <xdr:cNvPr id="91" name="Chart 90">
          <a:extLst>
            <a:ext uri="{FF2B5EF4-FFF2-40B4-BE49-F238E27FC236}">
              <a16:creationId xmlns:a16="http://schemas.microsoft.com/office/drawing/2014/main" id="{AE5B3C31-FC11-9E4B-8FBA-A149A49059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33</xdr:col>
      <xdr:colOff>745507</xdr:colOff>
      <xdr:row>16</xdr:row>
      <xdr:rowOff>130711</xdr:rowOff>
    </xdr:from>
    <xdr:to>
      <xdr:col>40</xdr:col>
      <xdr:colOff>336344</xdr:colOff>
      <xdr:row>30</xdr:row>
      <xdr:rowOff>63939</xdr:rowOff>
    </xdr:to>
    <xdr:graphicFrame macro="">
      <xdr:nvGraphicFramePr>
        <xdr:cNvPr id="92" name="Chart 91">
          <a:extLst>
            <a:ext uri="{FF2B5EF4-FFF2-40B4-BE49-F238E27FC236}">
              <a16:creationId xmlns:a16="http://schemas.microsoft.com/office/drawing/2014/main" id="{31D56675-336F-9D4D-954F-813D47E474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35</xdr:col>
      <xdr:colOff>346364</xdr:colOff>
      <xdr:row>22</xdr:row>
      <xdr:rowOff>72159</xdr:rowOff>
    </xdr:from>
    <xdr:to>
      <xdr:col>37</xdr:col>
      <xdr:colOff>342318</xdr:colOff>
      <xdr:row>23</xdr:row>
      <xdr:rowOff>60863</xdr:rowOff>
    </xdr:to>
    <xdr:sp macro="" textlink="">
      <xdr:nvSpPr>
        <xdr:cNvPr id="93" name="TextBox 92">
          <a:extLst>
            <a:ext uri="{FF2B5EF4-FFF2-40B4-BE49-F238E27FC236}">
              <a16:creationId xmlns:a16="http://schemas.microsoft.com/office/drawing/2014/main" id="{B345DD88-4AC5-B549-BE13-33F7325A9C11}"/>
            </a:ext>
          </a:extLst>
        </xdr:cNvPr>
        <xdr:cNvSpPr txBox="1"/>
      </xdr:nvSpPr>
      <xdr:spPr>
        <a:xfrm>
          <a:off x="51019364" y="5939559"/>
          <a:ext cx="1646954" cy="2427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600" b="0" i="0" u="none" strike="noStrike" kern="1200">
              <a:solidFill>
                <a:schemeClr val="tx1"/>
              </a:solidFill>
              <a:latin typeface="Arial"/>
              <a:ea typeface="+mn-ea"/>
              <a:cs typeface="Arial"/>
            </a:rPr>
            <a:t>LOW</a:t>
          </a:r>
        </a:p>
      </xdr:txBody>
    </xdr:sp>
    <xdr:clientData/>
  </xdr:twoCellAnchor>
  <xdr:twoCellAnchor>
    <xdr:from>
      <xdr:col>38</xdr:col>
      <xdr:colOff>227826</xdr:colOff>
      <xdr:row>22</xdr:row>
      <xdr:rowOff>95396</xdr:rowOff>
    </xdr:from>
    <xdr:to>
      <xdr:col>40</xdr:col>
      <xdr:colOff>203975</xdr:colOff>
      <xdr:row>23</xdr:row>
      <xdr:rowOff>84100</xdr:rowOff>
    </xdr:to>
    <xdr:sp macro="" textlink="">
      <xdr:nvSpPr>
        <xdr:cNvPr id="94" name="TextBox 93">
          <a:extLst>
            <a:ext uri="{FF2B5EF4-FFF2-40B4-BE49-F238E27FC236}">
              <a16:creationId xmlns:a16="http://schemas.microsoft.com/office/drawing/2014/main" id="{9505862A-593F-DF40-820D-C3A86CD55DD6}"/>
            </a:ext>
          </a:extLst>
        </xdr:cNvPr>
        <xdr:cNvSpPr txBox="1"/>
      </xdr:nvSpPr>
      <xdr:spPr>
        <a:xfrm>
          <a:off x="53377326" y="5962796"/>
          <a:ext cx="2185949" cy="2427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600" b="0" i="0" u="none" strike="noStrike" kern="1200">
              <a:solidFill>
                <a:schemeClr val="tx1"/>
              </a:solidFill>
              <a:latin typeface="Arial"/>
              <a:ea typeface="+mn-ea"/>
              <a:cs typeface="Arial"/>
            </a:rPr>
            <a:t>HIGH</a:t>
          </a:r>
        </a:p>
      </xdr:txBody>
    </xdr:sp>
    <xdr:clientData/>
  </xdr:twoCellAnchor>
  <xdr:twoCellAnchor>
    <xdr:from>
      <xdr:col>2</xdr:col>
      <xdr:colOff>1415748</xdr:colOff>
      <xdr:row>57</xdr:row>
      <xdr:rowOff>238479</xdr:rowOff>
    </xdr:from>
    <xdr:to>
      <xdr:col>5</xdr:col>
      <xdr:colOff>241905</xdr:colOff>
      <xdr:row>61</xdr:row>
      <xdr:rowOff>161271</xdr:rowOff>
    </xdr:to>
    <xdr:sp macro="" textlink="">
      <xdr:nvSpPr>
        <xdr:cNvPr id="95" name="Rounded Rectangle 94">
          <a:extLst>
            <a:ext uri="{FF2B5EF4-FFF2-40B4-BE49-F238E27FC236}">
              <a16:creationId xmlns:a16="http://schemas.microsoft.com/office/drawing/2014/main" id="{57198DB5-F4ED-DE40-B7F4-7D156AB20A6F}"/>
            </a:ext>
          </a:extLst>
        </xdr:cNvPr>
        <xdr:cNvSpPr/>
      </xdr:nvSpPr>
      <xdr:spPr>
        <a:xfrm>
          <a:off x="7181548" y="15694379"/>
          <a:ext cx="5519057" cy="1002292"/>
        </a:xfrm>
        <a:prstGeom prst="roundRect">
          <a:avLst>
            <a:gd name="adj" fmla="val 30087"/>
          </a:avLst>
        </a:prstGeom>
        <a:noFill/>
        <a:ln w="57150" cap="flat" cmpd="sng" algn="ctr">
          <a:solidFill>
            <a:schemeClr val="accent5">
              <a:lumMod val="75000"/>
            </a:schemeClr>
          </a:solidFill>
          <a:prstDash val="solid"/>
        </a:ln>
        <a:effectLst/>
      </xdr:spPr>
      <xdr:txBody>
        <a:bodyPr vertOverflow="clip" horzOverflow="clip" rtlCol="0" anchor="ctr"/>
        <a:lstStyle/>
        <a:p>
          <a:pPr marL="0" marR="0" lvl="0" indent="0" algn="r" defTabSz="914400" eaLnBrk="1" fontAlgn="auto" latinLnBrk="0" hangingPunct="1">
            <a:lnSpc>
              <a:spcPct val="100000"/>
            </a:lnSpc>
            <a:spcBef>
              <a:spcPts val="0"/>
            </a:spcBef>
            <a:spcAft>
              <a:spcPts val="0"/>
            </a:spcAft>
            <a:buClrTx/>
            <a:buSzTx/>
            <a:buFontTx/>
            <a:buNone/>
            <a:tabLst/>
            <a:defRPr/>
          </a:pPr>
          <a:r>
            <a:rPr kumimoji="0" lang="en-US" sz="18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Average process time for selected process obtained from literature</a:t>
          </a:r>
        </a:p>
      </xdr:txBody>
    </xdr:sp>
    <xdr:clientData/>
  </xdr:twoCellAnchor>
  <xdr:twoCellAnchor>
    <xdr:from>
      <xdr:col>4</xdr:col>
      <xdr:colOff>1342089</xdr:colOff>
      <xdr:row>69</xdr:row>
      <xdr:rowOff>76208</xdr:rowOff>
    </xdr:from>
    <xdr:to>
      <xdr:col>6</xdr:col>
      <xdr:colOff>871997</xdr:colOff>
      <xdr:row>71</xdr:row>
      <xdr:rowOff>177808</xdr:rowOff>
    </xdr:to>
    <xdr:sp macro="" textlink="">
      <xdr:nvSpPr>
        <xdr:cNvPr id="96" name="Rounded Rectangle 95">
          <a:extLst>
            <a:ext uri="{FF2B5EF4-FFF2-40B4-BE49-F238E27FC236}">
              <a16:creationId xmlns:a16="http://schemas.microsoft.com/office/drawing/2014/main" id="{A403A2BF-AD7D-E44A-A417-82DA08102327}"/>
            </a:ext>
          </a:extLst>
        </xdr:cNvPr>
        <xdr:cNvSpPr/>
      </xdr:nvSpPr>
      <xdr:spPr>
        <a:xfrm>
          <a:off x="11489389" y="18783308"/>
          <a:ext cx="4152708" cy="609600"/>
        </a:xfrm>
        <a:prstGeom prst="roundRect">
          <a:avLst>
            <a:gd name="adj" fmla="val 30087"/>
          </a:avLst>
        </a:prstGeom>
        <a:noFill/>
        <a:ln w="25400" cap="flat" cmpd="sng" algn="ctr">
          <a:solidFill>
            <a:schemeClr val="accent5">
              <a:lumMod val="75000"/>
            </a:schemeClr>
          </a:solidFill>
          <a:prstDash val="solid"/>
        </a:ln>
        <a:effectLst/>
      </xdr:spPr>
      <xdr:txBody>
        <a:bodyPr vertOverflow="clip" horzOverflow="clip" rtlCol="0" anchor="ctr"/>
        <a:lstStyle/>
        <a:p>
          <a:pPr marL="0" marR="0" lvl="0" indent="0" algn="r" defTabSz="914400" eaLnBrk="1" fontAlgn="auto" latinLnBrk="0" hangingPunct="1">
            <a:lnSpc>
              <a:spcPct val="100000"/>
            </a:lnSpc>
            <a:spcBef>
              <a:spcPts val="0"/>
            </a:spcBef>
            <a:spcAft>
              <a:spcPts val="0"/>
            </a:spcAft>
            <a:buClrTx/>
            <a:buSzTx/>
            <a:buFontTx/>
            <a:buNone/>
            <a:tabLst/>
            <a:defRPr/>
          </a:pPr>
          <a:r>
            <a:rPr lang="en-US" sz="1400" b="1" i="0" u="none" strike="noStrike">
              <a:effectLst/>
              <a:latin typeface="+mn-lt"/>
              <a:ea typeface="+mn-ea"/>
              <a:cs typeface="+mn-cs"/>
            </a:rPr>
            <a:t>kW/kg</a:t>
          </a:r>
          <a:r>
            <a:rPr lang="en-US" sz="1400" b="1" i="0" u="none" strike="noStrike" baseline="0">
              <a:effectLst/>
              <a:latin typeface="+mn-lt"/>
              <a:ea typeface="+mn-ea"/>
              <a:cs typeface="+mn-cs"/>
            </a:rPr>
            <a:t> </a:t>
          </a:r>
          <a:r>
            <a:rPr lang="en-US" sz="1400" b="1" i="0" u="none" strike="noStrike">
              <a:effectLst/>
              <a:latin typeface="+mn-lt"/>
              <a:ea typeface="+mn-ea"/>
              <a:cs typeface="+mn-cs"/>
            </a:rPr>
            <a:t>Value obtained</a:t>
          </a:r>
          <a:r>
            <a:rPr lang="en-US" sz="1400" b="1" i="0" u="none" strike="noStrike" baseline="0">
              <a:effectLst/>
              <a:latin typeface="+mn-lt"/>
              <a:ea typeface="+mn-ea"/>
              <a:cs typeface="+mn-cs"/>
            </a:rPr>
            <a:t> </a:t>
          </a:r>
          <a:r>
            <a:rPr lang="en-US" sz="1400" b="1" i="0" u="none" strike="noStrike">
              <a:effectLst/>
              <a:latin typeface="+mn-lt"/>
              <a:ea typeface="+mn-ea"/>
              <a:cs typeface="+mn-cs"/>
            </a:rPr>
            <a:t>based on literature</a:t>
          </a:r>
          <a:r>
            <a:rPr lang="en-US" sz="1800" b="1"/>
            <a:t> </a:t>
          </a:r>
          <a:endParaRPr kumimoji="0" lang="en-US" sz="1800" b="1"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endParaRPr>
        </a:p>
      </xdr:txBody>
    </xdr:sp>
    <xdr:clientData/>
  </xdr:twoCellAnchor>
  <xdr:twoCellAnchor>
    <xdr:from>
      <xdr:col>4</xdr:col>
      <xdr:colOff>872096</xdr:colOff>
      <xdr:row>94</xdr:row>
      <xdr:rowOff>120890</xdr:rowOff>
    </xdr:from>
    <xdr:to>
      <xdr:col>7</xdr:col>
      <xdr:colOff>227016</xdr:colOff>
      <xdr:row>98</xdr:row>
      <xdr:rowOff>254261</xdr:rowOff>
    </xdr:to>
    <xdr:sp macro="" textlink="">
      <xdr:nvSpPr>
        <xdr:cNvPr id="97" name="Rounded Rectangle 96">
          <a:extLst>
            <a:ext uri="{FF2B5EF4-FFF2-40B4-BE49-F238E27FC236}">
              <a16:creationId xmlns:a16="http://schemas.microsoft.com/office/drawing/2014/main" id="{38BF20C8-FE17-2649-B683-591900CD0268}"/>
            </a:ext>
          </a:extLst>
        </xdr:cNvPr>
        <xdr:cNvSpPr/>
      </xdr:nvSpPr>
      <xdr:spPr>
        <a:xfrm>
          <a:off x="11019396" y="25025590"/>
          <a:ext cx="6314520" cy="1162071"/>
        </a:xfrm>
        <a:prstGeom prst="roundRect">
          <a:avLst>
            <a:gd name="adj" fmla="val 30087"/>
          </a:avLst>
        </a:prstGeom>
        <a:noFill/>
        <a:ln w="25400" cap="flat" cmpd="sng" algn="ctr">
          <a:solidFill>
            <a:schemeClr val="accent5">
              <a:lumMod val="75000"/>
            </a:schemeClr>
          </a:solidFill>
          <a:prstDash val="solid"/>
        </a:ln>
        <a:effectLst/>
      </xdr:spPr>
      <xdr:txBody>
        <a:bodyPr vertOverflow="clip" horzOverflow="clip" rtlCol="0" anchor="ctr"/>
        <a:lstStyle/>
        <a:p>
          <a:pPr marL="0" marR="0" lvl="0" indent="0" algn="r" defTabSz="914400" eaLnBrk="1" fontAlgn="auto" latinLnBrk="0" hangingPunct="1">
            <a:lnSpc>
              <a:spcPct val="100000"/>
            </a:lnSpc>
            <a:spcBef>
              <a:spcPts val="0"/>
            </a:spcBef>
            <a:spcAft>
              <a:spcPts val="0"/>
            </a:spcAft>
            <a:buClrTx/>
            <a:buSzTx/>
            <a:buFontTx/>
            <a:buNone/>
            <a:tabLst/>
            <a:defRPr/>
          </a:pPr>
          <a:endParaRPr lang="en-US" sz="1400" b="0" i="0" u="none" strike="noStrike">
            <a:effectLst/>
            <a:latin typeface="+mn-lt"/>
            <a:ea typeface="+mn-ea"/>
            <a:cs typeface="+mn-cs"/>
          </a:endParaRPr>
        </a:p>
        <a:p>
          <a:pPr marL="0" marR="0" lvl="0" indent="0" algn="r" defTabSz="914400" eaLnBrk="1" fontAlgn="auto" latinLnBrk="0" hangingPunct="1">
            <a:lnSpc>
              <a:spcPct val="100000"/>
            </a:lnSpc>
            <a:spcBef>
              <a:spcPts val="0"/>
            </a:spcBef>
            <a:spcAft>
              <a:spcPts val="0"/>
            </a:spcAft>
            <a:buClrTx/>
            <a:buSzTx/>
            <a:buFontTx/>
            <a:buNone/>
            <a:tabLst/>
            <a:defRPr/>
          </a:pPr>
          <a:r>
            <a:rPr lang="en-US" sz="1400" b="0" i="0" u="none" strike="noStrike">
              <a:effectLst/>
              <a:latin typeface="+mn-lt"/>
              <a:ea typeface="+mn-ea"/>
              <a:cs typeface="+mn-cs"/>
            </a:rPr>
            <a:t>As we</a:t>
          </a:r>
          <a:r>
            <a:rPr lang="en-US" sz="1400" b="0" i="0" u="none" strike="noStrike" baseline="0">
              <a:effectLst/>
              <a:latin typeface="+mn-lt"/>
              <a:ea typeface="+mn-ea"/>
              <a:cs typeface="+mn-cs"/>
            </a:rPr>
            <a:t> calculated energy per kg of material process, we are keeping the eqipment volume to accomodate 1L with 80% utilization volume, which requires total volume</a:t>
          </a:r>
        </a:p>
      </xdr:txBody>
    </xdr:sp>
    <xdr:clientData/>
  </xdr:twoCellAnchor>
  <xdr:twoCellAnchor>
    <xdr:from>
      <xdr:col>20</xdr:col>
      <xdr:colOff>660400</xdr:colOff>
      <xdr:row>19</xdr:row>
      <xdr:rowOff>237067</xdr:rowOff>
    </xdr:from>
    <xdr:to>
      <xdr:col>23</xdr:col>
      <xdr:colOff>769119</xdr:colOff>
      <xdr:row>23</xdr:row>
      <xdr:rowOff>101731</xdr:rowOff>
    </xdr:to>
    <xdr:sp macro="" textlink="">
      <xdr:nvSpPr>
        <xdr:cNvPr id="98" name="Rounded Rectangle 97">
          <a:extLst>
            <a:ext uri="{FF2B5EF4-FFF2-40B4-BE49-F238E27FC236}">
              <a16:creationId xmlns:a16="http://schemas.microsoft.com/office/drawing/2014/main" id="{43914887-7F3C-0A4E-B46E-7105DCDE4158}"/>
            </a:ext>
          </a:extLst>
        </xdr:cNvPr>
        <xdr:cNvSpPr/>
      </xdr:nvSpPr>
      <xdr:spPr>
        <a:xfrm>
          <a:off x="30988000" y="5342467"/>
          <a:ext cx="2864619" cy="880664"/>
        </a:xfrm>
        <a:prstGeom prst="roundRect">
          <a:avLst/>
        </a:prstGeom>
        <a:solidFill>
          <a:schemeClr val="accent5">
            <a:lumMod val="40000"/>
            <a:lumOff val="60000"/>
          </a:scheme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a:ln>
                <a:noFill/>
              </a:ln>
              <a:solidFill>
                <a:srgbClr val="000000"/>
              </a:solidFill>
              <a:effectLst/>
              <a:uLnTx/>
              <a:uFillTx/>
              <a:latin typeface="Arial" panose="020B0604020202020204" pitchFamily="34" charset="0"/>
              <a:ea typeface="+mn-ea"/>
              <a:cs typeface="Arial" panose="020B0604020202020204" pitchFamily="34" charset="0"/>
            </a:rPr>
            <a:t>Note: Unitilized volume is 80% of the total volume of the equipment</a:t>
          </a:r>
        </a:p>
      </xdr:txBody>
    </xdr:sp>
    <xdr:clientData/>
  </xdr:twoCellAnchor>
  <xdr:twoCellAnchor editAs="oneCell">
    <xdr:from>
      <xdr:col>6</xdr:col>
      <xdr:colOff>979785</xdr:colOff>
      <xdr:row>51</xdr:row>
      <xdr:rowOff>66393</xdr:rowOff>
    </xdr:from>
    <xdr:to>
      <xdr:col>13</xdr:col>
      <xdr:colOff>11943</xdr:colOff>
      <xdr:row>78</xdr:row>
      <xdr:rowOff>121330</xdr:rowOff>
    </xdr:to>
    <xdr:pic>
      <xdr:nvPicPr>
        <xdr:cNvPr id="99" name="Picture 98">
          <a:extLst>
            <a:ext uri="{FF2B5EF4-FFF2-40B4-BE49-F238E27FC236}">
              <a16:creationId xmlns:a16="http://schemas.microsoft.com/office/drawing/2014/main" id="{4A6D8615-D50F-6649-B324-C93C57321567}"/>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5749885" y="13998293"/>
          <a:ext cx="6461658" cy="71161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xdr:from>
      <xdr:col>1</xdr:col>
      <xdr:colOff>0</xdr:colOff>
      <xdr:row>1</xdr:row>
      <xdr:rowOff>0</xdr:rowOff>
    </xdr:from>
    <xdr:to>
      <xdr:col>11</xdr:col>
      <xdr:colOff>180553</xdr:colOff>
      <xdr:row>5</xdr:row>
      <xdr:rowOff>31707</xdr:rowOff>
    </xdr:to>
    <xdr:sp macro="" textlink="">
      <xdr:nvSpPr>
        <xdr:cNvPr id="3" name="Rounded Rectangle 2">
          <a:extLst>
            <a:ext uri="{FF2B5EF4-FFF2-40B4-BE49-F238E27FC236}">
              <a16:creationId xmlns:a16="http://schemas.microsoft.com/office/drawing/2014/main" id="{7F33E5F8-CA55-2442-84F1-B1DAFC08CDEE}"/>
            </a:ext>
          </a:extLst>
        </xdr:cNvPr>
        <xdr:cNvSpPr/>
      </xdr:nvSpPr>
      <xdr:spPr>
        <a:xfrm>
          <a:off x="829733" y="321733"/>
          <a:ext cx="21770553" cy="1318641"/>
        </a:xfrm>
        <a:prstGeom prst="roundRect">
          <a:avLst>
            <a:gd name="adj" fmla="val 16143"/>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2400" b="1" i="0" u="none" strike="noStrike" kern="0" cap="none" spc="0" normalizeH="0" baseline="0">
              <a:ln>
                <a:noFill/>
              </a:ln>
              <a:solidFill>
                <a:schemeClr val="tx1"/>
              </a:solidFill>
              <a:effectLst/>
              <a:uLnTx/>
              <a:uFillTx/>
              <a:latin typeface="Arial" panose="020B0604020202020204" pitchFamily="34" charset="0"/>
              <a:ea typeface="+mn-ea"/>
              <a:cs typeface="Arial" panose="020B0604020202020204" pitchFamily="34" charset="0"/>
            </a:rPr>
            <a:t>Results will added after inventorying data from all the processes</a:t>
          </a:r>
        </a:p>
      </xdr:txBody>
    </xdr:sp>
    <xdr:clientData/>
  </xdr:twoCellAnchor>
  <xdr:twoCellAnchor>
    <xdr:from>
      <xdr:col>1</xdr:col>
      <xdr:colOff>33866</xdr:colOff>
      <xdr:row>25</xdr:row>
      <xdr:rowOff>294351</xdr:rowOff>
    </xdr:from>
    <xdr:to>
      <xdr:col>11</xdr:col>
      <xdr:colOff>214419</xdr:colOff>
      <xdr:row>30</xdr:row>
      <xdr:rowOff>4324</xdr:rowOff>
    </xdr:to>
    <xdr:sp macro="" textlink="">
      <xdr:nvSpPr>
        <xdr:cNvPr id="2" name="Rounded Rectangle 1">
          <a:extLst>
            <a:ext uri="{FF2B5EF4-FFF2-40B4-BE49-F238E27FC236}">
              <a16:creationId xmlns:a16="http://schemas.microsoft.com/office/drawing/2014/main" id="{3A332E74-A4B6-4FA5-FFCF-06FF456CCA22}"/>
            </a:ext>
          </a:extLst>
        </xdr:cNvPr>
        <xdr:cNvSpPr/>
      </xdr:nvSpPr>
      <xdr:spPr>
        <a:xfrm>
          <a:off x="863599" y="7101551"/>
          <a:ext cx="21770553" cy="1318640"/>
        </a:xfrm>
        <a:prstGeom prst="roundRect">
          <a:avLst>
            <a:gd name="adj" fmla="val 17427"/>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2000" b="1" i="0" u="none" strike="noStrike" kern="0" cap="none" spc="0" normalizeH="0" baseline="0">
              <a:ln>
                <a:noFill/>
              </a:ln>
              <a:solidFill>
                <a:schemeClr val="tx1"/>
              </a:solidFill>
              <a:effectLst/>
              <a:uLnTx/>
              <a:uFillTx/>
              <a:latin typeface="Arial" panose="020B0604020202020204" pitchFamily="34" charset="0"/>
              <a:ea typeface="+mn-ea"/>
              <a:cs typeface="Arial" panose="020B0604020202020204" pitchFamily="34" charset="0"/>
            </a:rPr>
            <a:t>Shipped slurry information</a:t>
          </a:r>
        </a:p>
      </xdr:txBody>
    </xdr:sp>
    <xdr:clientData/>
  </xdr:twoCellAnchor>
  <xdr:twoCellAnchor>
    <xdr:from>
      <xdr:col>0</xdr:col>
      <xdr:colOff>792075</xdr:colOff>
      <xdr:row>41</xdr:row>
      <xdr:rowOff>45911</xdr:rowOff>
    </xdr:from>
    <xdr:to>
      <xdr:col>11</xdr:col>
      <xdr:colOff>138598</xdr:colOff>
      <xdr:row>44</xdr:row>
      <xdr:rowOff>303284</xdr:rowOff>
    </xdr:to>
    <xdr:sp macro="" textlink="">
      <xdr:nvSpPr>
        <xdr:cNvPr id="5" name="Rounded Rectangle 4">
          <a:extLst>
            <a:ext uri="{FF2B5EF4-FFF2-40B4-BE49-F238E27FC236}">
              <a16:creationId xmlns:a16="http://schemas.microsoft.com/office/drawing/2014/main" id="{C74D5BCC-04A7-8EF5-59B1-D18294A8170B}"/>
            </a:ext>
          </a:extLst>
        </xdr:cNvPr>
        <xdr:cNvSpPr/>
      </xdr:nvSpPr>
      <xdr:spPr>
        <a:xfrm>
          <a:off x="792075" y="15285911"/>
          <a:ext cx="24386374" cy="1224089"/>
        </a:xfrm>
        <a:prstGeom prst="roundRect">
          <a:avLst>
            <a:gd name="adj" fmla="val 17427"/>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2000" b="1" i="0" u="none" strike="noStrike" kern="0" cap="none" spc="0" normalizeH="0" baseline="0">
              <a:ln>
                <a:noFill/>
              </a:ln>
              <a:solidFill>
                <a:schemeClr val="tx1"/>
              </a:solidFill>
              <a:effectLst/>
              <a:uLnTx/>
              <a:uFillTx/>
              <a:latin typeface="Arial" panose="020B0604020202020204" pitchFamily="34" charset="0"/>
              <a:ea typeface="+mn-ea"/>
              <a:cs typeface="Arial" panose="020B0604020202020204" pitchFamily="34" charset="0"/>
            </a:rPr>
            <a:t>POU Slurry Calculations</a:t>
          </a:r>
        </a:p>
      </xdr:txBody>
    </xdr:sp>
    <xdr:clientData/>
  </xdr:twoCellAnchor>
  <xdr:twoCellAnchor>
    <xdr:from>
      <xdr:col>1</xdr:col>
      <xdr:colOff>1</xdr:colOff>
      <xdr:row>46</xdr:row>
      <xdr:rowOff>107628</xdr:rowOff>
    </xdr:from>
    <xdr:to>
      <xdr:col>5</xdr:col>
      <xdr:colOff>1571357</xdr:colOff>
      <xdr:row>49</xdr:row>
      <xdr:rowOff>0</xdr:rowOff>
    </xdr:to>
    <xdr:sp macro="" textlink="">
      <xdr:nvSpPr>
        <xdr:cNvPr id="6" name="Rounded Rectangle 5">
          <a:extLst>
            <a:ext uri="{FF2B5EF4-FFF2-40B4-BE49-F238E27FC236}">
              <a16:creationId xmlns:a16="http://schemas.microsoft.com/office/drawing/2014/main" id="{2E55D8A0-F2CE-4B4E-F2A3-ACFEFFB18838}"/>
            </a:ext>
          </a:extLst>
        </xdr:cNvPr>
        <xdr:cNvSpPr/>
      </xdr:nvSpPr>
      <xdr:spPr>
        <a:xfrm>
          <a:off x="817967" y="16337797"/>
          <a:ext cx="14809492" cy="861017"/>
        </a:xfrm>
        <a:prstGeom prst="roundRect">
          <a:avLst>
            <a:gd name="adj" fmla="val 17427"/>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2000" b="1" i="0" u="none" strike="noStrike" kern="0" cap="none" spc="0" normalizeH="0" baseline="0">
              <a:ln>
                <a:noFill/>
              </a:ln>
              <a:solidFill>
                <a:schemeClr val="tx1"/>
              </a:solidFill>
              <a:effectLst/>
              <a:uLnTx/>
              <a:uFillTx/>
              <a:latin typeface="Arial" panose="020B0604020202020204" pitchFamily="34" charset="0"/>
              <a:ea typeface="+mn-ea"/>
              <a:cs typeface="Arial" panose="020B0604020202020204" pitchFamily="34" charset="0"/>
            </a:rPr>
            <a:t>CO2 eq Emissions due to slurry manufacturing</a:t>
          </a:r>
        </a:p>
      </xdr:txBody>
    </xdr:sp>
    <xdr:clientData/>
  </xdr:twoCellAnchor>
  <xdr:twoCellAnchor>
    <xdr:from>
      <xdr:col>1</xdr:col>
      <xdr:colOff>1</xdr:colOff>
      <xdr:row>58</xdr:row>
      <xdr:rowOff>279831</xdr:rowOff>
    </xdr:from>
    <xdr:to>
      <xdr:col>5</xdr:col>
      <xdr:colOff>1571357</xdr:colOff>
      <xdr:row>61</xdr:row>
      <xdr:rowOff>172204</xdr:rowOff>
    </xdr:to>
    <xdr:sp macro="" textlink="">
      <xdr:nvSpPr>
        <xdr:cNvPr id="7" name="Rounded Rectangle 6">
          <a:extLst>
            <a:ext uri="{FF2B5EF4-FFF2-40B4-BE49-F238E27FC236}">
              <a16:creationId xmlns:a16="http://schemas.microsoft.com/office/drawing/2014/main" id="{146612FD-70C8-0D9E-2AD3-51E188AB7DE5}"/>
            </a:ext>
          </a:extLst>
        </xdr:cNvPr>
        <xdr:cNvSpPr/>
      </xdr:nvSpPr>
      <xdr:spPr>
        <a:xfrm>
          <a:off x="817967" y="22085085"/>
          <a:ext cx="14809492" cy="861017"/>
        </a:xfrm>
        <a:prstGeom prst="roundRect">
          <a:avLst>
            <a:gd name="adj" fmla="val 17427"/>
          </a:avLst>
        </a:prstGeom>
        <a:solidFill>
          <a:srgbClr val="6CAF67">
            <a:lumMod val="60000"/>
            <a:lumOff val="40000"/>
          </a:srgbClr>
        </a:solidFill>
        <a:ln w="25400" cap="flat" cmpd="sng" algn="ctr">
          <a:noFill/>
          <a:prstDash val="solid"/>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2000" b="1" i="0" u="none" strike="noStrike" kern="0" cap="none" spc="0" normalizeH="0" baseline="0">
              <a:ln>
                <a:noFill/>
              </a:ln>
              <a:solidFill>
                <a:schemeClr val="tx1"/>
              </a:solidFill>
              <a:effectLst/>
              <a:uLnTx/>
              <a:uFillTx/>
              <a:latin typeface="Arial" panose="020B0604020202020204" pitchFamily="34" charset="0"/>
              <a:ea typeface="+mn-ea"/>
              <a:cs typeface="Arial" panose="020B0604020202020204" pitchFamily="34" charset="0"/>
            </a:rPr>
            <a:t>Total Water Use(Manufacturing + POU)</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1</xdr:col>
      <xdr:colOff>809625</xdr:colOff>
      <xdr:row>4</xdr:row>
      <xdr:rowOff>266700</xdr:rowOff>
    </xdr:from>
    <xdr:to>
      <xdr:col>1</xdr:col>
      <xdr:colOff>3400425</xdr:colOff>
      <xdr:row>4</xdr:row>
      <xdr:rowOff>685800</xdr:rowOff>
    </xdr:to>
    <xdr:sp macro="" textlink="">
      <xdr:nvSpPr>
        <xdr:cNvPr id="2" name="Rounded Rectangle 1" descr="Navigation button for Inventory list worksheet">
          <a:hlinkClick xmlns:r="http://schemas.openxmlformats.org/officeDocument/2006/relationships" r:id="rId1"/>
          <a:extLst>
            <a:ext uri="{FF2B5EF4-FFF2-40B4-BE49-F238E27FC236}">
              <a16:creationId xmlns:a16="http://schemas.microsoft.com/office/drawing/2014/main" id="{810B983D-0FA5-1542-9217-7156027FDB1E}"/>
            </a:ext>
          </a:extLst>
        </xdr:cNvPr>
        <xdr:cNvSpPr/>
      </xdr:nvSpPr>
      <xdr:spPr>
        <a:xfrm>
          <a:off x="1241425" y="2730500"/>
          <a:ext cx="2590800" cy="419100"/>
        </a:xfrm>
        <a:prstGeom prst="roundRect">
          <a:avLst>
            <a:gd name="adj" fmla="val 50000"/>
          </a:avLst>
        </a:prstGeom>
        <a:solidFill>
          <a:schemeClr val="accent1">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0" i="0" baseline="0">
              <a:solidFill>
                <a:schemeClr val="tx1"/>
              </a:solidFill>
              <a:latin typeface="+mn-lt"/>
            </a:rPr>
            <a:t>State Output emission</a:t>
          </a:r>
        </a:p>
      </xdr:txBody>
    </xdr:sp>
    <xdr:clientData/>
  </xdr:twoCellAnchor>
  <xdr:twoCellAnchor>
    <xdr:from>
      <xdr:col>1</xdr:col>
      <xdr:colOff>796925</xdr:colOff>
      <xdr:row>4</xdr:row>
      <xdr:rowOff>914400</xdr:rowOff>
    </xdr:from>
    <xdr:to>
      <xdr:col>1</xdr:col>
      <xdr:colOff>3387725</xdr:colOff>
      <xdr:row>4</xdr:row>
      <xdr:rowOff>1333500</xdr:rowOff>
    </xdr:to>
    <xdr:sp macro="" textlink="">
      <xdr:nvSpPr>
        <xdr:cNvPr id="3" name="Rounded Rectangle 2" descr="Navigation button for Lookup worksheet">
          <a:hlinkClick xmlns:r="http://schemas.openxmlformats.org/officeDocument/2006/relationships" r:id="rId2"/>
          <a:extLst>
            <a:ext uri="{FF2B5EF4-FFF2-40B4-BE49-F238E27FC236}">
              <a16:creationId xmlns:a16="http://schemas.microsoft.com/office/drawing/2014/main" id="{834FE692-74E8-5F49-A6F5-81A8E2E3E82C}"/>
            </a:ext>
          </a:extLst>
        </xdr:cNvPr>
        <xdr:cNvSpPr/>
      </xdr:nvSpPr>
      <xdr:spPr>
        <a:xfrm>
          <a:off x="1228725" y="3378200"/>
          <a:ext cx="2590800" cy="419100"/>
        </a:xfrm>
        <a:prstGeom prst="roundRect">
          <a:avLst>
            <a:gd name="adj" fmla="val 50000"/>
          </a:avLst>
        </a:prstGeom>
        <a:solidFill>
          <a:schemeClr val="accent1">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0" i="0" baseline="0">
              <a:solidFill>
                <a:schemeClr val="tx1"/>
              </a:solidFill>
              <a:latin typeface="+mn-lt"/>
            </a:rPr>
            <a:t>Solvents</a:t>
          </a:r>
        </a:p>
      </xdr:txBody>
    </xdr:sp>
    <xdr:clientData/>
  </xdr:twoCellAnchor>
  <xdr:twoCellAnchor>
    <xdr:from>
      <xdr:col>1</xdr:col>
      <xdr:colOff>809625</xdr:colOff>
      <xdr:row>4</xdr:row>
      <xdr:rowOff>1600200</xdr:rowOff>
    </xdr:from>
    <xdr:to>
      <xdr:col>1</xdr:col>
      <xdr:colOff>3400425</xdr:colOff>
      <xdr:row>4</xdr:row>
      <xdr:rowOff>2019300</xdr:rowOff>
    </xdr:to>
    <xdr:sp macro="" textlink="">
      <xdr:nvSpPr>
        <xdr:cNvPr id="4" name="Rounded Rectangle 3" descr="Navigation button for Conditional formatting worksheet">
          <a:hlinkClick xmlns:r="http://schemas.openxmlformats.org/officeDocument/2006/relationships" r:id="rId3"/>
          <a:extLst>
            <a:ext uri="{FF2B5EF4-FFF2-40B4-BE49-F238E27FC236}">
              <a16:creationId xmlns:a16="http://schemas.microsoft.com/office/drawing/2014/main" id="{A6A86895-48B7-BB42-B360-0BF6281600B4}"/>
            </a:ext>
          </a:extLst>
        </xdr:cNvPr>
        <xdr:cNvSpPr/>
      </xdr:nvSpPr>
      <xdr:spPr>
        <a:xfrm>
          <a:off x="1241425" y="4064000"/>
          <a:ext cx="2590800" cy="419100"/>
        </a:xfrm>
        <a:prstGeom prst="roundRect">
          <a:avLst>
            <a:gd name="adj" fmla="val 50000"/>
          </a:avLst>
        </a:prstGeom>
        <a:solidFill>
          <a:schemeClr val="accent1">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0" i="0" baseline="0">
              <a:solidFill>
                <a:schemeClr val="tx1"/>
              </a:solidFill>
              <a:latin typeface="+mn-lt"/>
            </a:rPr>
            <a:t>GHGs</a:t>
          </a:r>
        </a:p>
      </xdr:txBody>
    </xdr:sp>
    <xdr:clientData/>
  </xdr:twoCellAnchor>
  <xdr:twoCellAnchor>
    <xdr:from>
      <xdr:col>1</xdr:col>
      <xdr:colOff>3654425</xdr:colOff>
      <xdr:row>4</xdr:row>
      <xdr:rowOff>279400</xdr:rowOff>
    </xdr:from>
    <xdr:to>
      <xdr:col>1</xdr:col>
      <xdr:colOff>6245225</xdr:colOff>
      <xdr:row>4</xdr:row>
      <xdr:rowOff>698500</xdr:rowOff>
    </xdr:to>
    <xdr:sp macro="" textlink="">
      <xdr:nvSpPr>
        <xdr:cNvPr id="5" name="Rounded Rectangle 4" descr="Navigation button for Inventory pickup list worksheet">
          <a:hlinkClick xmlns:r="http://schemas.openxmlformats.org/officeDocument/2006/relationships" r:id="rId4"/>
          <a:extLst>
            <a:ext uri="{FF2B5EF4-FFF2-40B4-BE49-F238E27FC236}">
              <a16:creationId xmlns:a16="http://schemas.microsoft.com/office/drawing/2014/main" id="{2805025F-B87A-C749-BE82-A1E6195003C3}"/>
            </a:ext>
          </a:extLst>
        </xdr:cNvPr>
        <xdr:cNvSpPr/>
      </xdr:nvSpPr>
      <xdr:spPr>
        <a:xfrm>
          <a:off x="4086225" y="2743200"/>
          <a:ext cx="2590800" cy="419100"/>
        </a:xfrm>
        <a:prstGeom prst="roundRect">
          <a:avLst>
            <a:gd name="adj" fmla="val 50000"/>
          </a:avLst>
        </a:prstGeom>
        <a:solidFill>
          <a:schemeClr val="accent1">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0" i="0">
              <a:solidFill>
                <a:schemeClr val="tx1"/>
              </a:solidFill>
              <a:latin typeface="+mn-lt"/>
            </a:rPr>
            <a:t>All_Equipment</a:t>
          </a:r>
        </a:p>
      </xdr:txBody>
    </xdr:sp>
    <xdr:clientData/>
  </xdr:twoCellAnchor>
  <xdr:twoCellAnchor>
    <xdr:from>
      <xdr:col>1</xdr:col>
      <xdr:colOff>3641725</xdr:colOff>
      <xdr:row>4</xdr:row>
      <xdr:rowOff>927100</xdr:rowOff>
    </xdr:from>
    <xdr:to>
      <xdr:col>1</xdr:col>
      <xdr:colOff>6232525</xdr:colOff>
      <xdr:row>4</xdr:row>
      <xdr:rowOff>1346200</xdr:rowOff>
    </xdr:to>
    <xdr:sp macro="" textlink="">
      <xdr:nvSpPr>
        <xdr:cNvPr id="6" name="Rounded Rectangle 5" descr="Navigation button for Navigation links worksheet">
          <a:hlinkClick xmlns:r="http://schemas.openxmlformats.org/officeDocument/2006/relationships" r:id="rId5"/>
          <a:extLst>
            <a:ext uri="{FF2B5EF4-FFF2-40B4-BE49-F238E27FC236}">
              <a16:creationId xmlns:a16="http://schemas.microsoft.com/office/drawing/2014/main" id="{E4846D2E-8894-1344-BF3C-CAF101C71BAF}"/>
            </a:ext>
          </a:extLst>
        </xdr:cNvPr>
        <xdr:cNvSpPr/>
      </xdr:nvSpPr>
      <xdr:spPr>
        <a:xfrm>
          <a:off x="4073525" y="3390900"/>
          <a:ext cx="2590800" cy="419100"/>
        </a:xfrm>
        <a:prstGeom prst="roundRect">
          <a:avLst>
            <a:gd name="adj" fmla="val 50000"/>
          </a:avLst>
        </a:prstGeom>
        <a:solidFill>
          <a:schemeClr val="accent1">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0" i="0" baseline="0">
              <a:solidFill>
                <a:schemeClr val="tx1"/>
              </a:solidFill>
              <a:latin typeface="+mn-lt"/>
            </a:rPr>
            <a:t>Precursors Chemicals</a:t>
          </a:r>
        </a:p>
      </xdr:txBody>
    </xdr:sp>
    <xdr:clientData/>
  </xdr:twoCellAnchor>
  <xdr:twoCellAnchor>
    <xdr:from>
      <xdr:col>1</xdr:col>
      <xdr:colOff>3654425</xdr:colOff>
      <xdr:row>4</xdr:row>
      <xdr:rowOff>1612900</xdr:rowOff>
    </xdr:from>
    <xdr:to>
      <xdr:col>1</xdr:col>
      <xdr:colOff>6245225</xdr:colOff>
      <xdr:row>4</xdr:row>
      <xdr:rowOff>2032000</xdr:rowOff>
    </xdr:to>
    <xdr:sp macro="" textlink="">
      <xdr:nvSpPr>
        <xdr:cNvPr id="7" name="Rounded Rectangle 6" descr="Navigation button for Icon sets worksheet">
          <a:hlinkClick xmlns:r="http://schemas.openxmlformats.org/officeDocument/2006/relationships" r:id="rId6"/>
          <a:extLst>
            <a:ext uri="{FF2B5EF4-FFF2-40B4-BE49-F238E27FC236}">
              <a16:creationId xmlns:a16="http://schemas.microsoft.com/office/drawing/2014/main" id="{BB019B45-8D7B-DE49-856D-60197599E026}"/>
            </a:ext>
          </a:extLst>
        </xdr:cNvPr>
        <xdr:cNvSpPr/>
      </xdr:nvSpPr>
      <xdr:spPr>
        <a:xfrm>
          <a:off x="4086225" y="4076700"/>
          <a:ext cx="2590800" cy="419100"/>
        </a:xfrm>
        <a:prstGeom prst="roundRect">
          <a:avLst>
            <a:gd name="adj" fmla="val 50000"/>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0" i="0" baseline="0">
              <a:solidFill>
                <a:schemeClr val="tx1"/>
              </a:solidFill>
              <a:latin typeface="+mn-lt"/>
            </a:rPr>
            <a:t>All_Process_time</a:t>
          </a:r>
        </a:p>
      </xdr:txBody>
    </xdr:sp>
    <xdr:clientData/>
  </xdr:twoCellAnchor>
  <xdr:twoCellAnchor>
    <xdr:from>
      <xdr:col>1</xdr:col>
      <xdr:colOff>2181225</xdr:colOff>
      <xdr:row>4</xdr:row>
      <xdr:rowOff>2311400</xdr:rowOff>
    </xdr:from>
    <xdr:to>
      <xdr:col>1</xdr:col>
      <xdr:colOff>4772025</xdr:colOff>
      <xdr:row>4</xdr:row>
      <xdr:rowOff>2730500</xdr:rowOff>
    </xdr:to>
    <xdr:sp macro="" textlink="">
      <xdr:nvSpPr>
        <xdr:cNvPr id="8" name="Rounded Rectangle 7" descr="Navigation button for Learn more worksheet">
          <a:extLst>
            <a:ext uri="{FF2B5EF4-FFF2-40B4-BE49-F238E27FC236}">
              <a16:creationId xmlns:a16="http://schemas.microsoft.com/office/drawing/2014/main" id="{282B6F86-E455-D54B-89B8-BE24F9EC185C}"/>
            </a:ext>
          </a:extLst>
        </xdr:cNvPr>
        <xdr:cNvSpPr/>
      </xdr:nvSpPr>
      <xdr:spPr>
        <a:xfrm>
          <a:off x="2613025" y="4775200"/>
          <a:ext cx="2590800" cy="419100"/>
        </a:xfrm>
        <a:prstGeom prst="roundRect">
          <a:avLst>
            <a:gd name="adj" fmla="val 50000"/>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0" i="0" baseline="0">
              <a:solidFill>
                <a:schemeClr val="tx1"/>
              </a:solidFill>
              <a:latin typeface="+mn-lt"/>
            </a:rPr>
            <a:t>Process Yields</a:t>
          </a:r>
        </a:p>
      </xdr:txBody>
    </xdr:sp>
    <xdr:clientData/>
  </xdr:twoCellAnchor>
  <xdr:twoCellAnchor editAs="oneCell">
    <xdr:from>
      <xdr:col>3</xdr:col>
      <xdr:colOff>377178</xdr:colOff>
      <xdr:row>1</xdr:row>
      <xdr:rowOff>457200</xdr:rowOff>
    </xdr:from>
    <xdr:to>
      <xdr:col>12</xdr:col>
      <xdr:colOff>143522</xdr:colOff>
      <xdr:row>4</xdr:row>
      <xdr:rowOff>2511208</xdr:rowOff>
    </xdr:to>
    <xdr:pic>
      <xdr:nvPicPr>
        <xdr:cNvPr id="9" name="Picture 8">
          <a:extLst>
            <a:ext uri="{FF2B5EF4-FFF2-40B4-BE49-F238E27FC236}">
              <a16:creationId xmlns:a16="http://schemas.microsoft.com/office/drawing/2014/main" id="{4A02F3D6-3AC0-8646-BC42-097091715B6F}"/>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rcRect/>
        <a:stretch/>
      </xdr:blipFill>
      <xdr:spPr>
        <a:xfrm>
          <a:off x="8390878" y="838200"/>
          <a:ext cx="8110244" cy="4136808"/>
        </a:xfrm>
        <a:prstGeom prst="rect">
          <a:avLst/>
        </a:prstGeom>
        <a:ln>
          <a:noFill/>
        </a:ln>
        <a:effectLst>
          <a:outerShdw blurRad="292100" dist="139700" dir="2700000" algn="tl" rotWithShape="0">
            <a:srgbClr val="333333">
              <a:alpha val="65000"/>
            </a:srgbClr>
          </a:outerShdw>
        </a:effectLst>
      </xdr:spPr>
    </xdr:pic>
    <xdr:clientData/>
  </xdr:twoCellAnchor>
</xdr:wsDr>
</file>

<file path=xl/drawings/drawing13.xml><?xml version="1.0" encoding="utf-8"?>
<xdr:wsDr xmlns:xdr="http://schemas.openxmlformats.org/drawingml/2006/spreadsheetDrawing" xmlns:a="http://schemas.openxmlformats.org/drawingml/2006/main">
  <xdr:twoCellAnchor>
    <xdr:from>
      <xdr:col>1</xdr:col>
      <xdr:colOff>50800</xdr:colOff>
      <xdr:row>57</xdr:row>
      <xdr:rowOff>76200</xdr:rowOff>
    </xdr:from>
    <xdr:to>
      <xdr:col>11</xdr:col>
      <xdr:colOff>973667</xdr:colOff>
      <xdr:row>91</xdr:row>
      <xdr:rowOff>84668</xdr:rowOff>
    </xdr:to>
    <mc:AlternateContent xmlns:mc="http://schemas.openxmlformats.org/markup-compatibility/2006">
      <mc:Choice xmlns:cx6="http://schemas.microsoft.com/office/drawing/2016/5/12/chartex" Requires="cx6">
        <xdr:graphicFrame macro="">
          <xdr:nvGraphicFramePr>
            <xdr:cNvPr id="2" name="Chart 1">
              <a:extLst>
                <a:ext uri="{FF2B5EF4-FFF2-40B4-BE49-F238E27FC236}">
                  <a16:creationId xmlns:a16="http://schemas.microsoft.com/office/drawing/2014/main" id="{9BDCAC2F-2E2A-3E45-90A1-75B885A2ABA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90500" y="9740900"/>
              <a:ext cx="11768667" cy="605366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8</xdr:col>
      <xdr:colOff>431801</xdr:colOff>
      <xdr:row>0</xdr:row>
      <xdr:rowOff>50801</xdr:rowOff>
    </xdr:from>
    <xdr:to>
      <xdr:col>9</xdr:col>
      <xdr:colOff>292100</xdr:colOff>
      <xdr:row>2</xdr:row>
      <xdr:rowOff>99148</xdr:rowOff>
    </xdr:to>
    <xdr:pic>
      <xdr:nvPicPr>
        <xdr:cNvPr id="4" name="Picture 3">
          <a:hlinkClick xmlns:r="http://schemas.openxmlformats.org/officeDocument/2006/relationships" r:id="rId2"/>
          <a:extLst>
            <a:ext uri="{FF2B5EF4-FFF2-40B4-BE49-F238E27FC236}">
              <a16:creationId xmlns:a16="http://schemas.microsoft.com/office/drawing/2014/main" id="{18BA0A1A-D5DE-294F-BB19-37B3725E8FE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480301" y="50801"/>
          <a:ext cx="888999" cy="454747"/>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3</xdr:col>
      <xdr:colOff>0</xdr:colOff>
      <xdr:row>9</xdr:row>
      <xdr:rowOff>152400</xdr:rowOff>
    </xdr:from>
    <xdr:to>
      <xdr:col>16</xdr:col>
      <xdr:colOff>330200</xdr:colOff>
      <xdr:row>40</xdr:row>
      <xdr:rowOff>165100</xdr:rowOff>
    </xdr:to>
    <xdr:graphicFrame macro="">
      <xdr:nvGraphicFramePr>
        <xdr:cNvPr id="2" name="ChartObject">
          <a:extLst>
            <a:ext uri="{FF2B5EF4-FFF2-40B4-BE49-F238E27FC236}">
              <a16:creationId xmlns:a16="http://schemas.microsoft.com/office/drawing/2014/main" id="{A041F43E-CD1A-EC4A-A698-46B71B6659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3</xdr:row>
      <xdr:rowOff>0</xdr:rowOff>
    </xdr:from>
    <xdr:to>
      <xdr:col>19</xdr:col>
      <xdr:colOff>66400</xdr:colOff>
      <xdr:row>6</xdr:row>
      <xdr:rowOff>15300</xdr:rowOff>
    </xdr:to>
    <xdr:sp macro="" textlink="">
      <xdr:nvSpPr>
        <xdr:cNvPr id="3" name="New shape">
          <a:extLst>
            <a:ext uri="{FF2B5EF4-FFF2-40B4-BE49-F238E27FC236}">
              <a16:creationId xmlns:a16="http://schemas.microsoft.com/office/drawing/2014/main" id="{AD141A05-F640-AF3E-284E-AB0F6547786F}"/>
            </a:ext>
          </a:extLst>
        </xdr:cNvPr>
        <xdr:cNvSpPr/>
      </xdr:nvSpPr>
      <xdr:spPr>
        <a:xfrm>
          <a:off x="2019300" y="571500"/>
          <a:ext cx="10836000" cy="5868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lIns="90000" tIns="46800" rIns="90000" bIns="46800" rtlCol="0" anchor="b">
          <a:normAutofit fontScale="57500" lnSpcReduction="20000"/>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lnSpc>
              <a:spcPct val="100000"/>
            </a:lnSpc>
            <a:spcAft>
              <a:spcPct val="20000"/>
            </a:spcAft>
          </a:pPr>
          <a:r>
            <a:rPr sz="3200">
              <a:solidFill>
                <a:srgbClr val="0A85E6"/>
              </a:solidFill>
              <a:latin typeface="Open Sans Light"/>
            </a:rPr>
            <a:t>Annual anomalies in global land and ocean surface temperature from 1880 to 2023, based on temperature departure (in degrees Celsius)</a:t>
          </a:r>
        </a:p>
      </xdr:txBody>
    </xdr:sp>
    <xdr:clientData/>
  </xdr:twoCellAnchor>
  <xdr:twoCellAnchor>
    <xdr:from>
      <xdr:col>3</xdr:col>
      <xdr:colOff>210939</xdr:colOff>
      <xdr:row>7</xdr:row>
      <xdr:rowOff>45665</xdr:rowOff>
    </xdr:from>
    <xdr:to>
      <xdr:col>19</xdr:col>
      <xdr:colOff>277339</xdr:colOff>
      <xdr:row>8</xdr:row>
      <xdr:rowOff>182765</xdr:rowOff>
    </xdr:to>
    <xdr:sp macro="" textlink="">
      <xdr:nvSpPr>
        <xdr:cNvPr id="4" name="New shape">
          <a:extLst>
            <a:ext uri="{FF2B5EF4-FFF2-40B4-BE49-F238E27FC236}">
              <a16:creationId xmlns:a16="http://schemas.microsoft.com/office/drawing/2014/main" id="{C71B6878-C7EE-C94F-3C33-9833B6336AEC}"/>
            </a:ext>
          </a:extLst>
        </xdr:cNvPr>
        <xdr:cNvSpPr/>
      </xdr:nvSpPr>
      <xdr:spPr>
        <a:xfrm>
          <a:off x="2230239" y="1379165"/>
          <a:ext cx="10836000" cy="3276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lIns="90000" tIns="46800" rIns="90000" bIns="46800" rtlCol="0" anchor="t">
          <a:normAutofit lnSpcReduction="20000"/>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lnSpc>
              <a:spcPct val="100000"/>
            </a:lnSpc>
            <a:spcAft>
              <a:spcPct val="20000"/>
            </a:spcAft>
          </a:pPr>
          <a:r>
            <a:rPr sz="1600">
              <a:solidFill>
                <a:srgbClr val="919191"/>
              </a:solidFill>
              <a:latin typeface="Open Sans"/>
            </a:rPr>
            <a:t>Global land and ocean temperature anomalies 1880-2023</a:t>
          </a: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0</xdr:col>
      <xdr:colOff>272198</xdr:colOff>
      <xdr:row>0</xdr:row>
      <xdr:rowOff>78056</xdr:rowOff>
    </xdr:from>
    <xdr:to>
      <xdr:col>22</xdr:col>
      <xdr:colOff>25400</xdr:colOff>
      <xdr:row>6</xdr:row>
      <xdr:rowOff>101599</xdr:rowOff>
    </xdr:to>
    <xdr:sp macro="" textlink="">
      <xdr:nvSpPr>
        <xdr:cNvPr id="2" name="Title">
          <a:extLst>
            <a:ext uri="{FF2B5EF4-FFF2-40B4-BE49-F238E27FC236}">
              <a16:creationId xmlns:a16="http://schemas.microsoft.com/office/drawing/2014/main" id="{56ED3272-3E9E-6442-B4E3-188289A87DDC}"/>
            </a:ext>
          </a:extLst>
        </xdr:cNvPr>
        <xdr:cNvSpPr/>
      </xdr:nvSpPr>
      <xdr:spPr>
        <a:xfrm>
          <a:off x="272198" y="78056"/>
          <a:ext cx="19755702" cy="1242743"/>
        </a:xfrm>
        <a:prstGeom prst="rect">
          <a:avLst/>
        </a:prstGeom>
        <a:solidFill>
          <a:srgbClr val="004F4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4000"/>
        </a:p>
      </xdr:txBody>
    </xdr:sp>
    <xdr:clientData/>
  </xdr:twoCellAnchor>
  <xdr:twoCellAnchor>
    <xdr:from>
      <xdr:col>0</xdr:col>
      <xdr:colOff>0</xdr:colOff>
      <xdr:row>0</xdr:row>
      <xdr:rowOff>78054</xdr:rowOff>
    </xdr:from>
    <xdr:to>
      <xdr:col>0</xdr:col>
      <xdr:colOff>304800</xdr:colOff>
      <xdr:row>6</xdr:row>
      <xdr:rowOff>88899</xdr:rowOff>
    </xdr:to>
    <xdr:sp macro="" textlink="">
      <xdr:nvSpPr>
        <xdr:cNvPr id="3" name="_Yellow">
          <a:extLst>
            <a:ext uri="{FF2B5EF4-FFF2-40B4-BE49-F238E27FC236}">
              <a16:creationId xmlns:a16="http://schemas.microsoft.com/office/drawing/2014/main" id="{42AD81A0-F133-FB40-A393-6DF96E649A90}"/>
            </a:ext>
          </a:extLst>
        </xdr:cNvPr>
        <xdr:cNvSpPr/>
      </xdr:nvSpPr>
      <xdr:spPr>
        <a:xfrm>
          <a:off x="0" y="78054"/>
          <a:ext cx="292100" cy="1230045"/>
        </a:xfrm>
        <a:prstGeom prst="rect">
          <a:avLst/>
        </a:prstGeom>
        <a:solidFill>
          <a:srgbClr val="FFCD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editAs="oneCell">
    <xdr:from>
      <xdr:col>20</xdr:col>
      <xdr:colOff>173651</xdr:colOff>
      <xdr:row>0</xdr:row>
      <xdr:rowOff>127000</xdr:rowOff>
    </xdr:from>
    <xdr:to>
      <xdr:col>21</xdr:col>
      <xdr:colOff>605225</xdr:colOff>
      <xdr:row>6</xdr:row>
      <xdr:rowOff>76200</xdr:rowOff>
    </xdr:to>
    <xdr:pic>
      <xdr:nvPicPr>
        <xdr:cNvPr id="4" name="Clarkson Logo" descr="A logo with white text and black background&#10;&#10;Description automatically generated">
          <a:extLst>
            <a:ext uri="{FF2B5EF4-FFF2-40B4-BE49-F238E27FC236}">
              <a16:creationId xmlns:a16="http://schemas.microsoft.com/office/drawing/2014/main" id="{92B0705D-D5F5-274E-9912-EF14915933AA}"/>
            </a:ext>
          </a:extLst>
        </xdr:cNvPr>
        <xdr:cNvPicPr>
          <a:picLocks noChangeAspect="1"/>
        </xdr:cNvPicPr>
      </xdr:nvPicPr>
      <xdr:blipFill>
        <a:blip xmlns:r="http://schemas.openxmlformats.org/officeDocument/2006/relationships" r:embed="rId1">
          <a:alphaModFix amt="50000"/>
        </a:blip>
        <a:stretch>
          <a:fillRect/>
        </a:stretch>
      </xdr:blipFill>
      <xdr:spPr>
        <a:xfrm>
          <a:off x="18525151" y="127000"/>
          <a:ext cx="1257074" cy="1168400"/>
        </a:xfrm>
        <a:prstGeom prst="rect">
          <a:avLst/>
        </a:prstGeom>
      </xdr:spPr>
    </xdr:pic>
    <xdr:clientData/>
  </xdr:twoCellAnchor>
  <xdr:twoCellAnchor>
    <xdr:from>
      <xdr:col>0</xdr:col>
      <xdr:colOff>287708</xdr:colOff>
      <xdr:row>1</xdr:row>
      <xdr:rowOff>64576</xdr:rowOff>
    </xdr:from>
    <xdr:to>
      <xdr:col>17</xdr:col>
      <xdr:colOff>685799</xdr:colOff>
      <xdr:row>4</xdr:row>
      <xdr:rowOff>196141</xdr:rowOff>
    </xdr:to>
    <xdr:sp macro="" textlink="">
      <xdr:nvSpPr>
        <xdr:cNvPr id="5" name="sheet title">
          <a:extLst>
            <a:ext uri="{FF2B5EF4-FFF2-40B4-BE49-F238E27FC236}">
              <a16:creationId xmlns:a16="http://schemas.microsoft.com/office/drawing/2014/main" id="{4C028C3C-FADB-FE4D-873C-E761122FD10A}"/>
            </a:ext>
          </a:extLst>
        </xdr:cNvPr>
        <xdr:cNvSpPr txBox="1"/>
      </xdr:nvSpPr>
      <xdr:spPr>
        <a:xfrm>
          <a:off x="287708" y="267776"/>
          <a:ext cx="16273091" cy="74116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4400">
              <a:solidFill>
                <a:schemeClr val="bg1"/>
              </a:solidFill>
              <a:latin typeface="Arial" panose="020B0604020202020204" pitchFamily="34" charset="0"/>
              <a:cs typeface="Arial" panose="020B0604020202020204" pitchFamily="34" charset="0"/>
            </a:rPr>
            <a:t>Major</a:t>
          </a:r>
          <a:r>
            <a:rPr lang="en-US" sz="4400" baseline="0">
              <a:solidFill>
                <a:schemeClr val="bg1"/>
              </a:solidFill>
              <a:latin typeface="Arial" panose="020B0604020202020204" pitchFamily="34" charset="0"/>
              <a:cs typeface="Arial" panose="020B0604020202020204" pitchFamily="34" charset="0"/>
            </a:rPr>
            <a:t> solvents used slurry manufacturing processes</a:t>
          </a:r>
          <a:endParaRPr lang="en-US" sz="4400">
            <a:solidFill>
              <a:schemeClr val="bg1"/>
            </a:solidFill>
            <a:latin typeface="Arial" panose="020B0604020202020204" pitchFamily="34" charset="0"/>
            <a:cs typeface="Arial" panose="020B0604020202020204" pitchFamily="34" charset="0"/>
          </a:endParaRP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0</xdr:col>
      <xdr:colOff>272198</xdr:colOff>
      <xdr:row>0</xdr:row>
      <xdr:rowOff>78056</xdr:rowOff>
    </xdr:from>
    <xdr:to>
      <xdr:col>21</xdr:col>
      <xdr:colOff>25400</xdr:colOff>
      <xdr:row>6</xdr:row>
      <xdr:rowOff>101599</xdr:rowOff>
    </xdr:to>
    <xdr:sp macro="" textlink="">
      <xdr:nvSpPr>
        <xdr:cNvPr id="2" name="Title">
          <a:extLst>
            <a:ext uri="{FF2B5EF4-FFF2-40B4-BE49-F238E27FC236}">
              <a16:creationId xmlns:a16="http://schemas.microsoft.com/office/drawing/2014/main" id="{579A57F2-0892-E347-AACD-EBC2CA628B24}"/>
            </a:ext>
          </a:extLst>
        </xdr:cNvPr>
        <xdr:cNvSpPr/>
      </xdr:nvSpPr>
      <xdr:spPr>
        <a:xfrm>
          <a:off x="272198" y="78056"/>
          <a:ext cx="20835202" cy="1242743"/>
        </a:xfrm>
        <a:prstGeom prst="rect">
          <a:avLst/>
        </a:prstGeom>
        <a:solidFill>
          <a:srgbClr val="004F4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4000"/>
        </a:p>
      </xdr:txBody>
    </xdr:sp>
    <xdr:clientData/>
  </xdr:twoCellAnchor>
  <xdr:twoCellAnchor>
    <xdr:from>
      <xdr:col>0</xdr:col>
      <xdr:colOff>0</xdr:colOff>
      <xdr:row>0</xdr:row>
      <xdr:rowOff>78054</xdr:rowOff>
    </xdr:from>
    <xdr:to>
      <xdr:col>0</xdr:col>
      <xdr:colOff>304800</xdr:colOff>
      <xdr:row>6</xdr:row>
      <xdr:rowOff>88899</xdr:rowOff>
    </xdr:to>
    <xdr:sp macro="" textlink="">
      <xdr:nvSpPr>
        <xdr:cNvPr id="3" name="_Yellow">
          <a:extLst>
            <a:ext uri="{FF2B5EF4-FFF2-40B4-BE49-F238E27FC236}">
              <a16:creationId xmlns:a16="http://schemas.microsoft.com/office/drawing/2014/main" id="{D83378EF-B6CF-4241-A61A-BED2B52393F9}"/>
            </a:ext>
          </a:extLst>
        </xdr:cNvPr>
        <xdr:cNvSpPr/>
      </xdr:nvSpPr>
      <xdr:spPr>
        <a:xfrm>
          <a:off x="0" y="78054"/>
          <a:ext cx="292100" cy="1230045"/>
        </a:xfrm>
        <a:prstGeom prst="rect">
          <a:avLst/>
        </a:prstGeom>
        <a:solidFill>
          <a:srgbClr val="FFCD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editAs="oneCell">
    <xdr:from>
      <xdr:col>19</xdr:col>
      <xdr:colOff>173651</xdr:colOff>
      <xdr:row>0</xdr:row>
      <xdr:rowOff>127000</xdr:rowOff>
    </xdr:from>
    <xdr:to>
      <xdr:col>20</xdr:col>
      <xdr:colOff>605225</xdr:colOff>
      <xdr:row>6</xdr:row>
      <xdr:rowOff>76200</xdr:rowOff>
    </xdr:to>
    <xdr:pic>
      <xdr:nvPicPr>
        <xdr:cNvPr id="4" name="Clarkson Logo" descr="A logo with white text and black background&#10;&#10;Description automatically generated">
          <a:extLst>
            <a:ext uri="{FF2B5EF4-FFF2-40B4-BE49-F238E27FC236}">
              <a16:creationId xmlns:a16="http://schemas.microsoft.com/office/drawing/2014/main" id="{E85A1C2E-5591-B148-8674-FC60F9BF1953}"/>
            </a:ext>
          </a:extLst>
        </xdr:cNvPr>
        <xdr:cNvPicPr>
          <a:picLocks noChangeAspect="1"/>
        </xdr:cNvPicPr>
      </xdr:nvPicPr>
      <xdr:blipFill>
        <a:blip xmlns:r="http://schemas.openxmlformats.org/officeDocument/2006/relationships" r:embed="rId1">
          <a:alphaModFix amt="50000"/>
        </a:blip>
        <a:stretch>
          <a:fillRect/>
        </a:stretch>
      </xdr:blipFill>
      <xdr:spPr>
        <a:xfrm>
          <a:off x="19604651" y="127000"/>
          <a:ext cx="1257074" cy="1168400"/>
        </a:xfrm>
        <a:prstGeom prst="rect">
          <a:avLst/>
        </a:prstGeom>
      </xdr:spPr>
    </xdr:pic>
    <xdr:clientData/>
  </xdr:twoCellAnchor>
  <xdr:twoCellAnchor>
    <xdr:from>
      <xdr:col>0</xdr:col>
      <xdr:colOff>287708</xdr:colOff>
      <xdr:row>1</xdr:row>
      <xdr:rowOff>64576</xdr:rowOff>
    </xdr:from>
    <xdr:to>
      <xdr:col>16</xdr:col>
      <xdr:colOff>685799</xdr:colOff>
      <xdr:row>4</xdr:row>
      <xdr:rowOff>196141</xdr:rowOff>
    </xdr:to>
    <xdr:sp macro="" textlink="">
      <xdr:nvSpPr>
        <xdr:cNvPr id="5" name="sheet title">
          <a:extLst>
            <a:ext uri="{FF2B5EF4-FFF2-40B4-BE49-F238E27FC236}">
              <a16:creationId xmlns:a16="http://schemas.microsoft.com/office/drawing/2014/main" id="{4727CBCF-2A84-A548-8C54-B5FBEB29AB54}"/>
            </a:ext>
          </a:extLst>
        </xdr:cNvPr>
        <xdr:cNvSpPr txBox="1"/>
      </xdr:nvSpPr>
      <xdr:spPr>
        <a:xfrm>
          <a:off x="287708" y="267776"/>
          <a:ext cx="58030691" cy="74116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4400">
              <a:solidFill>
                <a:schemeClr val="bg1"/>
              </a:solidFill>
              <a:latin typeface="Arial" panose="020B0604020202020204" pitchFamily="34" charset="0"/>
              <a:cs typeface="Arial" panose="020B0604020202020204" pitchFamily="34" charset="0"/>
            </a:rPr>
            <a:t>Known </a:t>
          </a:r>
          <a:r>
            <a:rPr lang="en-US" sz="4400" baseline="0">
              <a:solidFill>
                <a:schemeClr val="bg1"/>
              </a:solidFill>
              <a:latin typeface="Arial" panose="020B0604020202020204" pitchFamily="34" charset="0"/>
              <a:cs typeface="Arial" panose="020B0604020202020204" pitchFamily="34" charset="0"/>
            </a:rPr>
            <a:t> Precurors</a:t>
          </a: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1</xdr:col>
      <xdr:colOff>312175</xdr:colOff>
      <xdr:row>0</xdr:row>
      <xdr:rowOff>0</xdr:rowOff>
    </xdr:from>
    <xdr:to>
      <xdr:col>17</xdr:col>
      <xdr:colOff>825500</xdr:colOff>
      <xdr:row>5</xdr:row>
      <xdr:rowOff>226743</xdr:rowOff>
    </xdr:to>
    <xdr:sp macro="" textlink="">
      <xdr:nvSpPr>
        <xdr:cNvPr id="2" name="Title">
          <a:extLst>
            <a:ext uri="{FF2B5EF4-FFF2-40B4-BE49-F238E27FC236}">
              <a16:creationId xmlns:a16="http://schemas.microsoft.com/office/drawing/2014/main" id="{7642847A-61C1-9645-8A71-AE32F42E7DBE}"/>
            </a:ext>
          </a:extLst>
        </xdr:cNvPr>
        <xdr:cNvSpPr/>
      </xdr:nvSpPr>
      <xdr:spPr>
        <a:xfrm>
          <a:off x="1150375" y="0"/>
          <a:ext cx="21493725" cy="1242743"/>
        </a:xfrm>
        <a:prstGeom prst="rect">
          <a:avLst/>
        </a:prstGeom>
        <a:solidFill>
          <a:srgbClr val="004F4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4000"/>
        </a:p>
      </xdr:txBody>
    </xdr:sp>
    <xdr:clientData/>
  </xdr:twoCellAnchor>
  <xdr:twoCellAnchor>
    <xdr:from>
      <xdr:col>0</xdr:col>
      <xdr:colOff>824544</xdr:colOff>
      <xdr:row>0</xdr:row>
      <xdr:rowOff>1912</xdr:rowOff>
    </xdr:from>
    <xdr:to>
      <xdr:col>1</xdr:col>
      <xdr:colOff>291144</xdr:colOff>
      <xdr:row>5</xdr:row>
      <xdr:rowOff>215957</xdr:rowOff>
    </xdr:to>
    <xdr:sp macro="" textlink="">
      <xdr:nvSpPr>
        <xdr:cNvPr id="3" name="_Yellow">
          <a:extLst>
            <a:ext uri="{FF2B5EF4-FFF2-40B4-BE49-F238E27FC236}">
              <a16:creationId xmlns:a16="http://schemas.microsoft.com/office/drawing/2014/main" id="{CD7FED8E-45F3-8F4B-9F39-D70D17B6F1C1}"/>
            </a:ext>
          </a:extLst>
        </xdr:cNvPr>
        <xdr:cNvSpPr/>
      </xdr:nvSpPr>
      <xdr:spPr>
        <a:xfrm>
          <a:off x="824544" y="1912"/>
          <a:ext cx="304800" cy="1230045"/>
        </a:xfrm>
        <a:prstGeom prst="rect">
          <a:avLst/>
        </a:prstGeom>
        <a:solidFill>
          <a:srgbClr val="FFCD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editAs="oneCell">
    <xdr:from>
      <xdr:col>16</xdr:col>
      <xdr:colOff>402251</xdr:colOff>
      <xdr:row>0</xdr:row>
      <xdr:rowOff>36246</xdr:rowOff>
    </xdr:from>
    <xdr:to>
      <xdr:col>16</xdr:col>
      <xdr:colOff>1667792</xdr:colOff>
      <xdr:row>5</xdr:row>
      <xdr:rowOff>188646</xdr:rowOff>
    </xdr:to>
    <xdr:pic>
      <xdr:nvPicPr>
        <xdr:cNvPr id="4" name="Clarkson Logo" descr="A logo with white text and black background&#10;&#10;Description automatically generated">
          <a:extLst>
            <a:ext uri="{FF2B5EF4-FFF2-40B4-BE49-F238E27FC236}">
              <a16:creationId xmlns:a16="http://schemas.microsoft.com/office/drawing/2014/main" id="{1E381FAC-0AA8-8D4B-89AD-FAFB2B1206F1}"/>
            </a:ext>
          </a:extLst>
        </xdr:cNvPr>
        <xdr:cNvPicPr>
          <a:picLocks noChangeAspect="1"/>
        </xdr:cNvPicPr>
      </xdr:nvPicPr>
      <xdr:blipFill>
        <a:blip xmlns:r="http://schemas.openxmlformats.org/officeDocument/2006/relationships" r:embed="rId1">
          <a:alphaModFix amt="50000"/>
        </a:blip>
        <a:stretch>
          <a:fillRect/>
        </a:stretch>
      </xdr:blipFill>
      <xdr:spPr>
        <a:xfrm>
          <a:off x="21382651" y="36246"/>
          <a:ext cx="1257074" cy="1168400"/>
        </a:xfrm>
        <a:prstGeom prst="rect">
          <a:avLst/>
        </a:prstGeom>
      </xdr:spPr>
    </xdr:pic>
    <xdr:clientData/>
  </xdr:twoCellAnchor>
  <xdr:twoCellAnchor>
    <xdr:from>
      <xdr:col>1</xdr:col>
      <xdr:colOff>459772</xdr:colOff>
      <xdr:row>1</xdr:row>
      <xdr:rowOff>39505</xdr:rowOff>
    </xdr:from>
    <xdr:to>
      <xdr:col>13</xdr:col>
      <xdr:colOff>514963</xdr:colOff>
      <xdr:row>4</xdr:row>
      <xdr:rowOff>183923</xdr:rowOff>
    </xdr:to>
    <xdr:sp macro="" textlink="">
      <xdr:nvSpPr>
        <xdr:cNvPr id="5" name="CO2 eq Framework">
          <a:extLst>
            <a:ext uri="{FF2B5EF4-FFF2-40B4-BE49-F238E27FC236}">
              <a16:creationId xmlns:a16="http://schemas.microsoft.com/office/drawing/2014/main" id="{806B09D0-DEDA-FF4F-AFB8-DBF95548CAD5}"/>
            </a:ext>
          </a:extLst>
        </xdr:cNvPr>
        <xdr:cNvSpPr txBox="1"/>
      </xdr:nvSpPr>
      <xdr:spPr>
        <a:xfrm>
          <a:off x="1301338" y="238421"/>
          <a:ext cx="17697480" cy="74116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4400">
              <a:solidFill>
                <a:schemeClr val="bg1"/>
              </a:solidFill>
              <a:latin typeface="Arial" panose="020B0604020202020204" pitchFamily="34" charset="0"/>
              <a:cs typeface="Arial" panose="020B0604020202020204" pitchFamily="34" charset="0"/>
            </a:rPr>
            <a:t>Ceria particle synthesis energy consumption equipment data entry </a:t>
          </a:r>
        </a:p>
      </xdr:txBody>
    </xdr:sp>
    <xdr:clientData/>
  </xdr:twoCellAnchor>
  <mc:AlternateContent xmlns:mc="http://schemas.openxmlformats.org/markup-compatibility/2006">
    <mc:Choice xmlns:a14="http://schemas.microsoft.com/office/drawing/2010/main" Requires="a14">
      <xdr:twoCellAnchor>
        <xdr:from>
          <xdr:col>9</xdr:col>
          <xdr:colOff>1130300</xdr:colOff>
          <xdr:row>26</xdr:row>
          <xdr:rowOff>215900</xdr:rowOff>
        </xdr:from>
        <xdr:to>
          <xdr:col>11</xdr:col>
          <xdr:colOff>317500</xdr:colOff>
          <xdr:row>29</xdr:row>
          <xdr:rowOff>0</xdr:rowOff>
        </xdr:to>
        <xdr:sp macro="" textlink="">
          <xdr:nvSpPr>
            <xdr:cNvPr id="28809" name="Button" descr="Finish and Enter Next Process " hidden="1">
              <a:extLst>
                <a:ext uri="{63B3BB69-23CF-44E3-9099-C40C66FF867C}">
                  <a14:compatExt spid="_x0000_s28809"/>
                </a:ext>
                <a:ext uri="{FF2B5EF4-FFF2-40B4-BE49-F238E27FC236}">
                  <a16:creationId xmlns:a16="http://schemas.microsoft.com/office/drawing/2014/main" id="{00000000-0008-0000-0F00-000089700000}"/>
                </a:ext>
              </a:extLst>
            </xdr:cNvPr>
            <xdr:cNvSpPr/>
          </xdr:nvSpPr>
          <xdr:spPr bwMode="auto">
            <a:xfrm>
              <a:off x="0" y="0"/>
              <a:ext cx="0" cy="0"/>
            </a:xfrm>
            <a:prstGeom prst="rect">
              <a:avLst/>
            </a:prstGeom>
            <a:noFill/>
            <a:ln w="9525">
              <a:miter lim="800000"/>
              <a:headEnd/>
              <a:tailEnd/>
            </a:ln>
          </xdr:spPr>
          <xdr:txBody>
            <a:bodyPr vertOverflow="clip" wrap="square" lIns="36576" tIns="36576" rIns="36576" bIns="36576" anchor="ctr" upright="1"/>
            <a:lstStyle/>
            <a:p>
              <a:pPr algn="ctr" rtl="0">
                <a:defRPr sz="1000"/>
              </a:pPr>
              <a:r>
                <a:rPr lang="en-US" sz="2200" b="0" i="0" u="none" strike="noStrike" baseline="0">
                  <a:solidFill>
                    <a:srgbClr val="000000"/>
                  </a:solidFill>
                  <a:latin typeface="Aptos Narrow" charset="0"/>
                </a:rPr>
                <a:t>Finish</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11</xdr:col>
          <xdr:colOff>520700</xdr:colOff>
          <xdr:row>26</xdr:row>
          <xdr:rowOff>215900</xdr:rowOff>
        </xdr:from>
        <xdr:to>
          <xdr:col>14</xdr:col>
          <xdr:colOff>647700</xdr:colOff>
          <xdr:row>29</xdr:row>
          <xdr:rowOff>0</xdr:rowOff>
        </xdr:to>
        <xdr:sp macro="" textlink="">
          <xdr:nvSpPr>
            <xdr:cNvPr id="28870" name="Button 198" hidden="1">
              <a:extLst>
                <a:ext uri="{63B3BB69-23CF-44E3-9099-C40C66FF867C}">
                  <a14:compatExt spid="_x0000_s28870"/>
                </a:ext>
                <a:ext uri="{FF2B5EF4-FFF2-40B4-BE49-F238E27FC236}">
                  <a16:creationId xmlns:a16="http://schemas.microsoft.com/office/drawing/2014/main" id="{00000000-0008-0000-0F00-0000C6700000}"/>
                </a:ext>
              </a:extLst>
            </xdr:cNvPr>
            <xdr:cNvSpPr/>
          </xdr:nvSpPr>
          <xdr:spPr bwMode="auto">
            <a:xfrm>
              <a:off x="0" y="0"/>
              <a:ext cx="0" cy="0"/>
            </a:xfrm>
            <a:prstGeom prst="rect">
              <a:avLst/>
            </a:prstGeom>
            <a:noFill/>
            <a:ln w="9525">
              <a:miter lim="800000"/>
              <a:headEnd/>
              <a:tailEnd/>
            </a:ln>
          </xdr:spPr>
          <xdr:txBody>
            <a:bodyPr vertOverflow="clip" wrap="square" lIns="36576" tIns="36576" rIns="36576" bIns="36576" anchor="ctr" upright="1"/>
            <a:lstStyle/>
            <a:p>
              <a:pPr algn="ctr" rtl="0">
                <a:defRPr sz="1000"/>
              </a:pPr>
              <a:r>
                <a:rPr lang="en-US" sz="2200" b="0" i="0" u="none" strike="noStrike" baseline="0">
                  <a:solidFill>
                    <a:srgbClr val="000000"/>
                  </a:solidFill>
                  <a:latin typeface="Aptos Narrow" charset="0"/>
                </a:rPr>
                <a:t>Reset</a:t>
              </a:r>
            </a:p>
          </xdr:txBody>
        </xdr:sp>
        <xdr:clientData fPrintsWithSheet="0"/>
      </xdr:twoCellAnchor>
    </mc:Choice>
    <mc:Fallback/>
  </mc:AlternateContent>
  <xdr:twoCellAnchor>
    <xdr:from>
      <xdr:col>6</xdr:col>
      <xdr:colOff>1126068</xdr:colOff>
      <xdr:row>40</xdr:row>
      <xdr:rowOff>70758</xdr:rowOff>
    </xdr:from>
    <xdr:to>
      <xdr:col>9</xdr:col>
      <xdr:colOff>414868</xdr:colOff>
      <xdr:row>59</xdr:row>
      <xdr:rowOff>227390</xdr:rowOff>
    </xdr:to>
    <mc:AlternateContent xmlns:mc="http://schemas.openxmlformats.org/markup-compatibility/2006">
      <mc:Choice xmlns:cx1="http://schemas.microsoft.com/office/drawing/2015/9/8/chartex" Requires="cx1">
        <xdr:graphicFrame macro="">
          <xdr:nvGraphicFramePr>
            <xdr:cNvPr id="22" name="Chart 21">
              <a:extLst>
                <a:ext uri="{FF2B5EF4-FFF2-40B4-BE49-F238E27FC236}">
                  <a16:creationId xmlns:a16="http://schemas.microsoft.com/office/drawing/2014/main" id="{86AF8866-88CF-241E-4459-84328244C66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1108268" y="13253358"/>
              <a:ext cx="4826000" cy="570653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externalLinks/_rels/externalLink1.xml.rels><?xml version="1.0" encoding="UTF-8" standalone="yes"?>
<Relationships xmlns="http://schemas.openxmlformats.org/package/2006/relationships"><Relationship Id="rId2" Type="http://schemas.microsoft.com/office/2019/04/relationships/externalLinkLongPath" Target="file:///C:/Users/school/Library/CloudStorage/GoogleDrive-vr@clarkson.edu/.shortcut-targets-by-id/16C9K8uzEq3--C1IN_GpWfxeCYlzdD-Bj/7.%20Micron%20Project/F2/Framework%20Github/CMP-Slurry-Sustainability-Framework/Example%20Final%20Database/Energy_Consumption_Calculator%20-%20Template.xlsx?6C0B0F7B" TargetMode="External"/><Relationship Id="rId1" Type="http://schemas.openxmlformats.org/officeDocument/2006/relationships/externalLinkPath" Target="file:///6C0B0F7B/Energy_Consumption_Calculator%20-%20Templat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school/Library/Containers/com.microsoft.Excel/Data/Library/Application%20Support/Microsoft/Theme%20and%20template%20-%20Inventory%20list%20accessibility%20guide%20(version%201).xlsb" TargetMode="External"/></Relationships>
</file>

<file path=xl/externalLinks/_rels/externalLink3.xml.rels><?xml version="1.0" encoding="UTF-8" standalone="yes"?>
<Relationships xmlns="http://schemas.openxmlformats.org/package/2006/relationships"><Relationship Id="rId3" Type="http://schemas.openxmlformats.org/officeDocument/2006/relationships/externalLinkPath" Target="/Users/ravitejvenkataswamy/Library/CloudStorage/GoogleDrive-vr@clarkson.edu/.shortcut-targets-by-id/16C9K8uzEq3--C1IN_GpWfxeCYlzdD-Bj/7.%20Micron%20Project/F2/Framework%20Github/CMP-Slurry-Sustainability-Framework/CMP%20Slurry%20Manufacuting%20Inventory%20-%20Calcined%20Ceria.xlsx" TargetMode="External"/><Relationship Id="rId2" Type="http://schemas.microsoft.com/office/2019/04/relationships/externalLinkLongPath" Target="CMP%20Slurry%20Manufacuting%20Inventory%20-%20Calcined%20Ceria.xlsx?2B31299F" TargetMode="External"/><Relationship Id="rId1" Type="http://schemas.openxmlformats.org/officeDocument/2006/relationships/externalLinkPath" Target="file:///2B31299F/CMP%20Slurry%20Manufacuting%20Inventory%20-%20Calcined%20Ceri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ppliances Data"/>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heme and template - Inventory "/>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3"/>
    </xxl21:alternateUrls>
    <sheetNames>
      <sheetName val="Start"/>
      <sheetName val="Carbon Dioxide Framework"/>
      <sheetName val="Required Information"/>
      <sheetName val="Process Overview"/>
      <sheetName val="Input(Please create a copy)"/>
      <sheetName val="Process 1"/>
      <sheetName val="Process 2"/>
      <sheetName val="Process 3"/>
      <sheetName val="Process 4"/>
      <sheetName val="Process 5"/>
      <sheetName val="Result Sheet"/>
      <sheetName val="HELP"/>
      <sheetName val="Appendix"/>
      <sheetName val="State Output emission"/>
      <sheetName val="Global Temperatures"/>
      <sheetName val="All_Equipment"/>
      <sheetName val="All_Process_time"/>
      <sheetName val="Solvents"/>
      <sheetName val="Precursors Chemicals"/>
      <sheetName val="GHGs"/>
      <sheetName val="Power consumption energy form"/>
      <sheetName val="Power consumption data1"/>
      <sheetName val="Chemical Balancing(not ready)"/>
      <sheetName val="Power consumption raw"/>
      <sheetName val="CB_DATA_"/>
    </sheetNames>
    <sheetDataSet>
      <sheetData sheetId="0" refreshError="1"/>
      <sheetData sheetId="1" refreshError="1"/>
      <sheetData sheetId="2" refreshError="1"/>
      <sheetData sheetId="3" refreshError="1"/>
      <sheetData sheetId="4" refreshError="1"/>
      <sheetData sheetId="5">
        <row r="19">
          <cell r="AS19">
            <v>0</v>
          </cell>
          <cell r="AT19">
            <v>0.16400000000000001</v>
          </cell>
        </row>
        <row r="20">
          <cell r="AS20">
            <v>0.25</v>
          </cell>
          <cell r="AT20">
            <v>0.04</v>
          </cell>
        </row>
        <row r="21">
          <cell r="AS21">
            <v>0.5</v>
          </cell>
          <cell r="AT21">
            <v>1.38</v>
          </cell>
        </row>
        <row r="22">
          <cell r="AS22">
            <v>0.25</v>
          </cell>
        </row>
        <row r="23">
          <cell r="AS23">
            <v>1</v>
          </cell>
        </row>
      </sheetData>
      <sheetData sheetId="6">
        <row r="19">
          <cell r="AS19">
            <v>0</v>
          </cell>
          <cell r="AT19">
            <v>5.5E-2</v>
          </cell>
        </row>
        <row r="20">
          <cell r="AS20">
            <v>0.25</v>
          </cell>
          <cell r="AT20">
            <v>0.04</v>
          </cell>
        </row>
        <row r="21">
          <cell r="AS21">
            <v>0.5</v>
          </cell>
          <cell r="AT21">
            <v>1.38</v>
          </cell>
        </row>
        <row r="22">
          <cell r="AS22">
            <v>0.25</v>
          </cell>
        </row>
        <row r="23">
          <cell r="AS23">
            <v>1</v>
          </cell>
        </row>
      </sheetData>
      <sheetData sheetId="7">
        <row r="19">
          <cell r="AS19">
            <v>0</v>
          </cell>
          <cell r="AT19">
            <v>0.16400000000000001</v>
          </cell>
        </row>
        <row r="20">
          <cell r="AS20">
            <v>0.25</v>
          </cell>
          <cell r="AT20">
            <v>0.04</v>
          </cell>
        </row>
        <row r="21">
          <cell r="AS21">
            <v>0.5</v>
          </cell>
          <cell r="AT21">
            <v>1.38</v>
          </cell>
        </row>
        <row r="22">
          <cell r="AS22">
            <v>0.25</v>
          </cell>
        </row>
        <row r="23">
          <cell r="AS23">
            <v>1</v>
          </cell>
        </row>
      </sheetData>
      <sheetData sheetId="8">
        <row r="19">
          <cell r="AS19">
            <v>0</v>
          </cell>
          <cell r="AT19" t="e">
            <v>#N/A</v>
          </cell>
        </row>
        <row r="20">
          <cell r="AS20">
            <v>0.25</v>
          </cell>
          <cell r="AT20">
            <v>0.04</v>
          </cell>
        </row>
        <row r="21">
          <cell r="AS21">
            <v>0.5</v>
          </cell>
          <cell r="AT21">
            <v>1.38</v>
          </cell>
        </row>
        <row r="22">
          <cell r="AS22">
            <v>0.25</v>
          </cell>
        </row>
        <row r="23">
          <cell r="AS23">
            <v>1</v>
          </cell>
        </row>
      </sheetData>
      <sheetData sheetId="9">
        <row r="19">
          <cell r="AS19">
            <v>0</v>
          </cell>
          <cell r="AT19" t="e">
            <v>#N/A</v>
          </cell>
        </row>
        <row r="20">
          <cell r="AS20">
            <v>0.25</v>
          </cell>
          <cell r="AT20">
            <v>0.04</v>
          </cell>
        </row>
        <row r="21">
          <cell r="AS21">
            <v>0.5</v>
          </cell>
          <cell r="AT21">
            <v>1.38</v>
          </cell>
        </row>
        <row r="22">
          <cell r="AS22">
            <v>0.25</v>
          </cell>
        </row>
        <row r="23">
          <cell r="AS23">
            <v>1</v>
          </cell>
        </row>
      </sheetData>
      <sheetData sheetId="10" refreshError="1"/>
      <sheetData sheetId="11" refreshError="1"/>
      <sheetData sheetId="12" refreshError="1"/>
      <sheetData sheetId="13"/>
      <sheetData sheetId="14" refreshError="1"/>
      <sheetData sheetId="15"/>
      <sheetData sheetId="16"/>
      <sheetData sheetId="17" refreshError="1"/>
      <sheetData sheetId="18"/>
      <sheetData sheetId="19"/>
      <sheetData sheetId="20" refreshError="1"/>
      <sheetData sheetId="21" refreshError="1"/>
      <sheetData sheetId="22" refreshError="1"/>
      <sheetData sheetId="23" refreshError="1"/>
      <sheetData sheetId="24" refreshError="1"/>
    </sheetDataSet>
  </externalBook>
</externalLink>
</file>

<file path=xl/richData/_rels/rdRichValueWebImage.xml.rels><?xml version="1.0" encoding="UTF-8" standalone="yes"?>
<Relationships xmlns="http://schemas.openxmlformats.org/package/2006/relationships"><Relationship Id="rId26" Type="http://schemas.openxmlformats.org/officeDocument/2006/relationships/hyperlink" Target="https://www.bing.com/images/search?form=xlimg&amp;q=Idaho" TargetMode="External"/><Relationship Id="rId21" Type="http://schemas.openxmlformats.org/officeDocument/2006/relationships/hyperlink" Target="https://www.bing.com/th?id=OSK.d6d401cb2dc862bc6db20d6c382ac0dd&amp;qlt=95" TargetMode="External"/><Relationship Id="rId42" Type="http://schemas.openxmlformats.org/officeDocument/2006/relationships/hyperlink" Target="https://www.bing.com/images/search?form=xlimg&amp;q=Maine" TargetMode="External"/><Relationship Id="rId47" Type="http://schemas.openxmlformats.org/officeDocument/2006/relationships/hyperlink" Target="https://www.bing.com/th?id=OSK.1cd4f85af3824efb5042b916ad3717a9&amp;qlt=95" TargetMode="External"/><Relationship Id="rId63" Type="http://schemas.openxmlformats.org/officeDocument/2006/relationships/hyperlink" Target="https://www.bing.com/th?id=OSK.0fdd9d38459c62ca5b483a2e70bce404&amp;qlt=95" TargetMode="External"/><Relationship Id="rId68" Type="http://schemas.openxmlformats.org/officeDocument/2006/relationships/hyperlink" Target="https://www.bing.com/images/search?form=xlimg&amp;q=New%20York%20(state)" TargetMode="External"/><Relationship Id="rId84" Type="http://schemas.openxmlformats.org/officeDocument/2006/relationships/hyperlink" Target="https://www.bing.com/images/search?form=xlimg&amp;q=Tennessee" TargetMode="External"/><Relationship Id="rId89" Type="http://schemas.openxmlformats.org/officeDocument/2006/relationships/hyperlink" Target="https://www.bing.com/th?id=OSK.14d323e3784d30722d6785a6cef8f9c3&amp;qlt=95" TargetMode="External"/><Relationship Id="rId16" Type="http://schemas.openxmlformats.org/officeDocument/2006/relationships/hyperlink" Target="https://www.bing.com/images/search?form=xlimg&amp;q=Delaware" TargetMode="External"/><Relationship Id="rId11" Type="http://schemas.openxmlformats.org/officeDocument/2006/relationships/hyperlink" Target="https://www.bing.com/th?id=OSK.e3cff3492e954506af4fb2c8552f6135&amp;qlt=95" TargetMode="External"/><Relationship Id="rId32" Type="http://schemas.openxmlformats.org/officeDocument/2006/relationships/hyperlink" Target="https://www.bing.com/images/search?form=xlimg&amp;q=Kansas" TargetMode="External"/><Relationship Id="rId37" Type="http://schemas.openxmlformats.org/officeDocument/2006/relationships/hyperlink" Target="https://www.bing.com/th?id=OSK.987b2cac28f5ea262ad37b9b21c25b33&amp;qlt=95" TargetMode="External"/><Relationship Id="rId53" Type="http://schemas.openxmlformats.org/officeDocument/2006/relationships/hyperlink" Target="https://www.bing.com/th?id=OSK.03c72211b35cb109bcdc7d51ef4f03c5&amp;qlt=95" TargetMode="External"/><Relationship Id="rId58" Type="http://schemas.openxmlformats.org/officeDocument/2006/relationships/hyperlink" Target="https://www.bing.com/images/search?form=xlimg&amp;q=Nebraska" TargetMode="External"/><Relationship Id="rId74" Type="http://schemas.openxmlformats.org/officeDocument/2006/relationships/hyperlink" Target="https://www.bing.com/images/search?form=xlimg&amp;q=Oregon" TargetMode="External"/><Relationship Id="rId79" Type="http://schemas.openxmlformats.org/officeDocument/2006/relationships/hyperlink" Target="https://www.bing.com/th?id=OSK.f57f7916e76fc47c2a83efc3859d6379&amp;qlt=95" TargetMode="External"/><Relationship Id="rId5" Type="http://schemas.openxmlformats.org/officeDocument/2006/relationships/hyperlink" Target="https://www.bing.com/th?id=OSK.753ebef48024a78057065fde53116aa7&amp;qlt=95" TargetMode="External"/><Relationship Id="rId90" Type="http://schemas.openxmlformats.org/officeDocument/2006/relationships/hyperlink" Target="https://www.bing.com/images/search?form=xlimg&amp;q=Virginia" TargetMode="External"/><Relationship Id="rId95" Type="http://schemas.openxmlformats.org/officeDocument/2006/relationships/hyperlink" Target="https://www.bing.com/th?id=OSK.0678bd4067f4a421f3884b05dad25be4&amp;qlt=95" TargetMode="External"/><Relationship Id="rId22" Type="http://schemas.openxmlformats.org/officeDocument/2006/relationships/hyperlink" Target="https://www.bing.com/images/search?form=xlimg&amp;q=Hawaii" TargetMode="External"/><Relationship Id="rId27" Type="http://schemas.openxmlformats.org/officeDocument/2006/relationships/hyperlink" Target="https://www.bing.com/th?id=OSK.78ba50cb2865d06a5e16e1016f21685d&amp;qlt=95" TargetMode="External"/><Relationship Id="rId43" Type="http://schemas.openxmlformats.org/officeDocument/2006/relationships/hyperlink" Target="https://www.bing.com/th?id=OSK.5e5edbee64005edbf411df0671fae1da&amp;qlt=95" TargetMode="External"/><Relationship Id="rId48" Type="http://schemas.openxmlformats.org/officeDocument/2006/relationships/hyperlink" Target="https://www.bing.com/images/search?form=xlimg&amp;q=Missouri" TargetMode="External"/><Relationship Id="rId64" Type="http://schemas.openxmlformats.org/officeDocument/2006/relationships/hyperlink" Target="https://www.bing.com/images/search?form=xlimg&amp;q=New%20Mexico" TargetMode="External"/><Relationship Id="rId69" Type="http://schemas.openxmlformats.org/officeDocument/2006/relationships/hyperlink" Target="https://www.bing.com/th?id=OSK.28bd4a5560f6884fc55949e0018e908f&amp;qlt=95" TargetMode="External"/><Relationship Id="rId80" Type="http://schemas.openxmlformats.org/officeDocument/2006/relationships/hyperlink" Target="https://www.bing.com/images/search?form=xlimg&amp;q=South%20Carolina" TargetMode="External"/><Relationship Id="rId85" Type="http://schemas.openxmlformats.org/officeDocument/2006/relationships/hyperlink" Target="https://www.bing.com/th?id=OSK.64a722b3d40292398291610dc8c47d2c&amp;qlt=95" TargetMode="External"/><Relationship Id="rId3" Type="http://schemas.openxmlformats.org/officeDocument/2006/relationships/hyperlink" Target="https://www.bing.com/th?id=OSK.96504eb3b24d83901c02e94131e1d16d&amp;qlt=95" TargetMode="External"/><Relationship Id="rId12" Type="http://schemas.openxmlformats.org/officeDocument/2006/relationships/hyperlink" Target="https://www.bing.com/images/search?form=xlimg&amp;q=Colorado" TargetMode="External"/><Relationship Id="rId17" Type="http://schemas.openxmlformats.org/officeDocument/2006/relationships/hyperlink" Target="https://www.bing.com/th?id=OSK.5c9644308dc1fc218d48a103b8cf93f9&amp;qlt=95" TargetMode="External"/><Relationship Id="rId25" Type="http://schemas.openxmlformats.org/officeDocument/2006/relationships/hyperlink" Target="https://www.bing.com/th?id=OSK.82338761f223882a4fcd0a92801d2f03&amp;qlt=95" TargetMode="External"/><Relationship Id="rId33" Type="http://schemas.openxmlformats.org/officeDocument/2006/relationships/hyperlink" Target="https://www.bing.com/th?id=OSK.e751b37b293608b5e613743d1502ad91&amp;qlt=95" TargetMode="External"/><Relationship Id="rId38" Type="http://schemas.openxmlformats.org/officeDocument/2006/relationships/hyperlink" Target="https://www.bing.com/images/search?form=xlimg&amp;q=Massachusetts" TargetMode="External"/><Relationship Id="rId46" Type="http://schemas.openxmlformats.org/officeDocument/2006/relationships/hyperlink" Target="https://www.bing.com/images/search?form=xlimg&amp;q=Minnesota" TargetMode="External"/><Relationship Id="rId59" Type="http://schemas.openxmlformats.org/officeDocument/2006/relationships/hyperlink" Target="https://www.bing.com/th?id=OSK.8765bc34549db3212c790029d195d8d1&amp;qlt=95" TargetMode="External"/><Relationship Id="rId67" Type="http://schemas.openxmlformats.org/officeDocument/2006/relationships/hyperlink" Target="https://www.bing.com/th?id=OSK.cba7f275842a20f49b98d704e1366fd5&amp;qlt=95" TargetMode="External"/><Relationship Id="rId20" Type="http://schemas.openxmlformats.org/officeDocument/2006/relationships/hyperlink" Target="https://www.bing.com/images/search?form=xlimg&amp;q=Georgia%20(U.S.%20state)" TargetMode="External"/><Relationship Id="rId41" Type="http://schemas.openxmlformats.org/officeDocument/2006/relationships/hyperlink" Target="https://www.bing.com/th?id=OSK.367e86820af0f5dacd149ad7acd83247&amp;qlt=95" TargetMode="External"/><Relationship Id="rId54" Type="http://schemas.openxmlformats.org/officeDocument/2006/relationships/hyperlink" Target="https://www.bing.com/images/search?form=xlimg&amp;q=North%20Carolina" TargetMode="External"/><Relationship Id="rId62" Type="http://schemas.openxmlformats.org/officeDocument/2006/relationships/hyperlink" Target="https://www.bing.com/images/search?form=xlimg&amp;q=New%20Jersey" TargetMode="External"/><Relationship Id="rId70" Type="http://schemas.openxmlformats.org/officeDocument/2006/relationships/hyperlink" Target="https://www.bing.com/images/search?form=xlimg&amp;q=Ohio" TargetMode="External"/><Relationship Id="rId75" Type="http://schemas.openxmlformats.org/officeDocument/2006/relationships/hyperlink" Target="https://www.bing.com/th?id=OSK.7bfbead25a8cd788f9ef5c17097be1bc&amp;qlt=95" TargetMode="External"/><Relationship Id="rId83" Type="http://schemas.openxmlformats.org/officeDocument/2006/relationships/hyperlink" Target="https://www.bing.com/th?id=OSK.592387ac5e24ec192ad9be5348bec458&amp;qlt=95" TargetMode="External"/><Relationship Id="rId88" Type="http://schemas.openxmlformats.org/officeDocument/2006/relationships/hyperlink" Target="https://www.bing.com/images/search?form=xlimg&amp;q=Utah" TargetMode="External"/><Relationship Id="rId91" Type="http://schemas.openxmlformats.org/officeDocument/2006/relationships/hyperlink" Target="https://www.bing.com/th?id=OSK.1cfcbb65e7439d46cfb4b0db17de4825&amp;qlt=95" TargetMode="External"/><Relationship Id="rId96" Type="http://schemas.openxmlformats.org/officeDocument/2006/relationships/hyperlink" Target="https://www.bing.com/images/search?form=xlimg&amp;q=Wisconsin" TargetMode="External"/><Relationship Id="rId1" Type="http://schemas.openxmlformats.org/officeDocument/2006/relationships/hyperlink" Target="https://www.bing.com/th?id=OSK.5f2016b7cd1ea79d66547b7327acdc3b&amp;qlt=95" TargetMode="External"/><Relationship Id="rId6" Type="http://schemas.openxmlformats.org/officeDocument/2006/relationships/hyperlink" Target="https://www.bing.com/images/search?form=xlimg&amp;q=Arkansas" TargetMode="External"/><Relationship Id="rId15" Type="http://schemas.openxmlformats.org/officeDocument/2006/relationships/hyperlink" Target="https://www.bing.com/th?id=OSK.c3142df960c4f8117185ab608e4271fc&amp;qlt=95" TargetMode="External"/><Relationship Id="rId23" Type="http://schemas.openxmlformats.org/officeDocument/2006/relationships/hyperlink" Target="https://www.bing.com/th?id=OSK.153231065b610cb99cb3435b59eccac2&amp;qlt=95" TargetMode="External"/><Relationship Id="rId28" Type="http://schemas.openxmlformats.org/officeDocument/2006/relationships/hyperlink" Target="https://www.bing.com/images/search?form=xlimg&amp;q=Illinois" TargetMode="External"/><Relationship Id="rId36" Type="http://schemas.openxmlformats.org/officeDocument/2006/relationships/hyperlink" Target="https://www.bing.com/images/search?form=xlimg&amp;q=Louisiana" TargetMode="External"/><Relationship Id="rId49" Type="http://schemas.openxmlformats.org/officeDocument/2006/relationships/hyperlink" Target="https://www.bing.com/th?id=OSK.323715dbb9f63cb2003a10f3d6c907c1&amp;qlt=95" TargetMode="External"/><Relationship Id="rId57" Type="http://schemas.openxmlformats.org/officeDocument/2006/relationships/hyperlink" Target="https://www.bing.com/th?id=OSK.09fb0d37cacee3c3feb04b7452bd8436&amp;qlt=95" TargetMode="External"/><Relationship Id="rId10" Type="http://schemas.openxmlformats.org/officeDocument/2006/relationships/hyperlink" Target="https://www.bing.com/images/search?form=xlimg&amp;q=California" TargetMode="External"/><Relationship Id="rId31" Type="http://schemas.openxmlformats.org/officeDocument/2006/relationships/hyperlink" Target="https://www.bing.com/th?id=OSK.1ee03cb7dca1dce2cd8760d573bcd394&amp;qlt=95" TargetMode="External"/><Relationship Id="rId44" Type="http://schemas.openxmlformats.org/officeDocument/2006/relationships/hyperlink" Target="https://www.bing.com/images/search?form=xlimg&amp;q=Michigan" TargetMode="External"/><Relationship Id="rId52" Type="http://schemas.openxmlformats.org/officeDocument/2006/relationships/hyperlink" Target="https://www.bing.com/images/search?form=xlimg&amp;q=Montana" TargetMode="External"/><Relationship Id="rId60" Type="http://schemas.openxmlformats.org/officeDocument/2006/relationships/hyperlink" Target="https://www.bing.com/images/search?form=xlimg&amp;q=New%20Hampshire" TargetMode="External"/><Relationship Id="rId65" Type="http://schemas.openxmlformats.org/officeDocument/2006/relationships/hyperlink" Target="https://www.bing.com/th?id=OSK.d047bd399091b856d1d14db8fb53ce58&amp;qlt=95" TargetMode="External"/><Relationship Id="rId73" Type="http://schemas.openxmlformats.org/officeDocument/2006/relationships/hyperlink" Target="https://www.bing.com/th?id=OSK.59f6fd6fb58b5bde34d283beef8c8e65&amp;qlt=95" TargetMode="External"/><Relationship Id="rId78" Type="http://schemas.openxmlformats.org/officeDocument/2006/relationships/hyperlink" Target="https://www.bing.com/images/search?form=xlimg&amp;q=Rhode%20Island" TargetMode="External"/><Relationship Id="rId81" Type="http://schemas.openxmlformats.org/officeDocument/2006/relationships/hyperlink" Target="https://www.bing.com/th?id=OSK.ce2e5180d9b117e617e17fc235f4e569&amp;qlt=95" TargetMode="External"/><Relationship Id="rId86" Type="http://schemas.openxmlformats.org/officeDocument/2006/relationships/hyperlink" Target="https://www.bing.com/images/search?form=xlimg&amp;q=Texas" TargetMode="External"/><Relationship Id="rId94" Type="http://schemas.openxmlformats.org/officeDocument/2006/relationships/hyperlink" Target="https://www.bing.com/images/search?form=xlimg&amp;q=Washington%20(state)" TargetMode="External"/><Relationship Id="rId99" Type="http://schemas.openxmlformats.org/officeDocument/2006/relationships/hyperlink" Target="https://www.bing.com/th?id=OSK.c90021b564dcb9deeb722c1768bcb07d&amp;qlt=95" TargetMode="External"/><Relationship Id="rId4" Type="http://schemas.openxmlformats.org/officeDocument/2006/relationships/hyperlink" Target="https://www.bing.com/images/search?form=xlimg&amp;q=Alabama" TargetMode="External"/><Relationship Id="rId9" Type="http://schemas.openxmlformats.org/officeDocument/2006/relationships/hyperlink" Target="https://www.bing.com/th?id=OSK.00be164b931c0a9427c0a2ebdae3e140&amp;qlt=95" TargetMode="External"/><Relationship Id="rId13" Type="http://schemas.openxmlformats.org/officeDocument/2006/relationships/hyperlink" Target="https://www.bing.com/th?id=OSK.30ceb575fb4214ce576b42df18666e43&amp;qlt=95" TargetMode="External"/><Relationship Id="rId18" Type="http://schemas.openxmlformats.org/officeDocument/2006/relationships/hyperlink" Target="https://www.bing.com/images/search?form=xlimg&amp;q=Florida" TargetMode="External"/><Relationship Id="rId39" Type="http://schemas.openxmlformats.org/officeDocument/2006/relationships/hyperlink" Target="https://www.bing.com/th?id=OSK.d483d5dc76abe8ffbb564ee6e0ff5866&amp;qlt=95" TargetMode="External"/><Relationship Id="rId34" Type="http://schemas.openxmlformats.org/officeDocument/2006/relationships/hyperlink" Target="https://www.bing.com/images/search?form=xlimg&amp;q=Kentucky" TargetMode="External"/><Relationship Id="rId50" Type="http://schemas.openxmlformats.org/officeDocument/2006/relationships/hyperlink" Target="https://www.bing.com/images/search?form=xlimg&amp;q=Mississippi" TargetMode="External"/><Relationship Id="rId55" Type="http://schemas.openxmlformats.org/officeDocument/2006/relationships/hyperlink" Target="https://www.bing.com/th?id=OSK.17425921aa4d924b36100941f39fa7f9&amp;qlt=95" TargetMode="External"/><Relationship Id="rId76" Type="http://schemas.openxmlformats.org/officeDocument/2006/relationships/hyperlink" Target="https://www.bing.com/images/search?form=xlimg&amp;q=Pennsylvania" TargetMode="External"/><Relationship Id="rId97" Type="http://schemas.openxmlformats.org/officeDocument/2006/relationships/hyperlink" Target="https://www.bing.com/th?id=OSK.b1c658d27e8d1f33822457c8ff27793b&amp;qlt=95" TargetMode="External"/><Relationship Id="rId7" Type="http://schemas.openxmlformats.org/officeDocument/2006/relationships/hyperlink" Target="https://www.bing.com/th?id=OSK.3c540a048279aac253eac8639b1a7dad&amp;qlt=95" TargetMode="External"/><Relationship Id="rId71" Type="http://schemas.openxmlformats.org/officeDocument/2006/relationships/hyperlink" Target="https://www.bing.com/th?id=OSK.dc4854218778b6f007a0fb39483a9a3f&amp;qlt=95" TargetMode="External"/><Relationship Id="rId92" Type="http://schemas.openxmlformats.org/officeDocument/2006/relationships/hyperlink" Target="https://www.bing.com/images/search?form=xlimg&amp;q=Vermont" TargetMode="External"/><Relationship Id="rId2" Type="http://schemas.openxmlformats.org/officeDocument/2006/relationships/hyperlink" Target="https://www.bing.com/images/search?form=xlimg&amp;q=Alaska" TargetMode="External"/><Relationship Id="rId29" Type="http://schemas.openxmlformats.org/officeDocument/2006/relationships/hyperlink" Target="https://www.bing.com/th?id=OSK.4ff7d688245f99bc5db3bd5b106d2ad0&amp;qlt=95" TargetMode="External"/><Relationship Id="rId24" Type="http://schemas.openxmlformats.org/officeDocument/2006/relationships/hyperlink" Target="https://www.bing.com/images/search?form=xlimg&amp;q=Iowa" TargetMode="External"/><Relationship Id="rId40" Type="http://schemas.openxmlformats.org/officeDocument/2006/relationships/hyperlink" Target="https://www.bing.com/images/search?form=xlimg&amp;q=Maryland" TargetMode="External"/><Relationship Id="rId45" Type="http://schemas.openxmlformats.org/officeDocument/2006/relationships/hyperlink" Target="https://www.bing.com/th?id=OSK.40b19650ace0234fdb053333f72c8df0&amp;qlt=95" TargetMode="External"/><Relationship Id="rId66" Type="http://schemas.openxmlformats.org/officeDocument/2006/relationships/hyperlink" Target="https://www.bing.com/images/search?form=xlimg&amp;q=Nevada" TargetMode="External"/><Relationship Id="rId87" Type="http://schemas.openxmlformats.org/officeDocument/2006/relationships/hyperlink" Target="https://www.bing.com/th?id=OSK.1973703d864373b47ab825b2a978ab2d&amp;qlt=95" TargetMode="External"/><Relationship Id="rId61" Type="http://schemas.openxmlformats.org/officeDocument/2006/relationships/hyperlink" Target="https://www.bing.com/th?id=OSK.d060a4e78cf97d149f53a30e070b68ca&amp;qlt=95" TargetMode="External"/><Relationship Id="rId82" Type="http://schemas.openxmlformats.org/officeDocument/2006/relationships/hyperlink" Target="https://www.bing.com/images/search?form=xlimg&amp;q=South%20Dakota" TargetMode="External"/><Relationship Id="rId19" Type="http://schemas.openxmlformats.org/officeDocument/2006/relationships/hyperlink" Target="https://www.bing.com/th?id=OSK.TkXocXN5FoBwxCRw_H4YlAVy62XZjJG6mqrJCXMfttE&amp;qlt=95" TargetMode="External"/><Relationship Id="rId14" Type="http://schemas.openxmlformats.org/officeDocument/2006/relationships/hyperlink" Target="https://www.bing.com/images/search?form=xlimg&amp;q=Connecticut" TargetMode="External"/><Relationship Id="rId30" Type="http://schemas.openxmlformats.org/officeDocument/2006/relationships/hyperlink" Target="https://www.bing.com/images/search?form=xlimg&amp;q=Indiana" TargetMode="External"/><Relationship Id="rId35" Type="http://schemas.openxmlformats.org/officeDocument/2006/relationships/hyperlink" Target="https://www.bing.com/th?id=OSK.fa968de5bc9179e15dd5970b87b94444&amp;qlt=95" TargetMode="External"/><Relationship Id="rId56" Type="http://schemas.openxmlformats.org/officeDocument/2006/relationships/hyperlink" Target="https://www.bing.com/images/search?form=xlimg&amp;q=North%20Dakota" TargetMode="External"/><Relationship Id="rId77" Type="http://schemas.openxmlformats.org/officeDocument/2006/relationships/hyperlink" Target="https://www.bing.com/th?id=OSK.8836cf6b96e037858c8bcf7fe60e2737&amp;qlt=95" TargetMode="External"/><Relationship Id="rId100" Type="http://schemas.openxmlformats.org/officeDocument/2006/relationships/hyperlink" Target="https://www.bing.com/images/search?form=xlimg&amp;q=Wyoming" TargetMode="External"/><Relationship Id="rId8" Type="http://schemas.openxmlformats.org/officeDocument/2006/relationships/hyperlink" Target="https://www.bing.com/images/search?form=xlimg&amp;q=Arizona" TargetMode="External"/><Relationship Id="rId51" Type="http://schemas.openxmlformats.org/officeDocument/2006/relationships/hyperlink" Target="https://www.bing.com/th?id=OSK.6e99b3a35b5283679ec93f7f63efad4b&amp;qlt=95" TargetMode="External"/><Relationship Id="rId72" Type="http://schemas.openxmlformats.org/officeDocument/2006/relationships/hyperlink" Target="https://www.bing.com/images/search?form=xlimg&amp;q=Oklahoma" TargetMode="External"/><Relationship Id="rId93" Type="http://schemas.openxmlformats.org/officeDocument/2006/relationships/hyperlink" Target="https://www.bing.com/th?id=OSK.c93832872ec0dad4a158b06bab80ac3b&amp;qlt=95" TargetMode="External"/><Relationship Id="rId98" Type="http://schemas.openxmlformats.org/officeDocument/2006/relationships/hyperlink" Target="https://www.bing.com/images/search?form=xlimg&amp;q=West%20Virginia"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rd>
    <address r:id="rId11"/>
    <moreImagesAddress r:id="rId12"/>
  </webImageSrd>
  <webImageSrd>
    <address r:id="rId13"/>
    <moreImagesAddress r:id="rId14"/>
  </webImageSrd>
  <webImageSrd>
    <address r:id="rId15"/>
    <moreImagesAddress r:id="rId16"/>
  </webImageSrd>
  <webImageSrd>
    <address r:id="rId17"/>
    <moreImagesAddress r:id="rId18"/>
  </webImageSrd>
  <webImageSrd>
    <address r:id="rId19"/>
    <moreImagesAddress r:id="rId20"/>
  </webImageSrd>
  <webImageSrd>
    <address r:id="rId21"/>
    <moreImagesAddress r:id="rId22"/>
  </webImageSrd>
  <webImageSrd>
    <address r:id="rId23"/>
    <moreImagesAddress r:id="rId24"/>
  </webImageSrd>
  <webImageSrd>
    <address r:id="rId25"/>
    <moreImagesAddress r:id="rId26"/>
  </webImageSrd>
  <webImageSrd>
    <address r:id="rId27"/>
    <moreImagesAddress r:id="rId28"/>
  </webImageSrd>
  <webImageSrd>
    <address r:id="rId29"/>
    <moreImagesAddress r:id="rId30"/>
  </webImageSrd>
  <webImageSrd>
    <address r:id="rId31"/>
    <moreImagesAddress r:id="rId32"/>
  </webImageSrd>
  <webImageSrd>
    <address r:id="rId33"/>
    <moreImagesAddress r:id="rId34"/>
  </webImageSrd>
  <webImageSrd>
    <address r:id="rId35"/>
    <moreImagesAddress r:id="rId36"/>
  </webImageSrd>
  <webImageSrd>
    <address r:id="rId37"/>
    <moreImagesAddress r:id="rId38"/>
  </webImageSrd>
  <webImageSrd>
    <address r:id="rId39"/>
    <moreImagesAddress r:id="rId40"/>
  </webImageSrd>
  <webImageSrd>
    <address r:id="rId41"/>
    <moreImagesAddress r:id="rId42"/>
  </webImageSrd>
  <webImageSrd>
    <address r:id="rId43"/>
    <moreImagesAddress r:id="rId44"/>
  </webImageSrd>
  <webImageSrd>
    <address r:id="rId45"/>
    <moreImagesAddress r:id="rId46"/>
  </webImageSrd>
  <webImageSrd>
    <address r:id="rId47"/>
    <moreImagesAddress r:id="rId48"/>
  </webImageSrd>
  <webImageSrd>
    <address r:id="rId49"/>
    <moreImagesAddress r:id="rId50"/>
  </webImageSrd>
  <webImageSrd>
    <address r:id="rId51"/>
    <moreImagesAddress r:id="rId52"/>
  </webImageSrd>
  <webImageSrd>
    <address r:id="rId53"/>
    <moreImagesAddress r:id="rId54"/>
  </webImageSrd>
  <webImageSrd>
    <address r:id="rId55"/>
    <moreImagesAddress r:id="rId56"/>
  </webImageSrd>
  <webImageSrd>
    <address r:id="rId57"/>
    <moreImagesAddress r:id="rId58"/>
  </webImageSrd>
  <webImageSrd>
    <address r:id="rId59"/>
    <moreImagesAddress r:id="rId60"/>
  </webImageSrd>
  <webImageSrd>
    <address r:id="rId61"/>
    <moreImagesAddress r:id="rId62"/>
  </webImageSrd>
  <webImageSrd>
    <address r:id="rId63"/>
    <moreImagesAddress r:id="rId64"/>
  </webImageSrd>
  <webImageSrd>
    <address r:id="rId65"/>
    <moreImagesAddress r:id="rId66"/>
  </webImageSrd>
  <webImageSrd>
    <address r:id="rId67"/>
    <moreImagesAddress r:id="rId68"/>
  </webImageSrd>
  <webImageSrd>
    <address r:id="rId69"/>
    <moreImagesAddress r:id="rId70"/>
  </webImageSrd>
  <webImageSrd>
    <address r:id="rId71"/>
    <moreImagesAddress r:id="rId72"/>
  </webImageSrd>
  <webImageSrd>
    <address r:id="rId73"/>
    <moreImagesAddress r:id="rId74"/>
  </webImageSrd>
  <webImageSrd>
    <address r:id="rId75"/>
    <moreImagesAddress r:id="rId76"/>
  </webImageSrd>
  <webImageSrd>
    <address r:id="rId77"/>
    <moreImagesAddress r:id="rId78"/>
  </webImageSrd>
  <webImageSrd>
    <address r:id="rId79"/>
    <moreImagesAddress r:id="rId80"/>
  </webImageSrd>
  <webImageSrd>
    <address r:id="rId81"/>
    <moreImagesAddress r:id="rId82"/>
  </webImageSrd>
  <webImageSrd>
    <address r:id="rId83"/>
    <moreImagesAddress r:id="rId84"/>
  </webImageSrd>
  <webImageSrd>
    <address r:id="rId85"/>
    <moreImagesAddress r:id="rId86"/>
  </webImageSrd>
  <webImageSrd>
    <address r:id="rId87"/>
    <moreImagesAddress r:id="rId88"/>
  </webImageSrd>
  <webImageSrd>
    <address r:id="rId89"/>
    <moreImagesAddress r:id="rId90"/>
  </webImageSrd>
  <webImageSrd>
    <address r:id="rId91"/>
    <moreImagesAddress r:id="rId92"/>
  </webImageSrd>
  <webImageSrd>
    <address r:id="rId93"/>
    <moreImagesAddress r:id="rId94"/>
  </webImageSrd>
  <webImageSrd>
    <address r:id="rId95"/>
    <moreImagesAddress r:id="rId96"/>
  </webImageSrd>
  <webImageSrd>
    <address r:id="rId97"/>
    <moreImagesAddress r:id="rId98"/>
  </webImageSrd>
  <webImageSrd>
    <address r:id="rId99"/>
    <moreImagesAddress r:id="rId100"/>
  </webImageSrd>
</webImagesSrd>
</file>

<file path=xl/richData/rdarray.xml><?xml version="1.0" encoding="utf-8"?>
<arrayData xmlns="http://schemas.microsoft.com/office/spreadsheetml/2017/richdata2" count="61">
  <a r="2">
    <v t="r">9</v>
    <v t="r">10</v>
  </a>
  <a r="17">
    <v t="s">Dena'ina</v>
    <v t="s">Inupiaq</v>
    <v t="s">Tanacross language</v>
    <v t="s">Koyukon language</v>
    <v t="s">Tsimshian</v>
    <v t="s">Aleut language</v>
    <v t="s">Upper Kuskokwim language</v>
    <v t="s">Eyak language</v>
    <v t="s">Haida language</v>
    <v t="s">English language</v>
    <v t="s">Tlingit language</v>
    <v t="s">Hän language</v>
    <v t="s">Alutiiq language</v>
    <v t="s">Gwichʼin language</v>
    <v t="s">Ahtna language</v>
    <v t="s">Holikachuk language</v>
    <v t="s">Deg Xinag language</v>
  </a>
  <a r="2">
    <v t="s">Hawaii–Aleutian Time Zone</v>
    <v t="s">America/Anchorage</v>
  </a>
  <a r="2">
    <v t="r">45</v>
    <v t="r">46</v>
  </a>
  <a r="1">
    <v t="s">English language</v>
  </a>
  <a r="1">
    <v t="s">Central Time Zone</v>
  </a>
  <a r="2">
    <v t="r">80</v>
    <v t="r">81</v>
  </a>
  <a r="4">
    <v t="r">110</v>
    <v t="r">111</v>
    <v t="r">112</v>
    <v t="r">113</v>
  </a>
  <a r="2">
    <v t="r">144</v>
    <v t="r">145</v>
  </a>
  <a r="1">
    <v t="s">Pacific Time Zone</v>
  </a>
  <a r="2">
    <v t="r">177</v>
    <v t="r">178</v>
  </a>
  <a r="2">
    <v t="r">208</v>
    <v t="r">209</v>
  </a>
  <a r="1">
    <v t="s">Eastern Time Zone</v>
  </a>
  <a r="2">
    <v t="r">240</v>
    <v t="r">241</v>
  </a>
  <a r="2">
    <v t="r">268</v>
    <v t="r">269</v>
  </a>
  <a r="2">
    <v t="r">295</v>
    <v t="r">296</v>
  </a>
  <a r="2">
    <v t="r">321</v>
    <v t="r">322</v>
  </a>
  <a r="2">
    <v t="s">English language</v>
    <v t="s">Hawaiian language</v>
  </a>
  <a r="1">
    <v t="s">Hawaii–Aleutian Time Zone</v>
  </a>
  <a r="2">
    <v t="r">351</v>
    <v t="r">352</v>
  </a>
  <a r="2">
    <v t="r">375</v>
    <v t="r">376</v>
  </a>
  <a r="2">
    <v t="r">402</v>
    <v t="r">403</v>
  </a>
  <a r="2">
    <v t="r">429</v>
    <v t="r">430</v>
  </a>
  <a r="2">
    <v t="r">456</v>
    <v t="r">457</v>
  </a>
  <a r="2">
    <v t="r">481</v>
    <v t="r">482</v>
  </a>
  <a r="2">
    <v t="r">508</v>
    <v t="r">509</v>
  </a>
  <a r="2">
    <v t="r">533</v>
    <v t="r">534</v>
  </a>
  <a r="2">
    <v t="r">558</v>
    <v t="r">559</v>
  </a>
  <a r="1">
    <v t="r">584</v>
  </a>
  <a r="2">
    <v t="r">609</v>
    <v t="r">610</v>
  </a>
  <a r="2">
    <v t="r">636</v>
    <v t="r">637</v>
  </a>
  <a r="2">
    <v t="r">661</v>
    <v t="r">662</v>
  </a>
  <a r="2">
    <v t="r">680</v>
    <v t="r">681</v>
  </a>
  <a r="2">
    <v t="r">705</v>
    <v t="r">706</v>
  </a>
  <a r="2">
    <v t="r">733</v>
    <v t="r">734</v>
  </a>
  <a r="2">
    <v t="r">757</v>
    <v t="r">758</v>
  </a>
  <a r="2">
    <v t="r">781</v>
    <v t="r">782</v>
  </a>
  <a r="1">
    <v t="r">806</v>
  </a>
  <a r="4">
    <v t="r">827</v>
    <v t="r">828</v>
    <v t="r">829</v>
    <v t="r">830</v>
  </a>
  <a r="2">
    <v t="r">851</v>
    <v t="r">852</v>
  </a>
  <a r="2">
    <v t="r">872</v>
    <v t="r">873</v>
  </a>
  <a r="2">
    <v t="s">Pacific Time Zone</v>
    <v t="s">Mountain Time Zone</v>
  </a>
  <a r="4">
    <v t="r">899</v>
    <v t="r">900</v>
    <v t="r">901</v>
    <v t="r">902</v>
  </a>
  <a r="2">
    <v t="r">922</v>
    <v t="r">923</v>
  </a>
  <a r="4">
    <v t="r">943</v>
    <v t="r">944</v>
    <v t="r">945</v>
    <v t="r">946</v>
  </a>
  <a r="2">
    <v t="r">968</v>
    <v t="r">969</v>
  </a>
  <a r="2">
    <v t="r">989</v>
    <v t="r">990</v>
  </a>
  <a r="2">
    <v t="r">1011</v>
    <v t="r">1012</v>
  </a>
  <a r="2">
    <v t="r">1033</v>
    <v t="r">1034</v>
  </a>
  <a r="2">
    <v t="r">1056</v>
    <v t="r">1057</v>
  </a>
  <a r="4">
    <v t="r">1077</v>
    <v t="r">1078</v>
    <v t="r">1079</v>
    <v t="r">1080</v>
  </a>
  <a r="2">
    <v t="s">Eastern Time Zone</v>
    <v t="s">Central Time Zone</v>
  </a>
  <a r="2">
    <v t="r">1101</v>
    <v t="r">1102</v>
  </a>
  <a r="2">
    <v t="r">1123</v>
    <v t="r">1124</v>
  </a>
  <a r="1">
    <v t="s">Mountain Time Zone</v>
  </a>
  <a r="2">
    <v t="r">1147</v>
    <v t="r">1148</v>
  </a>
  <a r="2">
    <v t="r">1169</v>
    <v t="r">1170</v>
  </a>
  <a r="2">
    <v t="r">1191</v>
    <v t="r">1192</v>
  </a>
  <a r="2">
    <v t="r">1215</v>
    <v t="r">1216</v>
  </a>
  <a r="2">
    <v t="r">1236</v>
    <v t="r">1237</v>
  </a>
  <a r="2">
    <v t="r">1259</v>
    <v t="r">1260</v>
  </a>
</arrayData>
</file>

<file path=xl/richData/rdrichvalue.xml><?xml version="1.0" encoding="utf-8"?>
<rvData xmlns="http://schemas.microsoft.com/office/spreadsheetml/2017/richdata" count="1271">
  <rv s="0">
    <v>536870912</v>
    <v>Alaska</v>
    <v>31c4c7a1-54e7-4306-ac9b-f1b02e85bda5</v>
    <v>en-US</v>
    <v>Map</v>
  </rv>
  <rv s="1">
    <fb>1717856</fb>
    <v>11</v>
  </rv>
  <rv s="1">
    <fb>1503</fb>
    <v>11</v>
  </rv>
  <rv s="0">
    <v>536870912</v>
    <v>Juneau</v>
    <v>ce47a020-534a-e2f0-3b98-c25d5457ce0e</v>
    <v>en-US</v>
    <v>Map</v>
  </rv>
  <rv s="0">
    <v>536870912</v>
    <v>United States of America</v>
    <v>5232ed96-85b1-2edb-12c6-63e6c597a1de</v>
    <v>en-US</v>
    <v>Map</v>
  </rv>
  <rv s="1">
    <fb>250969</fb>
    <v>11</v>
  </rv>
  <rv s="1">
    <fb>310658</fb>
    <v>11</v>
  </rv>
  <rv s="2">
    <v>0</v>
    <v>9</v>
    <v>0</v>
    <v>7</v>
    <v>0</v>
    <v>Image of Alaska</v>
  </rv>
  <rv s="0">
    <v>536870912</v>
    <v>Anchorage</v>
    <v>bd15c49e-153e-8826-0032-c90bafba7d11</v>
    <v>en-US</v>
    <v>Map</v>
  </rv>
  <rv s="0">
    <v>805306368</v>
    <v>Mike Dunleavy (Governor)</v>
    <v>86533fd4-0581-b5ef-b7d9-2a5897049014</v>
    <v>en-US</v>
    <v>Generic</v>
  </rv>
  <rv s="0">
    <v>805306368</v>
    <v>Nancy Dahlstrom (Lieutenant governor)</v>
    <v>9004ab7f-e3e7-3f05-596c-0fe7e02eb6db</v>
    <v>en-US</v>
    <v>Generic</v>
  </rv>
  <rv s="3">
    <v>0</v>
  </rv>
  <rv s="4">
    <v>https://www.bing.com/search?q=alaska&amp;form=skydnc</v>
    <v>Learn more on Bing</v>
  </rv>
  <rv s="1">
    <fb>1146</fb>
    <v>12</v>
  </rv>
  <rv s="1">
    <fb>72515</fb>
    <v>12</v>
  </rv>
  <rv s="1">
    <fb>250000</fb>
    <v>12</v>
  </rv>
  <rv s="3">
    <v>1</v>
  </rv>
  <rv s="1">
    <fb>2.81</fb>
    <v>13</v>
  </rv>
  <rv s="1">
    <fb>733391</fb>
    <v>11</v>
  </rv>
  <rv s="1">
    <fb>4.4999999999999998E-2</fb>
    <v>14</v>
  </rv>
  <rv s="1">
    <fb>9.9000000000000005E-2</fb>
    <v>14</v>
  </rv>
  <rv s="1">
    <fb>0.14800000000000002</fb>
    <v>15</v>
  </rv>
  <rv s="1">
    <fb>6.3E-2</fb>
    <v>14</v>
  </rv>
  <rv s="1">
    <fb>0.28000000000000003</fb>
    <v>14</v>
  </rv>
  <rv s="1">
    <fb>3.9E-2</fb>
    <v>14</v>
  </rv>
  <rv s="1">
    <fb>7.400000000000001E-2</fb>
    <v>14</v>
  </rv>
  <rv s="1">
    <fb>0.92099999999999993</fb>
    <v>14</v>
  </rv>
  <rv s="1">
    <fb>7.0000000000000007E-2</fb>
    <v>14</v>
  </rv>
  <rv s="1">
    <fb>0.67700000000000005</fb>
    <v>14</v>
  </rv>
  <rv s="1">
    <fb>1.3000000000000001E-2</fb>
    <v>14</v>
  </rv>
  <rv s="1">
    <fb>8.1000000000000003E-2</fb>
    <v>14</v>
  </rv>
  <rv s="1">
    <fb>7.2000000000000008E-2</fb>
    <v>14</v>
  </rv>
  <rv s="1">
    <fb>0.252</fb>
    <v>14</v>
  </rv>
  <rv s="1">
    <fb>7.4999999999999997E-2</fb>
    <v>14</v>
  </rv>
  <rv s="1">
    <fb>0.66500000000000004</fb>
    <v>14</v>
  </rv>
  <rv s="3">
    <v>2</v>
  </rv>
  <rv s="5">
    <v>#VALUE!</v>
    <v>4</v>
    <v>5</v>
    <v>Alaska</v>
    <v>7</v>
    <v>8</v>
    <v>Map</v>
    <v>9</v>
    <v>10</v>
    <v>en-US</v>
    <v>31c4c7a1-54e7-4306-ac9b-f1b02e85bda5</v>
    <v>536870912</v>
    <v>1</v>
    <v>US-AK</v>
    <v>1</v>
    <v>2</v>
    <v>3</v>
    <v>4</v>
    <v>Alaska is a non-contiguous U.S. state on the northwest extremity of North America. It is in the Western United States region, and is considered to be the northernmost, westernmost, and easternmost state in the United States. To the east, it ...</v>
    <v>5</v>
    <v>6</v>
    <v>7</v>
    <v>8</v>
    <v>11</v>
    <v>12</v>
    <v>13</v>
    <v>14</v>
    <v>15</v>
    <v>Alaska</v>
    <v>16</v>
    <v>17</v>
    <v>18</v>
    <v>19</v>
    <v>20</v>
    <v>21</v>
    <v>22</v>
    <v>23</v>
    <v>24</v>
    <v>25</v>
    <v>26</v>
    <v>27</v>
    <v>28</v>
    <v>29</v>
    <v>30</v>
    <v>31</v>
    <v>32</v>
    <v>33</v>
    <v>34</v>
    <v>35</v>
    <v>Alaska</v>
    <v>mdp/vdpid/1040</v>
  </rv>
  <rv s="0">
    <v>536870912</v>
    <v>Alabama</v>
    <v>376f8b06-52f6-4e72-a31d-311a3563e645</v>
    <v>en-US</v>
    <v>Map</v>
  </rv>
  <rv s="1">
    <fb>135765</fb>
    <v>11</v>
  </rv>
  <rv s="1">
    <fb>15001</fb>
    <v>11</v>
  </rv>
  <rv s="0">
    <v>536870912</v>
    <v>Montgomery</v>
    <v>94461fee-ea89-40c8-9fd7-0fb277396c57</v>
    <v>en-US</v>
    <v>Map</v>
  </rv>
  <rv s="1">
    <fb>1848325</fb>
    <v>11</v>
  </rv>
  <rv s="1">
    <fb>2230185</fb>
    <v>11</v>
  </rv>
  <rv s="2">
    <v>1</v>
    <v>9</v>
    <v>16</v>
    <v>7</v>
    <v>0</v>
    <v>Image of Alabama</v>
  </rv>
  <rv s="0">
    <v>536870912</v>
    <v>Huntsville</v>
    <v>137418fd-4a88-44b7-82ae-882366c96167</v>
    <v>en-US</v>
    <v>Map</v>
  </rv>
  <rv s="0">
    <v>805306368</v>
    <v>Kay Ivey (Governor)</v>
    <v>a2f77bba-b8e2-c4d5-614a-3373a005b8ad</v>
    <v>en-US</v>
    <v>Generic</v>
  </rv>
  <rv s="0">
    <v>805306368</v>
    <v>Will Ainsworth (Lieutenant governor)</v>
    <v>94c54ae1-f876-5341-9b94-0f826d9b10a6</v>
    <v>en-US</v>
    <v>Generic</v>
  </rv>
  <rv s="3">
    <v>3</v>
  </rv>
  <rv s="4">
    <v>https://www.bing.com/search?q=alabama&amp;form=skydnc</v>
    <v>Learn more on Bing</v>
  </rv>
  <rv s="1">
    <fb>717</fb>
    <v>12</v>
  </rv>
  <rv s="1">
    <fb>43623</fb>
    <v>12</v>
  </rv>
  <rv s="1">
    <fb>125500</fb>
    <v>12</v>
  </rv>
  <rv s="3">
    <v>4</v>
  </rv>
  <rv s="1">
    <fb>2.5499999999999998</fb>
    <v>13</v>
  </rv>
  <rv s="1">
    <fb>5024279</fb>
    <v>11</v>
  </rv>
  <rv s="1">
    <fb>1.7000000000000001E-2</fb>
    <v>14</v>
  </rv>
  <rv s="1">
    <fb>0.157</fb>
    <v>14</v>
  </rv>
  <rv s="1">
    <fb>6.9999999999999993E-3</fb>
    <v>15</v>
  </rv>
  <rv s="1">
    <fb>1.3999999999999999E-2</fb>
    <v>14</v>
  </rv>
  <rv s="1">
    <fb>0.23499999999999999</fb>
    <v>14</v>
  </rv>
  <rv s="1">
    <fb>0.26800000000000002</fb>
    <v>14</v>
  </rv>
  <rv s="1">
    <fb>3.5000000000000003E-2</fb>
    <v>14</v>
  </rv>
  <rv s="1">
    <fb>0.84299999999999997</fb>
    <v>14</v>
  </rv>
  <rv s="1">
    <fb>4.2000000000000003E-2</fb>
    <v>14</v>
  </rv>
  <rv s="1">
    <fb>0.57999999999999996</fb>
    <v>14</v>
  </rv>
  <rv s="1">
    <fb>1E-3</fb>
    <v>14</v>
  </rv>
  <rv s="1">
    <fb>0.11800000000000001</fb>
    <v>14</v>
  </rv>
  <rv s="1">
    <fb>1.6E-2</fb>
    <v>14</v>
  </rv>
  <rv s="1">
    <fb>0.22699999999999998</fb>
    <v>14</v>
  </rv>
  <rv s="1">
    <fb>0.06</fb>
    <v>14</v>
  </rv>
  <rv s="1">
    <fb>0.69499999999999995</fb>
    <v>14</v>
  </rv>
  <rv s="3">
    <v>5</v>
  </rv>
  <rv s="5">
    <v>#VALUE!</v>
    <v>19</v>
    <v>5</v>
    <v>Alabama</v>
    <v>7</v>
    <v>8</v>
    <v>Map</v>
    <v>9</v>
    <v>10</v>
    <v>en-US</v>
    <v>376f8b06-52f6-4e72-a31d-311a3563e645</v>
    <v>536870912</v>
    <v>1</v>
    <v>US-AL</v>
    <v>38</v>
    <v>39</v>
    <v>40</v>
    <v>4</v>
    <v>Alabama is a state in the Southeastern region of the United States. It borders Tennessee to the north, Georgia to the east, Florida and the Gulf of Mexico to the south, and Mississippi to the west. Alabama is the 30th largest by area and the ...</v>
    <v>41</v>
    <v>42</v>
    <v>43</v>
    <v>44</v>
    <v>47</v>
    <v>48</v>
    <v>49</v>
    <v>50</v>
    <v>51</v>
    <v>Alabama</v>
    <v>52</v>
    <v>53</v>
    <v>54</v>
    <v>55</v>
    <v>56</v>
    <v>57</v>
    <v>58</v>
    <v>59</v>
    <v>60</v>
    <v>61</v>
    <v>62</v>
    <v>63</v>
    <v>64</v>
    <v>65</v>
    <v>66</v>
    <v>67</v>
    <v>68</v>
    <v>69</v>
    <v>70</v>
    <v>71</v>
    <v>Alabama</v>
    <v>mdp/vdpid/1003</v>
  </rv>
  <rv s="0">
    <v>536870912</v>
    <v>Arkansas</v>
    <v>b939db72-08f2-4ea6-a16a-a53bf32e6612</v>
    <v>en-US</v>
    <v>Map</v>
  </rv>
  <rv s="1">
    <fb>137733</fb>
    <v>11</v>
  </rv>
  <rv s="1">
    <fb>9474</fb>
    <v>11</v>
  </rv>
  <rv s="0">
    <v>536870912</v>
    <v>Little Rock</v>
    <v>2039fcee-c7a5-4241-930b-d2c6d17bae74</v>
    <v>en-US</v>
    <v>Map</v>
  </rv>
  <rv s="1">
    <fb>1138025</fb>
    <v>11</v>
  </rv>
  <rv s="1">
    <fb>1354762</fb>
    <v>11</v>
  </rv>
  <rv s="2">
    <v>2</v>
    <v>9</v>
    <v>20</v>
    <v>7</v>
    <v>0</v>
    <v>Image of Arkansas</v>
  </rv>
  <rv s="0">
    <v>805306368</v>
    <v>Sarah Huckabee Sanders (Governor)</v>
    <v>794a8222-ef7c-184f-be8d-1e95d28290a2</v>
    <v>en-US</v>
    <v>Generic</v>
  </rv>
  <rv s="0">
    <v>805306368</v>
    <v>Leslie Rutledge (Lieutenant governor)</v>
    <v>1df1c81e-109f-d6a6-5a0a-52a5e8e4ee06</v>
    <v>en-US</v>
    <v>Generic</v>
  </rv>
  <rv s="3">
    <v>6</v>
  </rv>
  <rv s="4">
    <v>https://www.bing.com/search?q=arkansas&amp;form=skydnc</v>
    <v>Learn more on Bing</v>
  </rv>
  <rv s="1">
    <fb>677</fb>
    <v>12</v>
  </rv>
  <rv s="1">
    <fb>41371</fb>
    <v>12</v>
  </rv>
  <rv s="1">
    <fb>111400</fb>
    <v>12</v>
  </rv>
  <rv s="1">
    <fb>2.5299999999999998</fb>
    <v>13</v>
  </rv>
  <rv s="1">
    <fb>3011524</fb>
    <v>11</v>
  </rv>
  <rv s="1">
    <fb>2.5000000000000001E-2</fb>
    <v>14</v>
  </rv>
  <rv s="1">
    <fb>0.16</fb>
    <v>14</v>
  </rv>
  <rv s="1">
    <fb>0.01</fb>
    <v>15</v>
  </rv>
  <rv s="1">
    <fb>0.21100000000000002</fb>
    <v>14</v>
  </rv>
  <rv s="1">
    <fb>4.7E-2</fb>
    <v>14</v>
  </rv>
  <rv s="1">
    <fb>0.84799999999999998</fb>
    <v>14</v>
  </rv>
  <rv s="1">
    <fb>0.58499999999999996</fb>
    <v>14</v>
  </rv>
  <rv s="1">
    <fb>3.0000000000000001E-3</fb>
    <v>14</v>
  </rv>
  <rv s="1">
    <fb>0.12300000000000001</fb>
    <v>14</v>
  </rv>
  <rv s="1">
    <fb>0.02</fb>
    <v>14</v>
  </rv>
  <rv s="1">
    <fb>0.23699999999999999</fb>
    <v>14</v>
  </rv>
  <rv s="1">
    <fb>6.4000000000000001E-2</fb>
    <v>14</v>
  </rv>
  <rv s="1">
    <fb>0.79500000000000004</fb>
    <v>14</v>
  </rv>
  <rv s="5">
    <v>#VALUE!</v>
    <v>23</v>
    <v>5</v>
    <v>Arkansas</v>
    <v>7</v>
    <v>8</v>
    <v>Map</v>
    <v>9</v>
    <v>10</v>
    <v>en-US</v>
    <v>b939db72-08f2-4ea6-a16a-a53bf32e6612</v>
    <v>536870912</v>
    <v>1</v>
    <v>US-AR</v>
    <v>74</v>
    <v>75</v>
    <v>76</v>
    <v>4</v>
    <v>Arkansas is a landlocked state in the South Central region of the Southern United States. It borders Missouri to the north, Tennessee and Mississippi to the east, Louisiana to the south, Texas to the southwest, and Oklahoma to the west. Its name ...</v>
    <v>77</v>
    <v>78</v>
    <v>79</v>
    <v>76</v>
    <v>82</v>
    <v>83</v>
    <v>84</v>
    <v>85</v>
    <v>86</v>
    <v>Arkansas</v>
    <v>52</v>
    <v>87</v>
    <v>88</v>
    <v>89</v>
    <v>90</v>
    <v>91</v>
    <v>67</v>
    <v>92</v>
    <v>56</v>
    <v>93</v>
    <v>94</v>
    <v>31</v>
    <v>95</v>
    <v>96</v>
    <v>97</v>
    <v>98</v>
    <v>99</v>
    <v>100</v>
    <v>101</v>
    <v>71</v>
    <v>Arkansas</v>
    <v>mdp/vdpid/1951</v>
  </rv>
  <rv s="0">
    <v>536870912</v>
    <v>Arizona</v>
    <v>bf973f46-5962-4997-a7ba-a05f1aa2a9f9</v>
    <v>en-US</v>
    <v>Map</v>
  </rv>
  <rv s="1">
    <fb>295234</fb>
    <v>11</v>
  </rv>
  <rv s="1">
    <fb>35578</fb>
    <v>11</v>
  </rv>
  <rv s="0">
    <v>536870912</v>
    <v>Phoenix</v>
    <v>b06044c3-41e1-4e2a-bba7-27a29bba8ea9</v>
    <v>en-US</v>
    <v>Map</v>
  </rv>
  <rv s="1">
    <fb>2412212</fb>
    <v>11</v>
  </rv>
  <rv s="1">
    <fb>2961003</fb>
    <v>11</v>
  </rv>
  <rv s="2">
    <v>3</v>
    <v>9</v>
    <v>24</v>
    <v>7</v>
    <v>0</v>
    <v>Image of Arizona</v>
  </rv>
  <rv s="0">
    <v>805306368</v>
    <v>Katie Hobbs (Governor)</v>
    <v>05adb62e-e735-4e07-b8db-01b500d8f313</v>
    <v>en-US</v>
    <v>Generic</v>
  </rv>
  <rv s="0">
    <v>805306368</v>
    <v>Adrian Fontes (Secretary of state)</v>
    <v>0c546f0f-c55b-c9c4-74cd-81b6c0d421d9</v>
    <v>en-US</v>
    <v>Generic</v>
  </rv>
  <rv s="0">
    <v>805306368</v>
    <v>Kyrsten Sinema (Senate)</v>
    <v>2f185901-4947-b2cf-2efe-d31d7695ad38</v>
    <v>en-US</v>
    <v>Generic</v>
  </rv>
  <rv s="0">
    <v>805306368</v>
    <v>Mark Kelly (Senate)</v>
    <v>7378c94d-66d6-3a6c-42fd-639c9bfc1491</v>
    <v>en-US</v>
    <v>Generic</v>
  </rv>
  <rv s="3">
    <v>7</v>
  </rv>
  <rv s="4">
    <v>https://www.bing.com/search?q=arizona&amp;form=skydnc</v>
    <v>Learn more on Bing</v>
  </rv>
  <rv s="1">
    <fb>913</fb>
    <v>12</v>
  </rv>
  <rv s="1">
    <fb>50255</fb>
    <v>12</v>
  </rv>
  <rv s="1">
    <fb>167500</fb>
    <v>12</v>
  </rv>
  <rv s="1">
    <fb>2.69</fb>
    <v>13</v>
  </rv>
  <rv s="1">
    <fb>7151502</fb>
    <v>11</v>
  </rv>
  <rv s="1">
    <fb>8.4000000000000005E-2</fb>
    <v>14</v>
  </rv>
  <rv s="1">
    <fb>0.16399999999999998</fb>
    <v>14</v>
  </rv>
  <rv s="1">
    <fb>5.2999999999999999E-2</fb>
    <v>15</v>
  </rv>
  <rv s="1">
    <fb>3.4000000000000002E-2</fb>
    <v>14</v>
  </rv>
  <rv s="1">
    <fb>0.27500000000000002</fb>
    <v>14</v>
  </rv>
  <rv s="1">
    <fb>4.8000000000000001E-2</fb>
    <v>14</v>
  </rv>
  <rv s="1">
    <fb>0.13500000000000001</fb>
    <v>14</v>
  </rv>
  <rv s="1">
    <fb>0.86</fb>
    <v>14</v>
  </rv>
  <rv s="1">
    <fb>0.307</fb>
    <v>14</v>
  </rv>
  <rv s="1">
    <fb>0.59299999999999997</fb>
    <v>14</v>
  </rv>
  <rv s="1">
    <fb>8.199999999999999E-2</fb>
    <v>14</v>
  </rv>
  <rv s="1">
    <fb>2.7000000000000003E-2</fb>
    <v>14</v>
  </rv>
  <rv s="1">
    <fb>0.23800000000000002</fb>
    <v>14</v>
  </rv>
  <rv s="1">
    <fb>0.83499999999999996</fb>
    <v>14</v>
  </rv>
  <rv s="6">
    <v>#VALUE!</v>
    <v>27</v>
    <v>28</v>
    <v>Arizona</v>
    <v>7</v>
    <v>8</v>
    <v>Map</v>
    <v>9</v>
    <v>10</v>
    <v>en-US</v>
    <v>bf973f46-5962-4997-a7ba-a05f1aa2a9f9</v>
    <v>536870912</v>
    <v>1</v>
    <v>US-AZ</v>
    <v>104</v>
    <v>105</v>
    <v>106</v>
    <v>4</v>
    <v>Arizona is a state in the Southwestern region of the United States. Arizona is part of the Four Corners region with Utah to the north, Colorado to the northeast, and New Mexico to the east; its other neighboring states are Nevada to the ...</v>
    <v>107</v>
    <v>108</v>
    <v>109</v>
    <v>106</v>
    <v>114</v>
    <v>115</v>
    <v>116</v>
    <v>117</v>
    <v>118</v>
    <v>Arizona</v>
    <v>52</v>
    <v>119</v>
    <v>120</v>
    <v>121</v>
    <v>122</v>
    <v>123</v>
    <v>124</v>
    <v>125</v>
    <v>126</v>
    <v>127</v>
    <v>128</v>
    <v>129</v>
    <v>130</v>
    <v>96</v>
    <v>131</v>
    <v>132</v>
    <v>133</v>
    <v>22</v>
    <v>134</v>
    <v>Arizona</v>
    <v>mdp/vdpid/1945</v>
  </rv>
  <rv s="0">
    <v>536870912</v>
    <v>California</v>
    <v>3009d91d-d582-4c34-85ba-772ba09e5be1</v>
    <v>en-US</v>
    <v>Map</v>
  </rv>
  <rv s="1">
    <fb>423970</fb>
    <v>11</v>
  </rv>
  <rv s="1">
    <fb>102350</fb>
    <v>11</v>
  </rv>
  <rv s="0">
    <v>536870912</v>
    <v>Sacramento</v>
    <v>4a1a8070-cc3d-4060-af9c-08ccbbca73d7</v>
    <v>en-US</v>
    <v>Map</v>
  </rv>
  <rv s="1">
    <fb>12717801</fb>
    <v>11</v>
  </rv>
  <rv s="1">
    <fb>14060525</fb>
    <v>11</v>
  </rv>
  <rv s="2">
    <v>4</v>
    <v>9</v>
    <v>29</v>
    <v>7</v>
    <v>0</v>
    <v>Image of California</v>
  </rv>
  <rv s="0">
    <v>536870912</v>
    <v>Los Angeles</v>
    <v>9958ca5c-ea31-4e71-8a17-bd1e7839c723</v>
    <v>en-US</v>
    <v>Map</v>
  </rv>
  <rv s="0">
    <v>805306368</v>
    <v>Gavin Newsom (Governor)</v>
    <v>ddd0ecbf-d7a9-4913-80c4-8eca3d95b4f2</v>
    <v>en-US</v>
    <v>Generic</v>
  </rv>
  <rv s="0">
    <v>805306368</v>
    <v>Eleni Kounalakis (Lieutenant governor)</v>
    <v>c8b4c34f-e58f-d4cc-2651-1b432d67c11a</v>
    <v>en-US</v>
    <v>Generic</v>
  </rv>
  <rv s="3">
    <v>8</v>
  </rv>
  <rv s="4">
    <v>https://www.bing.com/search?q=california&amp;form=skydnc</v>
    <v>Learn more on Bing</v>
  </rv>
  <rv s="1">
    <fb>1255</fb>
    <v>12</v>
  </rv>
  <rv s="1">
    <fb>61818</fb>
    <v>12</v>
  </rv>
  <rv s="1">
    <fb>385500</fb>
    <v>12</v>
  </rv>
  <rv s="1">
    <fb>2.96</fb>
    <v>13</v>
  </rv>
  <rv s="1">
    <fb>39538223</fb>
    <v>11</v>
  </rv>
  <rv s="1">
    <fb>5.4000000000000006E-2</fb>
    <v>14</v>
  </rv>
  <rv s="1">
    <fb>0.13300000000000001</fb>
    <v>14</v>
  </rv>
  <rv s="1">
    <fb>1.7000000000000001E-2</fb>
    <v>15</v>
  </rv>
  <rv s="1">
    <fb>0.14699999999999999</fb>
    <v>14</v>
  </rv>
  <rv s="1">
    <fb>0.314</fb>
    <v>14</v>
  </rv>
  <rv s="1">
    <fb>6.5000000000000002E-2</fb>
    <v>14</v>
  </rv>
  <rv s="1">
    <fb>0.27</fb>
    <v>14</v>
  </rv>
  <rv s="1">
    <fb>0.81799999999999995</fb>
    <v>14</v>
  </rv>
  <rv s="1">
    <fb>0.38799999999999996</fb>
    <v>14</v>
  </rv>
  <rv s="1">
    <fb>0.63100000000000001</fb>
    <v>14</v>
  </rv>
  <rv s="1">
    <fb>5.0000000000000001E-3</fb>
    <v>14</v>
  </rv>
  <rv s="1">
    <fb>6.8000000000000005E-2</fb>
    <v>14</v>
  </rv>
  <rv s="1">
    <fb>3.7999999999999999E-2</fb>
    <v>14</v>
  </rv>
  <rv s="1">
    <fb>0.23300000000000001</fb>
    <v>14</v>
  </rv>
  <rv s="1">
    <fb>0.72900000000000009</fb>
    <v>14</v>
  </rv>
  <rv s="3">
    <v>9</v>
  </rv>
  <rv s="5">
    <v>#VALUE!</v>
    <v>32</v>
    <v>5</v>
    <v>California</v>
    <v>7</v>
    <v>8</v>
    <v>Map</v>
    <v>9</v>
    <v>10</v>
    <v>en-US</v>
    <v>3009d91d-d582-4c34-85ba-772ba09e5be1</v>
    <v>536870912</v>
    <v>1</v>
    <v>US-CA</v>
    <v>137</v>
    <v>138</v>
    <v>139</v>
    <v>4</v>
    <v>California is a state in the Western United States, lying on the American Pacific Coast. It borders Oregon to the north, Nevada and Arizona to the east, and the Mexican state of Baja California to the south. With 39 million residents across an ...</v>
    <v>140</v>
    <v>141</v>
    <v>142</v>
    <v>143</v>
    <v>146</v>
    <v>147</v>
    <v>148</v>
    <v>149</v>
    <v>150</v>
    <v>California</v>
    <v>52</v>
    <v>151</v>
    <v>152</v>
    <v>153</v>
    <v>154</v>
    <v>155</v>
    <v>156</v>
    <v>157</v>
    <v>158</v>
    <v>159</v>
    <v>160</v>
    <v>161</v>
    <v>162</v>
    <v>163</v>
    <v>164</v>
    <v>165</v>
    <v>166</v>
    <v>100</v>
    <v>167</v>
    <v>168</v>
    <v>California</v>
    <v>mdp/vdpid/5599</v>
  </rv>
  <rv s="0">
    <v>536870912</v>
    <v>Colorado</v>
    <v>a070c5c2-b22d-41d8-b869-f20e583c4f80</v>
    <v>en-US</v>
    <v>Map</v>
  </rv>
  <rv s="1">
    <fb>269837</fb>
    <v>11</v>
  </rv>
  <rv s="1">
    <fb>38974</fb>
    <v>11</v>
  </rv>
  <rv s="0">
    <v>536870912</v>
    <v>Denver</v>
    <v>5a7229b6-72d3-4bfc-a95e-9c35e297c9ff</v>
    <v>en-US</v>
    <v>Map</v>
  </rv>
  <rv s="1">
    <fb>2024468</fb>
    <v>11</v>
  </rv>
  <rv s="1">
    <fb>2339118</fb>
    <v>11</v>
  </rv>
  <rv s="2">
    <v>5</v>
    <v>9</v>
    <v>33</v>
    <v>7</v>
    <v>0</v>
    <v>Image of Colorado</v>
  </rv>
  <rv s="0">
    <v>805306368</v>
    <v>Jared Polis (Governor)</v>
    <v>5a81ae6e-56e8-4cd2-95d3-f7a1b60eaa75</v>
    <v>en-US</v>
    <v>Generic</v>
  </rv>
  <rv s="0">
    <v>805306368</v>
    <v>Dianne Primavera (Lieutenant governor)</v>
    <v>f4e53c30-335f-00af-307f-4f95e90798de</v>
    <v>en-US</v>
    <v>Generic</v>
  </rv>
  <rv s="3">
    <v>10</v>
  </rv>
  <rv s="4">
    <v>https://www.bing.com/search?q=colorado&amp;form=skydnc</v>
    <v>Learn more on Bing</v>
  </rv>
  <rv s="1">
    <fb>1002</fb>
    <v>12</v>
  </rv>
  <rv s="1">
    <fb>60629</fb>
    <v>12</v>
  </rv>
  <rv s="1">
    <fb>247800</fb>
    <v>12</v>
  </rv>
  <rv s="1">
    <fb>5773714</fb>
    <v>11</v>
  </rv>
  <rv s="1">
    <fb>0.10199999999999999</fb>
    <v>14</v>
  </rv>
  <rv s="1">
    <fb>0.13</fb>
    <v>14</v>
  </rv>
  <rv s="1">
    <fb>1.6E-2</fb>
    <v>15</v>
  </rv>
  <rv s="1">
    <fb>3.2000000000000001E-2</fb>
    <v>14</v>
  </rv>
  <rv s="1">
    <fb>0.38100000000000001</fb>
    <v>14</v>
  </rv>
  <rv s="1">
    <fb>9.8000000000000004E-2</fb>
    <v>14</v>
  </rv>
  <rv s="1">
    <fb>0.90700000000000003</fb>
    <v>14</v>
  </rv>
  <rv s="1">
    <fb>0.21299999999999999</fb>
    <v>14</v>
  </rv>
  <rv s="1">
    <fb>0.67599999999999993</fb>
    <v>14</v>
  </rv>
  <rv s="1">
    <fb>2E-3</fb>
    <v>14</v>
  </rv>
  <rv s="1">
    <fb>2.8999999999999998E-2</fb>
    <v>14</v>
  </rv>
  <rv s="1">
    <fb>0.23</fb>
    <v>14</v>
  </rv>
  <rv s="1">
    <fb>6.2E-2</fb>
    <v>14</v>
  </rv>
  <rv s="1">
    <fb>0.875</fb>
    <v>14</v>
  </rv>
  <rv s="6">
    <v>#VALUE!</v>
    <v>36</v>
    <v>28</v>
    <v>Colorado</v>
    <v>7</v>
    <v>8</v>
    <v>Map</v>
    <v>9</v>
    <v>10</v>
    <v>en-US</v>
    <v>a070c5c2-b22d-41d8-b869-f20e583c4f80</v>
    <v>536870912</v>
    <v>1</v>
    <v>US-CO</v>
    <v>171</v>
    <v>172</v>
    <v>173</v>
    <v>4</v>
    <v>Colorado is a landlocked state in the Mountain West subregion of the Western United States. Colorado borders Wyoming to the north, Nebraska to the northeast, Kansas to the east, Oklahoma to the southeast, New Mexico to the south, Utah to the ...</v>
    <v>174</v>
    <v>175</v>
    <v>176</v>
    <v>173</v>
    <v>179</v>
    <v>180</v>
    <v>181</v>
    <v>182</v>
    <v>183</v>
    <v>Colorado</v>
    <v>52</v>
    <v>53</v>
    <v>184</v>
    <v>185</v>
    <v>186</v>
    <v>187</v>
    <v>188</v>
    <v>189</v>
    <v>19</v>
    <v>190</v>
    <v>191</v>
    <v>192</v>
    <v>193</v>
    <v>194</v>
    <v>31</v>
    <v>195</v>
    <v>196</v>
    <v>197</v>
    <v>198</v>
    <v>Colorado</v>
    <v>mdp/vdpid/7636</v>
  </rv>
  <rv s="0">
    <v>536870912</v>
    <v>Connecticut</v>
    <v>b3ca6523-435e-4a3b-8f78-1ad900a52cf8</v>
    <v>en-US</v>
    <v>Map</v>
  </rv>
  <rv s="1">
    <fb>14357</fb>
    <v>11</v>
  </rv>
  <rv s="1">
    <fb>5504</fb>
    <v>11</v>
  </rv>
  <rv s="0">
    <v>536870912</v>
    <v>Hartford</v>
    <v>b8b8ebf2-e2da-483f-8643-880dd55aad13</v>
    <v>en-US</v>
    <v>Map</v>
  </rv>
  <rv s="1">
    <fb>1352583</fb>
    <v>11</v>
  </rv>
  <rv s="1">
    <fb>1499116</fb>
    <v>11</v>
  </rv>
  <rv s="2">
    <v>6</v>
    <v>9</v>
    <v>37</v>
    <v>7</v>
    <v>0</v>
    <v>Image of Connecticut</v>
  </rv>
  <rv s="0">
    <v>536870912</v>
    <v>Bridgeport</v>
    <v>a8869591-489d-40ba-b80b-b6d1e6c19391</v>
    <v>en-US</v>
    <v>Map</v>
  </rv>
  <rv s="0">
    <v>805306368</v>
    <v>Ned Lamont (Governor)</v>
    <v>3685f682-77d1-4823-3b8f-bcb46698ef70</v>
    <v>en-US</v>
    <v>Generic</v>
  </rv>
  <rv s="0">
    <v>805306368</v>
    <v>Susan Bysiewicz (Lieutenant governor)</v>
    <v>e8219547-8f75-e4f3-3f07-7b5df6eb7c4c</v>
    <v>en-US</v>
    <v>Generic</v>
  </rv>
  <rv s="3">
    <v>11</v>
  </rv>
  <rv s="4">
    <v>https://www.bing.com/search?q=connecticut&amp;form=skydnc</v>
    <v>Learn more on Bing</v>
  </rv>
  <rv s="1">
    <fb>1075</fb>
    <v>12</v>
  </rv>
  <rv s="1">
    <fb>70331</fb>
    <v>12</v>
  </rv>
  <rv s="1">
    <fb>270500</fb>
    <v>12</v>
  </rv>
  <rv s="1">
    <fb>2.57</fb>
    <v>13</v>
  </rv>
  <rv s="1">
    <fb>3605944</fb>
    <v>11</v>
  </rv>
  <rv s="1">
    <fb>0.158</fb>
    <v>14</v>
  </rv>
  <rv s="1">
    <fb>5.0000000000000001E-3</fb>
    <v>15</v>
  </rv>
  <rv s="1">
    <fb>4.5999999999999999E-2</fb>
    <v>14</v>
  </rv>
  <rv s="1">
    <fb>0.376</fb>
    <v>14</v>
  </rv>
  <rv s="1">
    <fb>0.11599999999999999</fb>
    <v>14</v>
  </rv>
  <rv s="1">
    <fb>0.13900000000000001</fb>
    <v>14</v>
  </rv>
  <rv s="1">
    <fb>0.89900000000000002</fb>
    <v>14</v>
  </rv>
  <rv s="1">
    <fb>0.154</fb>
    <v>14</v>
  </rv>
  <rv s="1">
    <fb>0.67200000000000004</fb>
    <v>14</v>
  </rv>
  <rv s="1">
    <fb>7.0999999999999994E-2</fb>
    <v>14</v>
  </rv>
  <rv s="1">
    <fb>2.2000000000000002E-2</fb>
    <v>14</v>
  </rv>
  <rv s="1">
    <fb>5.2000000000000005E-2</fb>
    <v>14</v>
  </rv>
  <rv s="1">
    <fb>0.80799999999999994</fb>
    <v>14</v>
  </rv>
  <rv s="3">
    <v>12</v>
  </rv>
  <rv s="7">
    <v>#VALUE!</v>
    <v>40</v>
    <v>41</v>
    <v>Connecticut</v>
    <v>7</v>
    <v>8</v>
    <v>Map</v>
    <v>9</v>
    <v>10</v>
    <v>en-US</v>
    <v>b3ca6523-435e-4a3b-8f78-1ad900a52cf8</v>
    <v>536870912</v>
    <v>1</v>
    <v>US-CT</v>
    <v>201</v>
    <v>202</v>
    <v>203</v>
    <v>4</v>
    <v>Connecticut is the southernmost state in the New England region of the Northeastern United States. It borders Rhode Island to the east, Massachusetts to the north, New York to the west, and Long Island Sound to the south. Its capital is ...</v>
    <v>204</v>
    <v>205</v>
    <v>206</v>
    <v>207</v>
    <v>210</v>
    <v>211</v>
    <v>212</v>
    <v>213</v>
    <v>214</v>
    <v>Connecticut</v>
    <v>215</v>
    <v>216</v>
    <v>65</v>
    <v>217</v>
    <v>218</v>
    <v>219</v>
    <v>220</v>
    <v>221</v>
    <v>222</v>
    <v>223</v>
    <v>224</v>
    <v>225</v>
    <v>65</v>
    <v>226</v>
    <v>227</v>
    <v>192</v>
    <v>228</v>
    <v>229</v>
    <v>230</v>
    <v>Connecticut</v>
    <v>mdp/vdpid/7798</v>
  </rv>
  <rv s="0">
    <v>536870912</v>
    <v>Delaware</v>
    <v>8ad617cc-3d7a-4b3c-a787-098de959ccc4</v>
    <v>en-US</v>
    <v>Map</v>
  </rv>
  <rv s="1">
    <fb>6452</fb>
    <v>11</v>
  </rv>
  <rv s="1">
    <fb>5804</fb>
    <v>11</v>
  </rv>
  <rv s="0">
    <v>536870912</v>
    <v>Dover</v>
    <v>e2074a3a-aa84-0f74-453a-3167a0a32abc</v>
    <v>en-US</v>
    <v>Map</v>
  </rv>
  <rv s="1">
    <fb>344022</fb>
    <v>11</v>
  </rv>
  <rv s="1">
    <fb>426149</fb>
    <v>11</v>
  </rv>
  <rv s="2">
    <v>7</v>
    <v>9</v>
    <v>42</v>
    <v>7</v>
    <v>0</v>
    <v>Image of Delaware</v>
  </rv>
  <rv s="0">
    <v>536870912</v>
    <v>Wilmington</v>
    <v>77a8f223-fe51-4aa2-8e3d-6c81e5bc270e</v>
    <v>en-US</v>
    <v>Map</v>
  </rv>
  <rv s="0">
    <v>805306368</v>
    <v>John Carney (Governor)</v>
    <v>27d50603-eaaa-4817-8ca0-edafa395697d</v>
    <v>en-US</v>
    <v>Generic</v>
  </rv>
  <rv s="0">
    <v>805306368</v>
    <v>Bethany Hall-Long (Lieutenant governor)</v>
    <v>ee026ac0-4056-4f6d-e38a-e7f7b78c42f4</v>
    <v>en-US</v>
    <v>Generic</v>
  </rv>
  <rv s="3">
    <v>13</v>
  </rv>
  <rv s="4">
    <v>https://www.bing.com/search?q=delaware&amp;form=skydnc</v>
    <v>Learn more on Bing</v>
  </rv>
  <rv s="1">
    <fb>1018</fb>
    <v>12</v>
  </rv>
  <rv s="1">
    <fb>60509</fb>
    <v>12</v>
  </rv>
  <rv s="1">
    <fb>231500</fb>
    <v>12</v>
  </rv>
  <rv s="1">
    <fb>2.62</fb>
    <v>13</v>
  </rv>
  <rv s="1">
    <fb>989948</fb>
    <v>11</v>
  </rv>
  <rv s="1">
    <fb>0.17</fb>
    <v>14</v>
  </rv>
  <rv s="1">
    <fb>0.3</fb>
    <v>14</v>
  </rv>
  <rv s="1">
    <fb>0.22399999999999998</fb>
    <v>14</v>
  </rv>
  <rv s="1">
    <fb>8.6999999999999994E-2</fb>
    <v>14</v>
  </rv>
  <rv s="1">
    <fb>0.88400000000000001</fb>
    <v>14</v>
  </rv>
  <rv s="1">
    <fb>0.09</fb>
    <v>14</v>
  </rv>
  <rv s="1">
    <fb>8.5000000000000006E-2</fb>
    <v>14</v>
  </rv>
  <rv s="1">
    <fb>0.21600000000000003</fb>
    <v>14</v>
  </rv>
  <rv s="1">
    <fb>5.9000000000000004E-2</fb>
    <v>14</v>
  </rv>
  <rv s="1">
    <fb>0.70400000000000007</fb>
    <v>14</v>
  </rv>
  <rv s="7">
    <v>#VALUE!</v>
    <v>45</v>
    <v>41</v>
    <v>Delaware</v>
    <v>7</v>
    <v>8</v>
    <v>Map</v>
    <v>9</v>
    <v>10</v>
    <v>en-US</v>
    <v>8ad617cc-3d7a-4b3c-a787-098de959ccc4</v>
    <v>536870912</v>
    <v>1</v>
    <v>US-DE</v>
    <v>233</v>
    <v>234</v>
    <v>235</v>
    <v>4</v>
    <v>Delaware is a state in the Mid-Atlantic region of the United States. It borders Maryland to its south and west, Pennsylvania to its north, New Jersey to its northeast, and the Atlantic Ocean to its east. The state's name derives from the ...</v>
    <v>236</v>
    <v>237</v>
    <v>238</v>
    <v>239</v>
    <v>242</v>
    <v>243</v>
    <v>244</v>
    <v>245</v>
    <v>246</v>
    <v>Delaware</v>
    <v>247</v>
    <v>248</v>
    <v>69</v>
    <v>249</v>
    <v>57</v>
    <v>24</v>
    <v>250</v>
    <v>251</v>
    <v>252</v>
    <v>253</v>
    <v>254</v>
    <v>162</v>
    <v>65</v>
    <v>255</v>
    <v>89</v>
    <v>256</v>
    <v>257</v>
    <v>258</v>
    <v>230</v>
    <v>Delaware</v>
    <v>mdp/vdpid/8831</v>
  </rv>
  <rv s="0">
    <v>536870912</v>
    <v>Florida</v>
    <v>5fece3f4-e8e8-4159-843e-f725a930ad50</v>
    <v>en-US</v>
    <v>Map</v>
  </rv>
  <rv s="1">
    <fb>170304</fb>
    <v>11</v>
  </rv>
  <rv s="1">
    <fb>116240</fb>
    <v>11</v>
  </rv>
  <rv s="0">
    <v>536870912</v>
    <v>Tallahassee</v>
    <v>fe8036d9-2764-4483-9405-f07a59b69915</v>
    <v>en-US</v>
    <v>Map</v>
  </rv>
  <rv s="1">
    <fb>7300494</fb>
    <v>11</v>
  </rv>
  <rv s="1">
    <fb>9301642</fb>
    <v>11</v>
  </rv>
  <rv s="2">
    <v>8</v>
    <v>9</v>
    <v>46</v>
    <v>7</v>
    <v>0</v>
    <v>Image of Florida</v>
  </rv>
  <rv s="0">
    <v>536870912</v>
    <v>Jacksonville</v>
    <v>8bd6021b-ea7f-4470-a29b-042b1c82e07f</v>
    <v>en-US</v>
    <v>Map</v>
  </rv>
  <rv s="0">
    <v>805306368</v>
    <v>Ron DeSantis (Governor)</v>
    <v>1ed346c3-9ad7-8e78-ae55-5ed54b15749a</v>
    <v>en-US</v>
    <v>Generic</v>
  </rv>
  <rv s="0">
    <v>805306368</v>
    <v>Jeanette Nuñez (Lieutenant governor)</v>
    <v>521859d8-c46c-b08b-cb47-7344118c3236</v>
    <v>en-US</v>
    <v>Generic</v>
  </rv>
  <rv s="3">
    <v>14</v>
  </rv>
  <rv s="4">
    <v>https://www.bing.com/search?q=florida&amp;form=skydnc</v>
    <v>Learn more on Bing</v>
  </rv>
  <rv s="1">
    <fb>47507</fb>
    <v>12</v>
  </rv>
  <rv s="1">
    <fb>159000</fb>
    <v>12</v>
  </rv>
  <rv s="1">
    <fb>2.63</fb>
    <v>13</v>
  </rv>
  <rv s="1">
    <fb>21538187</fb>
    <v>11</v>
  </rv>
  <rv s="1">
    <fb>9.6000000000000002E-2</fb>
    <v>14</v>
  </rv>
  <rv s="1">
    <fb>0.19399999999999998</fb>
    <v>14</v>
  </rv>
  <rv s="1">
    <fb>2.7999999999999997E-2</fb>
    <v>14</v>
  </rv>
  <rv s="1">
    <fb>0.27300000000000002</fb>
    <v>14</v>
  </rv>
  <rv s="1">
    <fb>0.16800000000000001</fb>
    <v>14</v>
  </rv>
  <rv s="1">
    <fb>0.19699999999999998</fb>
    <v>14</v>
  </rv>
  <rv s="1">
    <fb>0.86900000000000011</fb>
    <v>14</v>
  </rv>
  <rv s="1">
    <fb>0.245</fb>
    <v>14</v>
  </rv>
  <rv s="1">
    <fb>0.58799999999999997</fb>
    <v>14</v>
  </rv>
  <rv s="1">
    <fb>0.20300000000000001</fb>
    <v>14</v>
  </rv>
  <rv s="1">
    <fb>0.77700000000000002</fb>
    <v>14</v>
  </rv>
  <rv s="5">
    <v>#VALUE!</v>
    <v>49</v>
    <v>5</v>
    <v>Florida</v>
    <v>7</v>
    <v>8</v>
    <v>Map</v>
    <v>9</v>
    <v>10</v>
    <v>en-US</v>
    <v>5fece3f4-e8e8-4159-843e-f725a930ad50</v>
    <v>536870912</v>
    <v>1</v>
    <v>US-FL</v>
    <v>261</v>
    <v>262</v>
    <v>263</v>
    <v>4</v>
    <v>Florida is a state in the Southeastern region of the United States. It borders the Gulf of Mexico to the west, Alabama to the northwest, Georgia to the north, the Atlantic Ocean to the east, and the Straits of Florida and Cuba to the south. ...</v>
    <v>264</v>
    <v>265</v>
    <v>266</v>
    <v>267</v>
    <v>270</v>
    <v>271</v>
    <v>181</v>
    <v>272</v>
    <v>273</v>
    <v>Florida</v>
    <v>52</v>
    <v>274</v>
    <v>275</v>
    <v>276</v>
    <v>277</v>
    <v>218</v>
    <v>278</v>
    <v>279</v>
    <v>280</v>
    <v>281</v>
    <v>282</v>
    <v>283</v>
    <v>284</v>
    <v>65</v>
    <v>255</v>
    <v>98</v>
    <v>285</v>
    <v>153</v>
    <v>286</v>
    <v>230</v>
    <v>Florida</v>
    <v>mdp/vdpid/11032</v>
  </rv>
  <rv s="0">
    <v>536870912</v>
    <v>Georgia</v>
    <v>84604bc7-2c47-4f8d-8ea5-b6ac8c018a20</v>
    <v>en-US</v>
    <v>Map</v>
  </rv>
  <rv s="1">
    <fb>153909</fb>
    <v>11</v>
  </rv>
  <rv s="1">
    <fb>51675</fb>
    <v>11</v>
  </rv>
  <rv s="0">
    <v>536870912</v>
    <v>Atlanta</v>
    <v>1a92f3fa-61f9-4e89-b606-40c945cf18d1</v>
    <v>en-US</v>
    <v>Map</v>
  </rv>
  <rv s="1">
    <fb>3574362</fb>
    <v>11</v>
  </rv>
  <rv s="1">
    <fb>4218776</fb>
    <v>11</v>
  </rv>
  <rv s="2">
    <v>9</v>
    <v>9</v>
    <v>50</v>
    <v>7</v>
    <v>0</v>
    <v>Image of Georgia</v>
  </rv>
  <rv s="0">
    <v>805306368</v>
    <v>Brian Kemp (Governor)</v>
    <v>6dd4f848-98dc-60f8-90b2-87c7458743fa</v>
    <v>en-US</v>
    <v>Generic</v>
  </rv>
  <rv s="0">
    <v>805306368</v>
    <v>Burt Jones (Lieutenant governor)</v>
    <v>abaf10be-2391-4b78-4c82-8c17faa8bf28</v>
    <v>en-US</v>
    <v>Generic</v>
  </rv>
  <rv s="3">
    <v>15</v>
  </rv>
  <rv s="4">
    <v>https://www.bing.com/search?q=georgia+u+s+state&amp;form=skydnc</v>
    <v>Learn more on Bing</v>
  </rv>
  <rv s="1">
    <fb>879</fb>
    <v>12</v>
  </rv>
  <rv s="1">
    <fb>49620</fb>
    <v>12</v>
  </rv>
  <rv s="1">
    <fb>148100</fb>
    <v>12</v>
  </rv>
  <rv s="1">
    <fb>2.73</fb>
    <v>13</v>
  </rv>
  <rv s="1">
    <fb>10711908</fb>
    <v>11</v>
  </rv>
  <rv s="1">
    <fb>0.128</fb>
    <v>14</v>
  </rv>
  <rv s="1">
    <fb>0.04</fb>
    <v>14</v>
  </rv>
  <rv s="1">
    <fb>0.28800000000000003</fb>
    <v>14</v>
  </rv>
  <rv s="1">
    <fb>0.317</fb>
    <v>14</v>
  </rv>
  <rv s="1">
    <fb>0.85400000000000009</fb>
    <v>14</v>
  </rv>
  <rv s="1">
    <fb>9.4E-2</fb>
    <v>14</v>
  </rv>
  <rv s="1">
    <fb>0.623</fb>
    <v>14</v>
  </rv>
  <rv s="1">
    <fb>8.8000000000000009E-2</fb>
    <v>14</v>
  </rv>
  <rv s="1">
    <fb>0.61599999999999999</fb>
    <v>14</v>
  </rv>
  <rv s="5">
    <v>#VALUE!</v>
    <v>53</v>
    <v>5</v>
    <v>Georgia</v>
    <v>7</v>
    <v>8</v>
    <v>Map</v>
    <v>9</v>
    <v>10</v>
    <v>en-US</v>
    <v>84604bc7-2c47-4f8d-8ea5-b6ac8c018a20</v>
    <v>536870912</v>
    <v>1</v>
    <v>US-GA</v>
    <v>289</v>
    <v>290</v>
    <v>291</v>
    <v>4</v>
    <v>Georgia is a state in the Southeastern region of the United States. It borders Tennessee to the northwest, North Carolina to the north, South Carolina to the northeast, Florida to the south, and Alabama to the west. Of the 50 United States, ...</v>
    <v>292</v>
    <v>293</v>
    <v>294</v>
    <v>291</v>
    <v>297</v>
    <v>298</v>
    <v>299</v>
    <v>300</v>
    <v>301</v>
    <v>Georgia</v>
    <v>52</v>
    <v>302</v>
    <v>303</v>
    <v>100</v>
    <v>304</v>
    <v>218</v>
    <v>305</v>
    <v>306</v>
    <v>307</v>
    <v>190</v>
    <v>308</v>
    <v>309</v>
    <v>310</v>
    <v>65</v>
    <v>311</v>
    <v>98</v>
    <v>283</v>
    <v>158</v>
    <v>312</v>
    <v>230</v>
    <v>Georgia</v>
    <v>mdp/vdpid/12004</v>
  </rv>
  <rv s="0">
    <v>536870912</v>
    <v>Hawaii</v>
    <v>b6f01eaf-aecf-44f6-b64d-1f6e982365c3</v>
    <v>en-US</v>
    <v>Map</v>
  </rv>
  <rv s="1">
    <fb>28311</fb>
    <v>11</v>
  </rv>
  <rv s="1">
    <fb>3369</fb>
    <v>11</v>
  </rv>
  <rv s="0">
    <v>536870912</v>
    <v>Honolulu</v>
    <v>d731fc3c-d469-8636-dd36-2af83cf55145</v>
    <v>en-US</v>
    <v>Map</v>
  </rv>
  <rv s="1">
    <fb>450572</fb>
    <v>11</v>
  </rv>
  <rv s="1">
    <fb>537114</fb>
    <v>11</v>
  </rv>
  <rv s="2">
    <v>10</v>
    <v>9</v>
    <v>54</v>
    <v>7</v>
    <v>0</v>
    <v>Image of Hawaii</v>
  </rv>
  <rv s="0">
    <v>805306368</v>
    <v>Josh Green (Governor)</v>
    <v>e8a1f48b-8616-45f1-b58d-b75ef6372200</v>
    <v>en-US</v>
    <v>Generic</v>
  </rv>
  <rv s="0">
    <v>805306368</v>
    <v>Sylvia Luke (Lieutenant governor)</v>
    <v>066a4cfb-d2cd-eccc-15dd-58cb91f6b37c</v>
    <v>en-US</v>
    <v>Generic</v>
  </rv>
  <rv s="3">
    <v>16</v>
  </rv>
  <rv s="4">
    <v>https://www.bing.com/search?q=hawaii&amp;form=skydnc</v>
    <v>Learn more on Bing</v>
  </rv>
  <rv s="1">
    <fb>1438</fb>
    <v>12</v>
  </rv>
  <rv s="1">
    <fb>69515</fb>
    <v>12</v>
  </rv>
  <rv s="1">
    <fb>515300</fb>
    <v>12</v>
  </rv>
  <rv s="3">
    <v>17</v>
  </rv>
  <rv s="1">
    <fb>3.02</fb>
    <v>13</v>
  </rv>
  <rv s="1">
    <fb>1455271</fb>
    <v>11</v>
  </rv>
  <rv s="1">
    <fb>0.05</fb>
    <v>14</v>
  </rv>
  <rv s="1">
    <fb>0.16500000000000001</fb>
    <v>14</v>
  </rv>
  <rv s="1">
    <fb>0.373</fb>
    <v>14</v>
  </rv>
  <rv s="1">
    <fb>0.308</fb>
    <v>14</v>
  </rv>
  <rv s="1">
    <fb>2.6000000000000002E-2</fb>
    <v>14</v>
  </rv>
  <rv s="1">
    <fb>0.17699999999999999</fb>
    <v>14</v>
  </rv>
  <rv s="1">
    <fb>0.91</fb>
    <v>14</v>
  </rv>
  <rv s="1">
    <fb>0.10400000000000001</fb>
    <v>14</v>
  </rv>
  <rv s="1">
    <fb>0.61499999999999999</fb>
    <v>14</v>
  </rv>
  <rv s="1">
    <fb>0.217</fb>
    <v>14</v>
  </rv>
  <rv s="1">
    <fb>0.26700000000000002</fb>
    <v>14</v>
  </rv>
  <rv s="3">
    <v>18</v>
  </rv>
  <rv s="5">
    <v>#VALUE!</v>
    <v>57</v>
    <v>5</v>
    <v>Hawaii</v>
    <v>7</v>
    <v>8</v>
    <v>Map</v>
    <v>9</v>
    <v>10</v>
    <v>en-US</v>
    <v>b6f01eaf-aecf-44f6-b64d-1f6e982365c3</v>
    <v>536870912</v>
    <v>1</v>
    <v>US-HI</v>
    <v>315</v>
    <v>316</v>
    <v>317</v>
    <v>4</v>
    <v>Hawaii is an island state of the United States, in the Pacific Ocean about 2,000 miles southwest of the U.S. mainland. It is the only state not on the North American mainland, the only state that is an archipelago, and the only state in the tropics.</v>
    <v>318</v>
    <v>319</v>
    <v>320</v>
    <v>317</v>
    <v>323</v>
    <v>324</v>
    <v>325</v>
    <v>326</v>
    <v>327</v>
    <v>Hawaii</v>
    <v>328</v>
    <v>329</v>
    <v>330</v>
    <v>331</v>
    <v>332</v>
    <v>218</v>
    <v>333</v>
    <v>334</v>
    <v>335</v>
    <v>336</v>
    <v>337</v>
    <v>338</v>
    <v>339</v>
    <v>20</v>
    <v>158</v>
    <v>196</v>
    <v>340</v>
    <v>158</v>
    <v>341</v>
    <v>342</v>
    <v>Hawaii</v>
    <v>mdp/vdpid/13656</v>
  </rv>
  <rv s="0">
    <v>536870912</v>
    <v>Iowa</v>
    <v>77850824-b07a-487a-af58-37f9949afc27</v>
    <v>en-US</v>
    <v>Map</v>
  </rv>
  <rv s="1">
    <fb>145746</fb>
    <v>11</v>
  </rv>
  <rv s="1">
    <fb>14317</fb>
    <v>11</v>
  </rv>
  <rv s="0">
    <v>536870912</v>
    <v>Des Moines</v>
    <v>a4592975-b658-4874-8c06-906edcde2841</v>
    <v>en-US</v>
    <v>Map</v>
  </rv>
  <rv s="1">
    <fb>1236409</fb>
    <v>11</v>
  </rv>
  <rv s="1">
    <fb>1380162</fb>
    <v>11</v>
  </rv>
  <rv s="2">
    <v>11</v>
    <v>9</v>
    <v>58</v>
    <v>7</v>
    <v>0</v>
    <v>Image of Iowa</v>
  </rv>
  <rv s="0">
    <v>805306368</v>
    <v>Kim Reynolds (Governor)</v>
    <v>5a53cf17-9d69-0115-9fad-e65c96b79e58</v>
    <v>en-US</v>
    <v>Generic</v>
  </rv>
  <rv s="0">
    <v>805306368</v>
    <v>Adam Gregg (Lieutenant governor)</v>
    <v>924356c3-3ace-7a82-6cd1-f6bdf7c0b1aa</v>
    <v>en-US</v>
    <v>Generic</v>
  </rv>
  <rv s="3">
    <v>19</v>
  </rv>
  <rv s="4">
    <v>https://www.bing.com/search?q=iowa&amp;form=skydnc</v>
    <v>Learn more on Bing</v>
  </rv>
  <rv s="1">
    <fb>697</fb>
    <v>12</v>
  </rv>
  <rv s="1">
    <fb>53183</fb>
    <v>12</v>
  </rv>
  <rv s="1">
    <fb>129200</fb>
    <v>12</v>
  </rv>
  <rv s="1">
    <fb>2.42</fb>
    <v>13</v>
  </rv>
  <rv s="1">
    <fb>3190369</fb>
    <v>11</v>
  </rv>
  <rv s="1">
    <fb>0.161</fb>
    <v>14</v>
  </rv>
  <rv s="1">
    <fb>2.4E-2</fb>
    <v>14</v>
  </rv>
  <rv s="1">
    <fb>0.91500000000000004</fb>
    <v>14</v>
  </rv>
  <rv s="1">
    <fb>5.7000000000000002E-2</fb>
    <v>14</v>
  </rv>
  <rv s="1">
    <fb>7.9000000000000001E-2</fb>
    <v>14</v>
  </rv>
  <rv s="1">
    <fb>1.8000000000000002E-2</fb>
    <v>14</v>
  </rv>
  <rv s="1">
    <fb>0.91799999999999993</fb>
    <v>14</v>
  </rv>
  <rv s="5">
    <v>#VALUE!</v>
    <v>61</v>
    <v>5</v>
    <v>Iowa</v>
    <v>7</v>
    <v>8</v>
    <v>Map</v>
    <v>9</v>
    <v>10</v>
    <v>en-US</v>
    <v>77850824-b07a-487a-af58-37f9949afc27</v>
    <v>536870912</v>
    <v>1</v>
    <v>US-IA</v>
    <v>345</v>
    <v>346</v>
    <v>347</v>
    <v>4</v>
    <v>Iowa is a landlocked state in the upper Midwestern region of the United States. It borders the Mississippi River to the east and the Missouri River and Big Sioux River to the west; Wisconsin to the northeast, Illinois to the east and southeast, ...</v>
    <v>348</v>
    <v>349</v>
    <v>350</v>
    <v>347</v>
    <v>353</v>
    <v>354</v>
    <v>355</v>
    <v>356</v>
    <v>357</v>
    <v>Iowa</v>
    <v>52</v>
    <v>358</v>
    <v>359</v>
    <v>195</v>
    <v>360</v>
    <v>218</v>
    <v>361</v>
    <v>341</v>
    <v>61</v>
    <v>93</v>
    <v>362</v>
    <v>363</v>
    <v>193</v>
    <v>65</v>
    <v>364</v>
    <v>365</v>
    <v>166</v>
    <v>22</v>
    <v>366</v>
    <v>71</v>
    <v>Iowa</v>
    <v>mdp/vdpid/14987</v>
  </rv>
  <rv s="0">
    <v>536870912</v>
    <v>Idaho</v>
    <v>ecd30387-20fa-4523-9045-e2860154b5e9</v>
    <v>en-US</v>
    <v>Map</v>
  </rv>
  <rv s="1">
    <fb>216699</fb>
    <v>11</v>
  </rv>
  <rv s="1">
    <fb>12165</fb>
    <v>11</v>
  </rv>
  <rv s="0">
    <v>536870912</v>
    <v>Boise</v>
    <v>1054a9b9-ef41-4b77-9953-f1ef16ec8015</v>
    <v>en-US</v>
    <v>Map</v>
  </rv>
  <rv s="1">
    <fb>589320</fb>
    <v>11</v>
  </rv>
  <rv s="1">
    <fb>700825</fb>
    <v>11</v>
  </rv>
  <rv s="2">
    <v>12</v>
    <v>9</v>
    <v>62</v>
    <v>7</v>
    <v>0</v>
    <v>Image of Idaho</v>
  </rv>
  <rv s="0">
    <v>805306368</v>
    <v>Brad Little (Governor)</v>
    <v>135ff875-8d96-6f51-3eae-347573bc2b5e</v>
    <v>en-US</v>
    <v>Generic</v>
  </rv>
  <rv s="0">
    <v>805306368</v>
    <v>Scott Bedke (Lieutenant governor)</v>
    <v>be8f5adf-6e01-67c0-5d19-fa17c594a297</v>
    <v>en-US</v>
    <v>Generic</v>
  </rv>
  <rv s="3">
    <v>20</v>
  </rv>
  <rv s="4">
    <v>https://www.bing.com/search?q=idaho&amp;form=skydnc</v>
    <v>Learn more on Bing</v>
  </rv>
  <rv s="1">
    <fb>743</fb>
    <v>12</v>
  </rv>
  <rv s="1">
    <fb>47583</fb>
    <v>12</v>
  </rv>
  <rv s="1">
    <fb>162900</fb>
    <v>12</v>
  </rv>
  <rv s="1">
    <fb>1839106</fb>
    <v>11</v>
  </rv>
  <rv s="1">
    <fb>1.4999999999999999E-2</fb>
    <v>14</v>
  </rv>
  <rv s="1">
    <fb>0.25900000000000001</fb>
    <v>14</v>
  </rv>
  <rv s="1">
    <fb>8.0000000000000002E-3</fb>
    <v>14</v>
  </rv>
  <rv s="1">
    <fb>6.0999999999999999E-2</fb>
    <v>14</v>
  </rv>
  <rv s="1">
    <fb>0.89500000000000002</fb>
    <v>14</v>
  </rv>
  <rv s="1">
    <fb>0.122</fb>
    <v>14</v>
  </rv>
  <rv s="1">
    <fb>0.626</fb>
    <v>14</v>
  </rv>
  <rv s="1">
    <fb>2.3E-2</fb>
    <v>14</v>
  </rv>
  <rv s="1">
    <fb>0.26200000000000001</fb>
    <v>14</v>
  </rv>
  <rv s="1">
    <fb>0.93400000000000005</fb>
    <v>14</v>
  </rv>
  <rv s="6">
    <v>#VALUE!</v>
    <v>65</v>
    <v>28</v>
    <v>Idaho</v>
    <v>7</v>
    <v>8</v>
    <v>Map</v>
    <v>9</v>
    <v>10</v>
    <v>en-US</v>
    <v>ecd30387-20fa-4523-9045-e2860154b5e9</v>
    <v>536870912</v>
    <v>1</v>
    <v>US-ID</v>
    <v>369</v>
    <v>370</v>
    <v>371</v>
    <v>4</v>
    <v>Idaho is a landlocked state in the Mountain West subregion of the Western United States. It shares a small portion of the Canada–United States border to the north, with the province of British Columbia. It borders Montana and Wyoming to the ...</v>
    <v>372</v>
    <v>373</v>
    <v>374</v>
    <v>371</v>
    <v>377</v>
    <v>378</v>
    <v>379</v>
    <v>380</v>
    <v>381</v>
    <v>Idaho</v>
    <v>52</v>
    <v>119</v>
    <v>382</v>
    <v>25</v>
    <v>156</v>
    <v>155</v>
    <v>383</v>
    <v>384</v>
    <v>385</v>
    <v>386</v>
    <v>387</v>
    <v>388</v>
    <v>389</v>
    <v>194</v>
    <v>254</v>
    <v>390</v>
    <v>391</v>
    <v>164</v>
    <v>392</v>
    <v>Idaho</v>
    <v>mdp/vdpid/14713</v>
  </rv>
  <rv s="0">
    <v>536870912</v>
    <v>Illinois</v>
    <v>4131acb8-628a-4241-8920-ca79eab9dade</v>
    <v>en-US</v>
    <v>Map</v>
  </rv>
  <rv s="1">
    <fb>149998</fb>
    <v>11</v>
  </rv>
  <rv s="1">
    <fb>22603</fb>
    <v>11</v>
  </rv>
  <rv s="0">
    <v>536870912</v>
    <v>Springfield</v>
    <v>dc562bf8-bf83-4505-8a1b-0bdb5bd605f8</v>
    <v>en-US</v>
    <v>Map</v>
  </rv>
  <rv s="1">
    <fb>4786388</fb>
    <v>11</v>
  </rv>
  <rv s="1">
    <fb>5326970</fb>
    <v>11</v>
  </rv>
  <rv s="2">
    <v>13</v>
    <v>9</v>
    <v>66</v>
    <v>7</v>
    <v>0</v>
    <v>Image of Illinois</v>
  </rv>
  <rv s="0">
    <v>536870912</v>
    <v>Chicago</v>
    <v>28deeb39-ca49-4bd4-913b-929b1de4b25b</v>
    <v>en-US</v>
    <v>Map</v>
  </rv>
  <rv s="0">
    <v>805306368</v>
    <v>J. B. Pritzker (Governor)</v>
    <v>b759cb46-ad88-1a31-2b59-96119b3d5661</v>
    <v>en-US</v>
    <v>Generic</v>
  </rv>
  <rv s="0">
    <v>805306368</v>
    <v>Juliana Stratton (Lieutenant governor)</v>
    <v>b1e39d21-a189-eb04-4b28-4942fe9dcb39</v>
    <v>en-US</v>
    <v>Generic</v>
  </rv>
  <rv s="3">
    <v>21</v>
  </rv>
  <rv s="4">
    <v>https://www.bing.com/search?q=illinois&amp;form=skydnc</v>
    <v>Learn more on Bing</v>
  </rv>
  <rv s="1">
    <fb>907</fb>
    <v>12</v>
  </rv>
  <rv s="1">
    <fb>57574</fb>
    <v>12</v>
  </rv>
  <rv s="1">
    <fb>173800</fb>
    <v>12</v>
  </rv>
  <rv s="1">
    <fb>12812508</fb>
    <v>11</v>
  </rv>
  <rv s="1">
    <fb>-2E-3</fb>
    <v>14</v>
  </rv>
  <rv s="1">
    <fb>0.14199999999999999</fb>
    <v>14</v>
  </rv>
  <rv s="1">
    <fb>6.0000000000000001E-3</fb>
    <v>15</v>
  </rv>
  <rv s="1">
    <fb>5.5E-2</fb>
    <v>14</v>
  </rv>
  <rv s="1">
    <fb>0.32299999999999995</fb>
    <v>14</v>
  </rv>
  <rv s="1">
    <fb>0.14000000000000001</fb>
    <v>14</v>
  </rv>
  <rv s="1">
    <fb>0.879</fb>
    <v>14</v>
  </rv>
  <rv s="1">
    <fb>0.16899999999999998</fb>
    <v>14</v>
  </rv>
  <rv s="1">
    <fb>0.65599999999999992</fb>
    <v>14</v>
  </rv>
  <rv s="1">
    <fb>1.9E-2</fb>
    <v>14</v>
  </rv>
  <rv s="1">
    <fb>0.77300000000000002</fb>
    <v>14</v>
  </rv>
  <rv s="5">
    <v>#VALUE!</v>
    <v>69</v>
    <v>5</v>
    <v>Illinois</v>
    <v>7</v>
    <v>8</v>
    <v>Map</v>
    <v>9</v>
    <v>10</v>
    <v>en-US</v>
    <v>4131acb8-628a-4241-8920-ca79eab9dade</v>
    <v>536870912</v>
    <v>1</v>
    <v>US-IL</v>
    <v>395</v>
    <v>396</v>
    <v>397</v>
    <v>4</v>
    <v>Illinois is a state in the Midwestern region of the United States. It borders Lake Michigan to its northeast, the Mississippi River to its west, and the Wabash and Ohio rivers to its south. Of the fifty U.S. states, Illinois has the ...</v>
    <v>398</v>
    <v>399</v>
    <v>400</v>
    <v>401</v>
    <v>404</v>
    <v>405</v>
    <v>406</v>
    <v>407</v>
    <v>408</v>
    <v>Illinois</v>
    <v>52</v>
    <v>274</v>
    <v>409</v>
    <v>410</v>
    <v>411</v>
    <v>412</v>
    <v>413</v>
    <v>414</v>
    <v>156</v>
    <v>415</v>
    <v>416</v>
    <v>417</v>
    <v>418</v>
    <v>65</v>
    <v>226</v>
    <v>419</v>
    <v>196</v>
    <v>386</v>
    <v>420</v>
    <v>71</v>
    <v>Illinois</v>
    <v>mdp/vdpid/14808</v>
  </rv>
  <rv s="0">
    <v>536870912</v>
    <v>Indiana</v>
    <v>109f7e5a-efbb-4953-b4b8-cb812ce1ff5d</v>
    <v>en-US</v>
    <v>Map</v>
  </rv>
  <rv s="1">
    <fb>94321</fb>
    <v>11</v>
  </rv>
  <rv s="1">
    <fb>18713</fb>
    <v>11</v>
  </rv>
  <rv s="0">
    <v>536870912</v>
    <v>Indianapolis</v>
    <v>28ad13c5-50fe-aae3-acb8-c5dea28be321</v>
    <v>en-US</v>
    <v>Map</v>
  </rv>
  <rv s="1">
    <fb>2501937</fb>
    <v>11</v>
  </rv>
  <rv s="1">
    <fb>2854546</fb>
    <v>11</v>
  </rv>
  <rv s="2">
    <v>14</v>
    <v>9</v>
    <v>70</v>
    <v>7</v>
    <v>0</v>
    <v>Image of Indiana</v>
  </rv>
  <rv s="0">
    <v>805306368</v>
    <v>Eric Holcomb (Governor)</v>
    <v>cf360ed0-1092-c70e-53bb-3b40013b5ef1</v>
    <v>en-US</v>
    <v>Generic</v>
  </rv>
  <rv s="0">
    <v>805306368</v>
    <v>Suzanne Crouch (Lieutenant governor)</v>
    <v>6f209ae1-e639-c096-2125-c9b162385d56</v>
    <v>en-US</v>
    <v>Generic</v>
  </rv>
  <rv s="3">
    <v>22</v>
  </rv>
  <rv s="4">
    <v>https://www.bing.com/search?q=indiana&amp;form=skydnc</v>
    <v>Learn more on Bing</v>
  </rv>
  <rv s="1">
    <fb>745</fb>
    <v>12</v>
  </rv>
  <rv s="1">
    <fb>49255</fb>
    <v>12</v>
  </rv>
  <rv s="1">
    <fb>124200</fb>
    <v>12</v>
  </rv>
  <rv s="1">
    <fb>6785528</fb>
    <v>11</v>
  </rv>
  <rv s="1">
    <fb>0.14599999999999999</fb>
    <v>14</v>
  </rv>
  <rv s="1">
    <fb>4.0000000000000001E-3</fb>
    <v>15</v>
  </rv>
  <rv s="1">
    <fb>2.1000000000000001E-2</fb>
    <v>14</v>
  </rv>
  <rv s="1">
    <fb>0.24100000000000002</fb>
    <v>14</v>
  </rv>
  <rv s="1">
    <fb>0.878</fb>
    <v>14</v>
  </rv>
  <rv s="1">
    <fb>6.7000000000000004E-2</fb>
    <v>14</v>
  </rv>
  <rv s="1">
    <fb>0.63900000000000001</fb>
    <v>14</v>
  </rv>
  <rv s="1">
    <fb>9.6999999999999989E-2</fb>
    <v>14</v>
  </rv>
  <rv s="1">
    <fb>0.23899999999999999</fb>
    <v>14</v>
  </rv>
  <rv s="1">
    <fb>0.85799999999999998</fb>
    <v>14</v>
  </rv>
  <rv s="5">
    <v>#VALUE!</v>
    <v>73</v>
    <v>5</v>
    <v>Indiana</v>
    <v>7</v>
    <v>8</v>
    <v>Map</v>
    <v>9</v>
    <v>10</v>
    <v>en-US</v>
    <v>109f7e5a-efbb-4953-b4b8-cb812ce1ff5d</v>
    <v>536870912</v>
    <v>1</v>
    <v>US-IN</v>
    <v>423</v>
    <v>424</v>
    <v>425</v>
    <v>4</v>
    <v>Indiana is a state in the Midwestern region of the United States. It borders Lake Michigan to the northwest, Michigan to the north and northeast, Ohio to the east, the Ohio River and Kentucky to the south and southeast, and the Wabash River and ...</v>
    <v>426</v>
    <v>427</v>
    <v>428</v>
    <v>425</v>
    <v>431</v>
    <v>432</v>
    <v>433</v>
    <v>434</v>
    <v>435</v>
    <v>Indiana</v>
    <v>52</v>
    <v>53</v>
    <v>436</v>
    <v>390</v>
    <v>437</v>
    <v>438</v>
    <v>439</v>
    <v>440</v>
    <v>276</v>
    <v>126</v>
    <v>441</v>
    <v>442</v>
    <v>443</v>
    <v>65</v>
    <v>444</v>
    <v>419</v>
    <v>445</v>
    <v>22</v>
    <v>446</v>
    <v>230</v>
    <v>Indiana</v>
    <v>mdp/vdpid/14882</v>
  </rv>
  <rv s="0">
    <v>536870912</v>
    <v>Kansas</v>
    <v>6e527b71-bd3e-4bc1-b1c0-59d288b4fd5e</v>
    <v>en-US</v>
    <v>Map</v>
  </rv>
  <rv s="1">
    <fb>213100</fb>
    <v>11</v>
  </rv>
  <rv s="1">
    <fb>9807</fb>
    <v>11</v>
  </rv>
  <rv s="0">
    <v>536870912</v>
    <v>Topeka</v>
    <v>98f8ec52-b318-4d58-b2b4-598ff64e4cfe</v>
    <v>en-US</v>
    <v>Map</v>
  </rv>
  <rv s="1">
    <fb>1113472</fb>
    <v>11</v>
  </rv>
  <rv s="1">
    <fb>1259864</fb>
    <v>11</v>
  </rv>
  <rv s="2">
    <v>15</v>
    <v>9</v>
    <v>74</v>
    <v>7</v>
    <v>0</v>
    <v>Image of Kansas</v>
  </rv>
  <rv s="0">
    <v>536870912</v>
    <v>Wichita</v>
    <v>bdf955f3-7da2-4896-9ea3-01394e083cf2</v>
    <v>en-US</v>
    <v>Map</v>
  </rv>
  <rv s="0">
    <v>805306368</v>
    <v>Laura Kelly (Governor)</v>
    <v>d58f1816-72cc-3140-0980-ec882a090f87</v>
    <v>en-US</v>
    <v>Generic</v>
  </rv>
  <rv s="0">
    <v>805306368</v>
    <v>David Toland (Lieutenant governor)</v>
    <v>31381051-b507-1bd7-8dc4-e348a453b0a5</v>
    <v>en-US</v>
    <v>Generic</v>
  </rv>
  <rv s="3">
    <v>23</v>
  </rv>
  <rv s="4">
    <v>https://www.bing.com/search?q=kansas&amp;form=skydnc</v>
    <v>Learn more on Bing</v>
  </rv>
  <rv s="1">
    <fb>757</fb>
    <v>12</v>
  </rv>
  <rv s="1">
    <fb>52205</fb>
    <v>12</v>
  </rv>
  <rv s="1">
    <fb>132000</fb>
    <v>12</v>
  </rv>
  <rv s="1">
    <fb>2937880</fb>
    <v>11</v>
  </rv>
  <rv s="1">
    <fb>1.2E-2</fb>
    <v>15</v>
  </rv>
  <rv s="1">
    <fb>0.31</fb>
    <v>14</v>
  </rv>
  <rv s="1">
    <fb>6.9000000000000006E-2</fb>
    <v>14</v>
  </rv>
  <rv s="1">
    <fb>0.90200000000000002</fb>
    <v>14</v>
  </rv>
  <rv s="1">
    <fb>0.66299999999999992</fb>
    <v>14</v>
  </rv>
  <rv s="1">
    <fb>8.5999999999999993E-2</fb>
    <v>14</v>
  </rv>
  <rv s="1">
    <fb>0.247</fb>
    <v>14</v>
  </rv>
  <rv s="1">
    <fb>0.86699999999999999</fb>
    <v>14</v>
  </rv>
  <rv s="5">
    <v>#VALUE!</v>
    <v>77</v>
    <v>5</v>
    <v>Kansas</v>
    <v>7</v>
    <v>8</v>
    <v>Map</v>
    <v>9</v>
    <v>10</v>
    <v>en-US</v>
    <v>6e527b71-bd3e-4bc1-b1c0-59d288b4fd5e</v>
    <v>536870912</v>
    <v>1</v>
    <v>US-KS</v>
    <v>449</v>
    <v>450</v>
    <v>451</v>
    <v>4</v>
    <v>Kansas is a landlocked state in the Midwestern region of the United States. It borders Nebraska to the north; Missouri to the east; Oklahoma to the south; and Colorado to the west. Kansas is named after the Kansas River, in turn named after the ...</v>
    <v>452</v>
    <v>453</v>
    <v>454</v>
    <v>455</v>
    <v>458</v>
    <v>459</v>
    <v>460</v>
    <v>461</v>
    <v>462</v>
    <v>Kansas</v>
    <v>52</v>
    <v>87</v>
    <v>463</v>
    <v>419</v>
    <v>437</v>
    <v>464</v>
    <v>195</v>
    <v>465</v>
    <v>22</v>
    <v>466</v>
    <v>467</v>
    <v>221</v>
    <v>468</v>
    <v>65</v>
    <v>469</v>
    <v>195</v>
    <v>470</v>
    <v>164</v>
    <v>471</v>
    <v>71</v>
    <v>Kansas</v>
    <v>mdp/vdpid/16121</v>
  </rv>
  <rv s="0">
    <v>536870912</v>
    <v>Kentucky</v>
    <v>108dfd18-4626-481a-8dfa-18f64e6eac84</v>
    <v>en-US</v>
    <v>Map</v>
  </rv>
  <rv s="1">
    <fb>104659</fb>
    <v>11</v>
  </rv>
  <rv s="1">
    <fb>12714</fb>
    <v>11</v>
  </rv>
  <rv s="0">
    <v>536870912</v>
    <v>Frankfort</v>
    <v>77808127-2585-ed16-992f-4dbf7cb32377</v>
    <v>en-US</v>
    <v>Map</v>
  </rv>
  <rv s="1">
    <fb>1708499</fb>
    <v>11</v>
  </rv>
  <rv s="1">
    <fb>1965556</fb>
    <v>11</v>
  </rv>
  <rv s="2">
    <v>16</v>
    <v>9</v>
    <v>78</v>
    <v>7</v>
    <v>0</v>
    <v>Image of Kentucky</v>
  </rv>
  <rv s="0">
    <v>536870912</v>
    <v>Louisville</v>
    <v>1bc669d8-9310-926f-25b9-880f75cd4247</v>
    <v>en-US</v>
    <v>Map</v>
  </rv>
  <rv s="0">
    <v>805306368</v>
    <v>Andy Beshear (Governor)</v>
    <v>b3d019c3-d02d-e300-b685-dad592322a24</v>
    <v>en-US</v>
    <v>Generic</v>
  </rv>
  <rv s="0">
    <v>805306368</v>
    <v>Jacqueline Coleman (Lieutenant governor)</v>
    <v>e703cb28-e073-92db-a598-7a547e2418d3</v>
    <v>en-US</v>
    <v>Generic</v>
  </rv>
  <rv s="3">
    <v>24</v>
  </rv>
  <rv s="4">
    <v>https://www.bing.com/search?q=kentucky&amp;form=skydnc</v>
    <v>Learn more on Bing</v>
  </rv>
  <rv s="1">
    <fb>675</fb>
    <v>12</v>
  </rv>
  <rv s="1">
    <fb>43740</fb>
    <v>12</v>
  </rv>
  <rv s="1">
    <fb>123200</fb>
    <v>12</v>
  </rv>
  <rv s="1">
    <fb>2.5</fb>
    <v>13</v>
  </rv>
  <rv s="1">
    <fb>4505836</fb>
    <v>11</v>
  </rv>
  <rv s="1">
    <fb>0.152</fb>
    <v>14</v>
  </rv>
  <rv s="1">
    <fb>3.0000000000000001E-3</fb>
    <v>15</v>
  </rv>
  <rv s="1">
    <fb>0.223</fb>
    <v>14</v>
  </rv>
  <rv s="1">
    <fb>8.3000000000000004E-2</fb>
    <v>14</v>
  </rv>
  <rv s="1">
    <fb>0.84200000000000008</fb>
    <v>14</v>
  </rv>
  <rv s="1">
    <fb>0.59099999999999997</fb>
    <v>14</v>
  </rv>
  <rv s="1">
    <fb>0.129</fb>
    <v>14</v>
  </rv>
  <rv s="1">
    <fb>0.22899999999999998</fb>
    <v>14</v>
  </rv>
  <rv s="1">
    <fb>0.88099999999999989</fb>
    <v>14</v>
  </rv>
  <rv s="5">
    <v>#VALUE!</v>
    <v>81</v>
    <v>5</v>
    <v>Kentucky</v>
    <v>7</v>
    <v>8</v>
    <v>Map</v>
    <v>9</v>
    <v>10</v>
    <v>en-US</v>
    <v>108dfd18-4626-481a-8dfa-18f64e6eac84</v>
    <v>536870912</v>
    <v>1</v>
    <v>US-KY</v>
    <v>474</v>
    <v>475</v>
    <v>476</v>
    <v>4</v>
    <v>Kentucky, officially the Commonwealth of Kentucky, is a landlocked state in the Southeastern region of the United States. Kentucky borders Illinois, Indiana, and Ohio to the north, West Virginia to the northeast, Virginia to the east, Tennessee ...</v>
    <v>477</v>
    <v>478</v>
    <v>479</v>
    <v>480</v>
    <v>483</v>
    <v>484</v>
    <v>485</v>
    <v>486</v>
    <v>487</v>
    <v>Kentucky</v>
    <v>52</v>
    <v>488</v>
    <v>489</v>
    <v>227</v>
    <v>490</v>
    <v>491</v>
    <v>58</v>
    <v>492</v>
    <v>493</v>
    <v>124</v>
    <v>494</v>
    <v>124</v>
    <v>495</v>
    <v>65</v>
    <v>496</v>
    <v>365</v>
    <v>497</v>
    <v>22</v>
    <v>498</v>
    <v>230</v>
    <v>Kentucky</v>
    <v>mdp/vdpid/16480</v>
  </rv>
  <rv s="0">
    <v>536870912</v>
    <v>Louisiana</v>
    <v>0ca1e87f-e2f6-43fb-8deb-d22bd09a9cae</v>
    <v>en-US</v>
    <v>Map</v>
  </rv>
  <rv s="1">
    <fb>135382</fb>
    <v>11</v>
  </rv>
  <rv s="1">
    <fb>14503</fb>
    <v>11</v>
  </rv>
  <rv s="0">
    <v>536870912</v>
    <v>Baton Rouge</v>
    <v>dc17dbc5-08e4-4782-8f58-e5ce764122b6</v>
    <v>en-US</v>
    <v>Map</v>
  </rv>
  <rv s="1">
    <fb>1727919</fb>
    <v>11</v>
  </rv>
  <rv s="1">
    <fb>2036975</fb>
    <v>11</v>
  </rv>
  <rv s="2">
    <v>17</v>
    <v>9</v>
    <v>82</v>
    <v>7</v>
    <v>0</v>
    <v>Image of Louisiana</v>
  </rv>
  <rv s="0">
    <v>536870912</v>
    <v>New Orleans</v>
    <v>465e78cf-aa9a-491f-9167-4520c7110824</v>
    <v>en-US</v>
    <v>Map</v>
  </rv>
  <rv s="0">
    <v>805306368</v>
    <v>John Bel Edwards (Governor)</v>
    <v>9c6fb294-df9b-7d01-52df-918fbc1580d0</v>
    <v>en-US</v>
    <v>Generic</v>
  </rv>
  <rv s="0">
    <v>805306368</v>
    <v>Billy Nungesser (Lieutenant governor)</v>
    <v>edba98a9-8f96-5d5f-2a33-d387284d930d</v>
    <v>en-US</v>
    <v>Generic</v>
  </rv>
  <rv s="3">
    <v>25</v>
  </rv>
  <rv s="4">
    <v>https://www.bing.com/search?q=louisiana&amp;form=skydnc</v>
    <v>Learn more on Bing</v>
  </rv>
  <rv s="1">
    <fb>788</fb>
    <v>12</v>
  </rv>
  <rv s="1">
    <fb>45047</fb>
    <v>12</v>
  </rv>
  <rv s="1">
    <fb>144100</fb>
    <v>12</v>
  </rv>
  <rv s="1">
    <fb>2.6</fb>
    <v>13</v>
  </rv>
  <rv s="1">
    <fb>4657757</fb>
    <v>11</v>
  </rv>
  <rv s="1">
    <fb>3.3000000000000002E-2</fb>
    <v>14</v>
  </rv>
  <rv s="1">
    <fb>8.0000000000000002E-3</fb>
    <v>15</v>
  </rv>
  <rv s="1">
    <fb>0.22500000000000001</fb>
    <v>14</v>
  </rv>
  <rv s="1">
    <fb>0.32500000000000001</fb>
    <v>14</v>
  </rv>
  <rv s="1">
    <fb>0.83400000000000007</fb>
    <v>14</v>
  </rv>
  <rv s="1">
    <fb>0.60399999999999998</fb>
    <v>14</v>
  </rv>
  <rv s="1">
    <fb>0.11</fb>
    <v>14</v>
  </rv>
  <rv s="1">
    <fb>0.63200000000000001</fb>
    <v>14</v>
  </rv>
  <rv s="7">
    <v>#VALUE!</v>
    <v>85</v>
    <v>41</v>
    <v>Louisiana</v>
    <v>7</v>
    <v>8</v>
    <v>Map</v>
    <v>9</v>
    <v>10</v>
    <v>en-US</v>
    <v>0ca1e87f-e2f6-43fb-8deb-d22bd09a9cae</v>
    <v>536870912</v>
    <v>1</v>
    <v>US-LA</v>
    <v>501</v>
    <v>502</v>
    <v>503</v>
    <v>4</v>
    <v>Louisiana is a state in the Deep South and South Central regions of the United States. It borders Texas to the west, Arkansas to the north, and Mississippi to the east. Of the 50 U.S. states, it ranks 20th in land area and the 25th in ...</v>
    <v>504</v>
    <v>505</v>
    <v>506</v>
    <v>507</v>
    <v>510</v>
    <v>511</v>
    <v>512</v>
    <v>513</v>
    <v>514</v>
    <v>Louisiana</v>
    <v>515</v>
    <v>516</v>
    <v>517</v>
    <v>415</v>
    <v>518</v>
    <v>365</v>
    <v>519</v>
    <v>520</v>
    <v>305</v>
    <v>521</v>
    <v>331</v>
    <v>522</v>
    <v>65</v>
    <v>523</v>
    <v>67</v>
    <v>445</v>
    <v>442</v>
    <v>524</v>
    <v>71</v>
    <v>Louisiana</v>
    <v>mdp/vdpid/19283</v>
  </rv>
  <rv s="0">
    <v>536870912</v>
    <v>Massachusetts</v>
    <v>845219d5-3650-4199-b926-964ca27c863c</v>
    <v>en-US</v>
    <v>Map</v>
  </rv>
  <rv s="1">
    <fb>27336</fb>
    <v>11</v>
  </rv>
  <rv s="1">
    <fb>16288</fb>
    <v>11</v>
  </rv>
  <rv s="0">
    <v>536870912</v>
    <v>Boston</v>
    <v>f0f5899a-361f-4fe4-89d1-11130aa2c653</v>
    <v>en-US</v>
    <v>Map</v>
  </rv>
  <rv s="1">
    <fb>2549721</fb>
    <v>11</v>
  </rv>
  <rv s="1">
    <fb>2858026</fb>
    <v>11</v>
  </rv>
  <rv s="2">
    <v>18</v>
    <v>9</v>
    <v>86</v>
    <v>7</v>
    <v>0</v>
    <v>Image of Massachusetts</v>
  </rv>
  <rv s="0">
    <v>805306368</v>
    <v>Maura Healey (Governor)</v>
    <v>16f75b4a-61cd-c874-f8be-b832c93cc2f9</v>
    <v>en-US</v>
    <v>Generic</v>
  </rv>
  <rv s="0">
    <v>805306368</v>
    <v>Kim Driscoll (Lieutenant governor)</v>
    <v>49e728c3-181d-48d9-8e7d-8c9fef062e0e</v>
    <v>en-US</v>
    <v>Generic</v>
  </rv>
  <rv s="3">
    <v>26</v>
  </rv>
  <rv s="4">
    <v>https://www.bing.com/search?q=massachusetts&amp;form=skydnc</v>
    <v>Learn more on Bing</v>
  </rv>
  <rv s="1">
    <fb>1102</fb>
    <v>12</v>
  </rv>
  <rv s="1">
    <fb>68563</fb>
    <v>12</v>
  </rv>
  <rv s="1">
    <fb>333100</fb>
    <v>12</v>
  </rv>
  <rv s="1">
    <fb>7029917</fb>
    <v>11</v>
  </rv>
  <rv s="1">
    <fb>6.6000000000000003E-2</fb>
    <v>14</v>
  </rv>
  <rv s="1">
    <fb>0.40500000000000003</fb>
    <v>14</v>
  </rv>
  <rv s="1">
    <fb>0.155</fb>
    <v>14</v>
  </rv>
  <rv s="1">
    <fb>0.89800000000000002</fb>
    <v>14</v>
  </rv>
  <rv s="1">
    <fb>0.11199999999999999</fb>
    <v>14</v>
  </rv>
  <rv s="1">
    <fb>0.67500000000000004</fb>
    <v>14</v>
  </rv>
  <rv s="1">
    <fb>0.20399999999999999</fb>
    <v>14</v>
  </rv>
  <rv s="1">
    <fb>0.82099999999999995</fb>
    <v>14</v>
  </rv>
  <rv s="5">
    <v>#VALUE!</v>
    <v>89</v>
    <v>5</v>
    <v>Massachusetts</v>
    <v>7</v>
    <v>8</v>
    <v>Map</v>
    <v>9</v>
    <v>10</v>
    <v>en-US</v>
    <v>845219d5-3650-4199-b926-964ca27c863c</v>
    <v>536870912</v>
    <v>1</v>
    <v>US-MA</v>
    <v>527</v>
    <v>528</v>
    <v>529</v>
    <v>4</v>
    <v>Massachusetts, officially the Commonwealth of Massachusetts, is a state in the New England region of the Northeastern United States. It borders the Atlantic Ocean and Gulf of Maine to its east, Connecticut and Rhode Island to its south, New ...</v>
    <v>530</v>
    <v>531</v>
    <v>532</v>
    <v>529</v>
    <v>535</v>
    <v>536</v>
    <v>537</v>
    <v>538</v>
    <v>539</v>
    <v>Massachusetts</v>
    <v>52</v>
    <v>87</v>
    <v>540</v>
    <v>305</v>
    <v>224</v>
    <v>218</v>
    <v>541</v>
    <v>542</v>
    <v>121</v>
    <v>543</v>
    <v>544</v>
    <v>545</v>
    <v>546</v>
    <v>65</v>
    <v>364</v>
    <v>390</v>
    <v>547</v>
    <v>153</v>
    <v>548</v>
    <v>230</v>
    <v>Massachusetts</v>
    <v>mdp/vdpid/20543</v>
  </rv>
  <rv s="0">
    <v>536870912</v>
    <v>Maryland</v>
    <v>4c472f4d-06a8-4d90-8bb8-da4d168c73fe</v>
    <v>en-US</v>
    <v>Map</v>
  </rv>
  <rv s="1">
    <fb>32131</fb>
    <v>11</v>
  </rv>
  <rv s="1">
    <fb>17044</fb>
    <v>11</v>
  </rv>
  <rv s="0">
    <v>536870912</v>
    <v>Annapolis</v>
    <v>5c1c2452-fad3-09a7-1bd5-bafdf1acf665</v>
    <v>en-US</v>
    <v>Map</v>
  </rv>
  <rv s="1">
    <fb>2166389</fb>
    <v>11</v>
  </rv>
  <rv s="1">
    <fb>2447127</fb>
    <v>11</v>
  </rv>
  <rv s="2">
    <v>19</v>
    <v>9</v>
    <v>90</v>
    <v>7</v>
    <v>0</v>
    <v>Image of Maryland</v>
  </rv>
  <rv s="0">
    <v>536870912</v>
    <v>Baltimore</v>
    <v>ee720710-86f4-43c1-914a-9e12af6cb368</v>
    <v>en-US</v>
    <v>Map</v>
  </rv>
  <rv s="0">
    <v>805306368</v>
    <v>Wes Moore (Governor)</v>
    <v>061797ca-ac16-c2b9-5af5-fc8b9f70c021</v>
    <v>en-US</v>
    <v>Generic</v>
  </rv>
  <rv s="0">
    <v>805306368</v>
    <v>Aruna Miller (Lieutenant governor)</v>
    <v>4a11c83c-3bfa-1c3b-dcfb-99dd4e08405b</v>
    <v>en-US</v>
    <v>Generic</v>
  </rv>
  <rv s="3">
    <v>27</v>
  </rv>
  <rv s="4">
    <v>https://www.bing.com/search?q=maryland&amp;form=skydnc</v>
    <v>Learn more on Bing</v>
  </rv>
  <rv s="1">
    <fb>1230</fb>
    <v>12</v>
  </rv>
  <rv s="1">
    <fb>74551</fb>
    <v>12</v>
  </rv>
  <rv s="1">
    <fb>286900</fb>
    <v>12</v>
  </rv>
  <rv s="1">
    <fb>2.67</fb>
    <v>13</v>
  </rv>
  <rv s="1">
    <fb>6165129</fb>
    <v>11</v>
  </rv>
  <rv s="1">
    <fb>0.14099999999999999</fb>
    <v>14</v>
  </rv>
  <rv s="1">
    <fb>0.379</fb>
    <v>14</v>
  </rv>
  <rv s="1">
    <fb>0.30499999999999999</fb>
    <v>14</v>
  </rv>
  <rv s="1">
    <fb>0.14499999999999999</fb>
    <v>14</v>
  </rv>
  <rv s="1">
    <fb>0.89400000000000002</fb>
    <v>14</v>
  </rv>
  <rv s="1">
    <fb>9.5000000000000001E-2</fb>
    <v>14</v>
  </rv>
  <rv s="1">
    <fb>0.67900000000000005</fb>
    <v>14</v>
  </rv>
  <rv s="1">
    <fb>0.59599999999999997</fb>
    <v>14</v>
  </rv>
  <rv s="7">
    <v>#VALUE!</v>
    <v>93</v>
    <v>41</v>
    <v>Maryland</v>
    <v>7</v>
    <v>8</v>
    <v>Map</v>
    <v>9</v>
    <v>94</v>
    <v>en-US</v>
    <v>4c472f4d-06a8-4d90-8bb8-da4d168c73fe</v>
    <v>536870912</v>
    <v>1</v>
    <v>US-MD</v>
    <v>551</v>
    <v>552</v>
    <v>553</v>
    <v>4</v>
    <v>Maryland is a state in the Mid-Atlantic region of the United States. The state borders Virginia to its south, West Virginia to its west, Pennsylvania to its north, Delaware to its east, the Atlantic Ocean, and the national capital of Washington, ...</v>
    <v>554</v>
    <v>555</v>
    <v>556</v>
    <v>557</v>
    <v>560</v>
    <v>561</v>
    <v>562</v>
    <v>563</v>
    <v>564</v>
    <v>Maryland</v>
    <v>565</v>
    <v>566</v>
    <v>63</v>
    <v>567</v>
    <v>412</v>
    <v>158</v>
    <v>568</v>
    <v>569</v>
    <v>570</v>
    <v>571</v>
    <v>572</v>
    <v>573</v>
    <v>65</v>
    <v>226</v>
    <v>132</v>
    <v>251</v>
    <v>386</v>
    <v>574</v>
    <v>230</v>
    <v>Maryland</v>
    <v>mdp/vdpid/20487</v>
  </rv>
  <rv s="0">
    <v>536870912</v>
    <v>Maine</v>
    <v>d62dd683-9cf9-4db9-a497-d810d529592b</v>
    <v>en-US</v>
    <v>Map</v>
  </rv>
  <rv s="1">
    <fb>91646</fb>
    <v>11</v>
  </rv>
  <rv s="1">
    <fb>4010</fb>
    <v>11</v>
  </rv>
  <rv s="0">
    <v>536870912</v>
    <v>Augusta</v>
    <v>a6f13dc8-92ac-2fb1-cb14-adfd42dc32be</v>
    <v>en-US</v>
    <v>Map</v>
  </rv>
  <rv s="1">
    <fb>553284</fb>
    <v>11</v>
  </rv>
  <rv s="1">
    <fb>730705</fb>
    <v>11</v>
  </rv>
  <rv s="2">
    <v>20</v>
    <v>9</v>
    <v>95</v>
    <v>7</v>
    <v>0</v>
    <v>Image of Maine</v>
  </rv>
  <rv s="0">
    <v>536870912</v>
    <v>Portland</v>
    <v>faa79e83-dad6-af0a-6f59-a774a9a659a6</v>
    <v>en-US</v>
    <v>Map</v>
  </rv>
  <rv s="0">
    <v>805306368</v>
    <v>Janet Mills (Governor)</v>
    <v>a46a0212-e842-c48d-8bde-90ee5acba105</v>
    <v>en-US</v>
    <v>Generic</v>
  </rv>
  <rv s="3">
    <v>28</v>
  </rv>
  <rv s="4">
    <v>https://www.bing.com/search?q=maine&amp;form=skydnc</v>
    <v>Learn more on Bing</v>
  </rv>
  <rv s="1">
    <fb>777</fb>
    <v>12</v>
  </rv>
  <rv s="1">
    <fb>49331</fb>
    <v>12</v>
  </rv>
  <rv s="1">
    <fb>2.34</fb>
    <v>13</v>
  </rv>
  <rv s="1">
    <fb>1362359</fb>
    <v>11</v>
  </rv>
  <rv s="1">
    <fb>0.188</fb>
    <v>14</v>
  </rv>
  <rv s="1">
    <fb>1.2E-2</fb>
    <v>14</v>
  </rv>
  <rv s="1">
    <fb>0.28999999999999998</fb>
    <v>14</v>
  </rv>
  <rv s="1">
    <fb>0.91599999999999993</fb>
    <v>14</v>
  </rv>
  <rv s="1">
    <fb>0.63400000000000001</fb>
    <v>14</v>
  </rv>
  <rv s="1">
    <fb>0.11900000000000001</fb>
    <v>14</v>
  </rv>
  <rv s="1">
    <fb>0.193</fb>
    <v>14</v>
  </rv>
  <rv s="1">
    <fb>4.9000000000000002E-2</fb>
    <v>14</v>
  </rv>
  <rv s="1">
    <fb>0.94900000000000007</fb>
    <v>14</v>
  </rv>
  <rv s="8">
    <v>#VALUE!</v>
    <v>98</v>
    <v>99</v>
    <v>Maine</v>
    <v>7</v>
    <v>8</v>
    <v>Map</v>
    <v>9</v>
    <v>100</v>
    <v>en-US</v>
    <v>d62dd683-9cf9-4db9-a497-d810d529592b</v>
    <v>536870912</v>
    <v>1</v>
    <v>US-ME</v>
    <v>577</v>
    <v>578</v>
    <v>579</v>
    <v>4</v>
    <v>Maine is a state in the New England region of the Northeastern United States, and the easternmost state. It borders New Hampshire to the west, the Gulf of Maine to the southeast, and the Canadian provinces of New Brunswick and Quebec to the ...</v>
    <v>580</v>
    <v>581</v>
    <v>582</v>
    <v>583</v>
    <v>585</v>
    <v>586</v>
    <v>587</v>
    <v>588</v>
    <v>408</v>
    <v>Maine</v>
    <v>589</v>
    <v>590</v>
    <v>194</v>
    <v>591</v>
    <v>57</v>
    <v>592</v>
    <v>593</v>
    <v>58</v>
    <v>61</v>
    <v>594</v>
    <v>67</v>
    <v>595</v>
    <v>596</v>
    <v>55</v>
    <v>597</v>
    <v>598</v>
    <v>599</v>
    <v>230</v>
    <v>Maine</v>
    <v>mdp/vdpid/19840</v>
  </rv>
  <rv s="0">
    <v>536870912</v>
    <v>Michigan</v>
    <v>162411c2-b757-495d-aa81-93942fae2f7e</v>
    <v>en-US</v>
    <v>Map</v>
  </rv>
  <rv s="1">
    <fb>250493</fb>
    <v>11</v>
  </rv>
  <rv s="1">
    <fb>20408</fb>
    <v>11</v>
  </rv>
  <rv s="0">
    <v>536870912</v>
    <v>Lansing</v>
    <v>f72f32c4-1da0-4657-9366-ff9fa67191cd</v>
    <v>en-US</v>
    <v>Map</v>
  </rv>
  <rv s="1">
    <fb>3841148</fb>
    <v>11</v>
  </rv>
  <rv s="1">
    <fb>4560055</fb>
    <v>11</v>
  </rv>
  <rv s="2">
    <v>21</v>
    <v>9</v>
    <v>101</v>
    <v>7</v>
    <v>0</v>
    <v>Image of Michigan</v>
  </rv>
  <rv s="0">
    <v>536870912</v>
    <v>Detroit</v>
    <v>85910f05-3dc5-436a-85db-fe5802c27206</v>
    <v>en-US</v>
    <v>Map</v>
  </rv>
  <rv s="0">
    <v>805306368</v>
    <v>Gretchen Whitmer (Governor)</v>
    <v>f6d1e9db-75f6-c594-7272-dd636d3f4ad3</v>
    <v>en-US</v>
    <v>Generic</v>
  </rv>
  <rv s="0">
    <v>805306368</v>
    <v>Garlin Gilchrist (Lieutenant governor)</v>
    <v>d8f5ba75-ec82-cc25-7294-3463565f1b51</v>
    <v>en-US</v>
    <v>Generic</v>
  </rv>
  <rv s="3">
    <v>29</v>
  </rv>
  <rv s="4">
    <v>https://www.bing.com/search?q=michigan&amp;form=skydnc</v>
    <v>Learn more on Bing</v>
  </rv>
  <rv s="1">
    <fb>783</fb>
    <v>12</v>
  </rv>
  <rv s="1">
    <fb>49576</fb>
    <v>12</v>
  </rv>
  <rv s="1">
    <fb>122400</fb>
    <v>12</v>
  </rv>
  <rv s="1">
    <fb>2.52</fb>
    <v>13</v>
  </rv>
  <rv s="1">
    <fb>10077331</fb>
    <v>11</v>
  </rv>
  <rv s="1">
    <fb>4.0000000000000001E-3</fb>
    <v>14</v>
  </rv>
  <rv s="1">
    <fb>0.03</fb>
    <v>14</v>
  </rv>
  <rv s="1">
    <fb>0.26899999999999996</fb>
    <v>14</v>
  </rv>
  <rv s="1">
    <fb>0.89599999999999991</fb>
    <v>14</v>
  </rv>
  <rv s="1">
    <fb>0.61199999999999999</fb>
    <v>14</v>
  </rv>
  <rv s="1">
    <fb>0.10300000000000001</fb>
    <v>14</v>
  </rv>
  <rv s="1">
    <fb>0.222</fb>
    <v>14</v>
  </rv>
  <rv s="1">
    <fb>5.7999999999999996E-2</fb>
    <v>14</v>
  </rv>
  <rv s="1">
    <fb>0.79700000000000004</fb>
    <v>14</v>
  </rv>
  <rv s="8">
    <v>#VALUE!</v>
    <v>104</v>
    <v>99</v>
    <v>Michigan</v>
    <v>7</v>
    <v>8</v>
    <v>Map</v>
    <v>9</v>
    <v>100</v>
    <v>en-US</v>
    <v>162411c2-b757-495d-aa81-93942fae2f7e</v>
    <v>536870912</v>
    <v>1</v>
    <v>US-MI</v>
    <v>602</v>
    <v>603</v>
    <v>604</v>
    <v>4</v>
    <v>Michigan is a state in the Great Lakes region of the Upper Midwest region of the United States. It borders Wisconsin to the northwest in the Upper Peninsula, and Indiana and Ohio to the south in the Lower Peninsula; it is also connected by Lakes ...</v>
    <v>605</v>
    <v>606</v>
    <v>607</v>
    <v>608</v>
    <v>611</v>
    <v>612</v>
    <v>613</v>
    <v>614</v>
    <v>615</v>
    <v>Michigan</v>
    <v>616</v>
    <v>617</v>
    <v>618</v>
    <v>217</v>
    <v>57</v>
    <v>619</v>
    <v>620</v>
    <v>411</v>
    <v>22</v>
    <v>621</v>
    <v>598</v>
    <v>622</v>
    <v>623</v>
    <v>390</v>
    <v>624</v>
    <v>625</v>
    <v>626</v>
    <v>230</v>
    <v>Michigan</v>
    <v>mdp/vdpid/21196</v>
  </rv>
  <rv s="0">
    <v>536870912</v>
    <v>Minnesota</v>
    <v>77f97f6f-7e93-46e5-b486-6198effe8dea</v>
    <v>en-US</v>
    <v>Map</v>
  </rv>
  <rv s="1">
    <fb>225163</fb>
    <v>11</v>
  </rv>
  <rv s="1">
    <fb>21449</fb>
    <v>11</v>
  </rv>
  <rv s="0">
    <v>536870912</v>
    <v>Saint Paul</v>
    <v>1cc78952-7fdf-3532-7f33-51048c23af61</v>
    <v>en-US</v>
    <v>Map</v>
  </rv>
  <rv s="1">
    <fb>2124745</fb>
    <v>11</v>
  </rv>
  <rv s="1">
    <fb>2409935</fb>
    <v>11</v>
  </rv>
  <rv s="2">
    <v>22</v>
    <v>9</v>
    <v>105</v>
    <v>7</v>
    <v>0</v>
    <v>Image of Minnesota</v>
  </rv>
  <rv s="0">
    <v>536870912</v>
    <v>Minneapolis</v>
    <v>def03125-42ba-47cd-8061-ee55f5c63e67</v>
    <v>en-US</v>
    <v>Map</v>
  </rv>
  <rv s="0">
    <v>805306368</v>
    <v>Tim Walz (Governor)</v>
    <v>f38cda49-b64f-17fd-7bee-8b4b8615e92e</v>
    <v>en-US</v>
    <v>Generic</v>
  </rv>
  <rv s="0">
    <v>805306368</v>
    <v>Peggy Flanagan (Lieutenant governor)</v>
    <v>cf730391-3139-9782-b8cc-c66b64347b03</v>
    <v>en-US</v>
    <v>Generic</v>
  </rv>
  <rv s="3">
    <v>30</v>
  </rv>
  <rv s="4">
    <v>https://www.bing.com/search?q=minnesota&amp;form=skydnc</v>
    <v>Learn more on Bing</v>
  </rv>
  <rv s="1">
    <fb>848</fb>
    <v>12</v>
  </rv>
  <rv s="1">
    <fb>61492</fb>
    <v>12</v>
  </rv>
  <rv s="1">
    <fb>186200</fb>
    <v>12</v>
  </rv>
  <rv s="1">
    <fb>2.4900000000000002</fb>
    <v>13</v>
  </rv>
  <rv s="1">
    <fb>5706494</fb>
    <v>11</v>
  </rv>
  <rv s="1">
    <fb>4.0999999999999995E-2</fb>
    <v>14</v>
  </rv>
  <rv s="1">
    <fb>1.3000000000000001E-2</fb>
    <v>15</v>
  </rv>
  <rv s="1">
    <fb>0.33700000000000002</fb>
    <v>14</v>
  </rv>
  <rv s="1">
    <fb>7.6999999999999999E-2</fb>
    <v>14</v>
  </rv>
  <rv s="1">
    <fb>0.92400000000000004</fb>
    <v>14</v>
  </rv>
  <rv s="1">
    <fb>0.7</fb>
    <v>14</v>
  </rv>
  <rv s="1">
    <fb>0.23399999999999999</fb>
    <v>14</v>
  </rv>
  <rv s="7">
    <v>#VALUE!</v>
    <v>108</v>
    <v>41</v>
    <v>Minnesota</v>
    <v>7</v>
    <v>8</v>
    <v>Map</v>
    <v>9</v>
    <v>10</v>
    <v>en-US</v>
    <v>77f97f6f-7e93-46e5-b486-6198effe8dea</v>
    <v>536870912</v>
    <v>1</v>
    <v>US-MN</v>
    <v>629</v>
    <v>630</v>
    <v>631</v>
    <v>4</v>
    <v>Minnesota is a state in the Upper Midwestern region of the United States. It is bordered by the Canadian provinces of Manitoba and Ontario to the north and east and by the U.S. states of Wisconsin to the east, Iowa to the south, and North Dakota ...</v>
    <v>632</v>
    <v>633</v>
    <v>634</v>
    <v>635</v>
    <v>638</v>
    <v>639</v>
    <v>640</v>
    <v>641</v>
    <v>642</v>
    <v>Minnesota</v>
    <v>643</v>
    <v>644</v>
    <v>645</v>
    <v>156</v>
    <v>646</v>
    <v>598</v>
    <v>647</v>
    <v>69</v>
    <v>648</v>
    <v>649</v>
    <v>228</v>
    <v>650</v>
    <v>65</v>
    <v>226</v>
    <v>361</v>
    <v>651</v>
    <v>100</v>
    <v>308</v>
    <v>71</v>
    <v>Minnesota</v>
    <v>mdp/vdpid/21412</v>
  </rv>
  <rv s="0">
    <v>536870912</v>
    <v>Missouri</v>
    <v>6185f8cb-44e1-4da6-9bf0-b75286aeb591</v>
    <v>en-US</v>
    <v>Map</v>
  </rv>
  <rv s="1">
    <fb>181533</fb>
    <v>11</v>
  </rv>
  <rv s="1">
    <fb>18997</fb>
    <v>11</v>
  </rv>
  <rv s="0">
    <v>536870912</v>
    <v>Jefferson City</v>
    <v>81535f0b-c6a8-d0ca-9542-f43e51dc1f18</v>
    <v>en-US</v>
    <v>Map</v>
  </rv>
  <rv s="1">
    <fb>2364688</fb>
    <v>11</v>
  </rv>
  <rv s="1">
    <fb>2760084</fb>
    <v>11</v>
  </rv>
  <rv s="2">
    <v>23</v>
    <v>9</v>
    <v>109</v>
    <v>7</v>
    <v>0</v>
    <v>Image of Missouri</v>
  </rv>
  <rv s="0">
    <v>536870912</v>
    <v>Kansas City</v>
    <v>5b93ac88-7242-4198-8c11-93854400c8d7</v>
    <v>en-US</v>
    <v>Map</v>
  </rv>
  <rv s="0">
    <v>805306368</v>
    <v>Mike Parson (Governor)</v>
    <v>62bf026b-d9a9-58d5-78da-bc64c6183f46</v>
    <v>en-US</v>
    <v>Generic</v>
  </rv>
  <rv s="0">
    <v>805306368</v>
    <v>Mike Kehoe (Lieutenant governor)</v>
    <v>b2f50b37-ce14-c873-e2df-fd5943b7c015</v>
    <v>en-US</v>
    <v>Generic</v>
  </rv>
  <rv s="3">
    <v>31</v>
  </rv>
  <rv s="4">
    <v>https://www.bing.com/search?q=missouri&amp;form=skydnc</v>
    <v>Learn more on Bing</v>
  </rv>
  <rv s="1">
    <fb>746</fb>
    <v>12</v>
  </rv>
  <rv s="1">
    <fb>48173</fb>
    <v>12</v>
  </rv>
  <rv s="1">
    <fb>138400</fb>
    <v>12</v>
  </rv>
  <rv s="1">
    <fb>2.48</fb>
    <v>13</v>
  </rv>
  <rv s="1">
    <fb>6154913</fb>
    <v>11</v>
  </rv>
  <rv s="1">
    <fb>0.27100000000000002</fb>
    <v>14</v>
  </rv>
  <rv s="1">
    <fb>0.83299999999999996</fb>
    <v>14</v>
  </rv>
  <rv s="7">
    <v>#VALUE!</v>
    <v>112</v>
    <v>41</v>
    <v>Missouri</v>
    <v>7</v>
    <v>8</v>
    <v>Map</v>
    <v>9</v>
    <v>10</v>
    <v>en-US</v>
    <v>6185f8cb-44e1-4da6-9bf0-b75286aeb591</v>
    <v>536870912</v>
    <v>1</v>
    <v>US-MO</v>
    <v>654</v>
    <v>655</v>
    <v>656</v>
    <v>4</v>
    <v>Missouri is a landlocked state in the Midwestern region of the United States. Ranking 21st in land area, it borders Iowa to the north, Illinois, Kentucky and Tennessee to the east, Arkansas to the south and Oklahoma, Kansas, and Nebraska to the ...</v>
    <v>657</v>
    <v>658</v>
    <v>659</v>
    <v>660</v>
    <v>663</v>
    <v>664</v>
    <v>665</v>
    <v>666</v>
    <v>667</v>
    <v>Missouri</v>
    <v>668</v>
    <v>669</v>
    <v>55</v>
    <v>56</v>
    <v>412</v>
    <v>98</v>
    <v>670</v>
    <v>66</v>
    <v>24</v>
    <v>253</v>
    <v>645</v>
    <v>524</v>
    <v>65</v>
    <v>338</v>
    <v>227</v>
    <v>497</v>
    <v>197</v>
    <v>671</v>
    <v>71</v>
    <v>Missouri</v>
    <v>mdp/vdpid/21512</v>
  </rv>
  <rv s="0">
    <v>536870912</v>
    <v>Mississippi</v>
    <v>6af619ca-217d-49c0-9a86-153fc7fbcd78</v>
    <v>en-US</v>
    <v>Map</v>
  </rv>
  <rv s="1">
    <fb>125443</fb>
    <v>11</v>
  </rv>
  <rv s="1">
    <fb>6886</fb>
    <v>11</v>
  </rv>
  <rv s="0">
    <v>536870912</v>
    <v>Jackson</v>
    <v>ed40f72a-f28d-48a5-887c-e021839859d4</v>
    <v>en-US</v>
    <v>Map</v>
  </rv>
  <rv s="1">
    <fb>1096593</fb>
    <v>11</v>
  </rv>
  <rv s="1">
    <fb>1307441</fb>
    <v>11</v>
  </rv>
  <rv s="2">
    <v>24</v>
    <v>9</v>
    <v>113</v>
    <v>7</v>
    <v>0</v>
    <v>Image of Mississippi</v>
  </rv>
  <rv s="0">
    <v>805306368</v>
    <v>Tate Reeves (Governor)</v>
    <v>1213e585-32e8-e04c-eea2-e80c2d44dde8</v>
    <v>en-US</v>
    <v>Generic</v>
  </rv>
  <rv s="0">
    <v>805306368</v>
    <v>Delbert Hosemann (Lieutenant governor)</v>
    <v>babf7478-24bf-5e4a-6287-b982d6af7dc4</v>
    <v>en-US</v>
    <v>Generic</v>
  </rv>
  <rv s="3">
    <v>32</v>
  </rv>
  <rv s="4">
    <v>https://www.bing.com/search?q=mississippi&amp;form=skydnc</v>
    <v>Learn more on Bing</v>
  </rv>
  <rv s="1">
    <fb>39665</fb>
    <v>12</v>
  </rv>
  <rv s="1">
    <fb>103100</fb>
    <v>12</v>
  </rv>
  <rv s="1">
    <fb>2.64</fb>
    <v>13</v>
  </rv>
  <rv s="1">
    <fb>2961279</fb>
    <v>11</v>
  </rv>
  <rv s="1">
    <fb>6.9999999999999993E-3</fb>
    <v>14</v>
  </rv>
  <rv s="1">
    <fb>1.1000000000000001E-2</fb>
    <v>14</v>
  </rv>
  <rv s="1">
    <fb>0.20699999999999999</fb>
    <v>14</v>
  </rv>
  <rv s="1">
    <fb>0.82299999999999995</fb>
    <v>14</v>
  </rv>
  <rv s="1">
    <fb>3.1E-2</fb>
    <v>14</v>
  </rv>
  <rv s="1">
    <fb>0.57499999999999996</fb>
    <v>14</v>
  </rv>
  <rv s="1">
    <fb>0.24299999999999999</fb>
    <v>14</v>
  </rv>
  <rv s="1">
    <fb>0.59499999999999997</fb>
    <v>14</v>
  </rv>
  <rv s="5">
    <v>#VALUE!</v>
    <v>116</v>
    <v>5</v>
    <v>Mississippi</v>
    <v>7</v>
    <v>8</v>
    <v>Map</v>
    <v>9</v>
    <v>10</v>
    <v>en-US</v>
    <v>6af619ca-217d-49c0-9a86-153fc7fbcd78</v>
    <v>536870912</v>
    <v>1</v>
    <v>US-MS</v>
    <v>674</v>
    <v>675</v>
    <v>676</v>
    <v>4</v>
    <v>Mississippi is a state in the Southeastern region of the United States. It borders Tennessee to the north, Alabama to the east, the Gulf of Mexico to the south, Louisiana to the southwest, and Arkansas to the northwest. Mississippi's western ...</v>
    <v>677</v>
    <v>678</v>
    <v>679</v>
    <v>676</v>
    <v>682</v>
    <v>683</v>
    <v>49</v>
    <v>684</v>
    <v>685</v>
    <v>Mississippi</v>
    <v>52</v>
    <v>686</v>
    <v>687</v>
    <v>688</v>
    <v>156</v>
    <v>412</v>
    <v>689</v>
    <v>690</v>
    <v>220</v>
    <v>390</v>
    <v>691</v>
    <v>692</v>
    <v>693</v>
    <v>65</v>
    <v>596</v>
    <v>592</v>
    <v>694</v>
    <v>100</v>
    <v>695</v>
    <v>71</v>
    <v>Mississippi</v>
    <v>mdp/vdpid/21502</v>
  </rv>
  <rv s="0">
    <v>536870912</v>
    <v>Montana</v>
    <v>447d6cd5-53f6-4c8f-bf6c-9ff228415c3b</v>
    <v>en-US</v>
    <v>Map</v>
  </rv>
  <rv s="1">
    <fb>381154</fb>
    <v>11</v>
  </rv>
  <rv s="1">
    <fb>4781</fb>
    <v>11</v>
  </rv>
  <rv s="0">
    <v>536870912</v>
    <v>Helena</v>
    <v>097df9b7-6962-dbe8-2072-661fa4996ede</v>
    <v>en-US</v>
    <v>Map</v>
  </rv>
  <rv s="1">
    <fb>409394</fb>
    <v>11</v>
  </rv>
  <rv s="1">
    <fb>497756</fb>
    <v>11</v>
  </rv>
  <rv s="2">
    <v>25</v>
    <v>9</v>
    <v>117</v>
    <v>7</v>
    <v>0</v>
    <v>Image of Montana</v>
  </rv>
  <rv s="0">
    <v>536870912</v>
    <v>Billings</v>
    <v>c0f552c6-eaaf-4d0b-806d-6017c2034bbb</v>
    <v>en-US</v>
    <v>Map</v>
  </rv>
  <rv s="0">
    <v>805306368</v>
    <v>Greg Gianforte (Governor)</v>
    <v>d6243525-cd8a-23f1-fe91-bca377dc4fe8</v>
    <v>en-US</v>
    <v>Generic</v>
  </rv>
  <rv s="0">
    <v>805306368</v>
    <v>Kristen Juras (Lieutenant governor)</v>
    <v>17151917-f12f-38da-5ee2-575494f79565</v>
    <v>en-US</v>
    <v>Generic</v>
  </rv>
  <rv s="3">
    <v>33</v>
  </rv>
  <rv s="4">
    <v>https://www.bing.com/search?q=montana&amp;form=skydnc</v>
    <v>Learn more on Bing</v>
  </rv>
  <rv s="1">
    <fb>711</fb>
    <v>12</v>
  </rv>
  <rv s="1">
    <fb>47169</fb>
    <v>12</v>
  </rv>
  <rv s="1">
    <fb>193500</fb>
    <v>12</v>
  </rv>
  <rv s="1">
    <fb>2.41</fb>
    <v>13</v>
  </rv>
  <rv s="1">
    <fb>1084225</fb>
    <v>11</v>
  </rv>
  <rv s="1">
    <fb>0.17199999999999999</fb>
    <v>14</v>
  </rv>
  <rv s="1">
    <fb>6.6000000000000003E-2</fb>
    <v>15</v>
  </rv>
  <rv s="1">
    <fb>0.29499999999999998</fb>
    <v>14</v>
  </rv>
  <rv s="1">
    <fb>6.0000000000000001E-3</fb>
    <v>14</v>
  </rv>
  <rv s="1">
    <fb>0.92799999999999994</fb>
    <v>14</v>
  </rv>
  <rv s="1">
    <fb>3.6000000000000004E-2</fb>
    <v>14</v>
  </rv>
  <rv s="1">
    <fb>0.63600000000000001</fb>
    <v>14</v>
  </rv>
  <rv s="1">
    <fb>9.0999999999999998E-2</fb>
    <v>14</v>
  </rv>
  <rv s="1">
    <fb>0.21899999999999997</fb>
    <v>14</v>
  </rv>
  <rv s="1">
    <fb>0.89200000000000002</fb>
    <v>14</v>
  </rv>
  <rv s="6">
    <v>#VALUE!</v>
    <v>120</v>
    <v>28</v>
    <v>Montana</v>
    <v>7</v>
    <v>8</v>
    <v>Map</v>
    <v>9</v>
    <v>10</v>
    <v>en-US</v>
    <v>447d6cd5-53f6-4c8f-bf6c-9ff228415c3b</v>
    <v>536870912</v>
    <v>1</v>
    <v>US-MT</v>
    <v>698</v>
    <v>699</v>
    <v>700</v>
    <v>4</v>
    <v>Montana is a landlocked state in the Mountain West subregion of the Western United States. It borders Idaho to the west, North Dakota to the east, South Dakota to the southeast, Wyoming to the south, and the Canadian provinces of Alberta, ...</v>
    <v>701</v>
    <v>702</v>
    <v>703</v>
    <v>704</v>
    <v>707</v>
    <v>708</v>
    <v>709</v>
    <v>710</v>
    <v>711</v>
    <v>Montana</v>
    <v>52</v>
    <v>712</v>
    <v>713</v>
    <v>153</v>
    <v>714</v>
    <v>715</v>
    <v>385</v>
    <v>716</v>
    <v>717</v>
    <v>439</v>
    <v>718</v>
    <v>719</v>
    <v>720</v>
    <v>65</v>
    <v>721</v>
    <v>132</v>
    <v>722</v>
    <v>69</v>
    <v>723</v>
    <v>Montana</v>
    <v>mdp/vdpid/21789</v>
  </rv>
  <rv s="0">
    <v>536870912</v>
    <v>North Carolina</v>
    <v>9e2bf053-dd80-4646-8f26-65075e7085c0</v>
    <v>en-US</v>
    <v>Map</v>
  </rv>
  <rv s="1">
    <fb>139390</fb>
    <v>11</v>
  </rv>
  <rv s="1">
    <fb>60550</fb>
    <v>11</v>
  </rv>
  <rv s="0">
    <v>536870912</v>
    <v>Raleigh</v>
    <v>7b706445-83c5-46a4-bb70-cff23cd555d3</v>
    <v>en-US</v>
    <v>Map</v>
  </rv>
  <rv s="1">
    <fb>3775581</fb>
    <v>11</v>
  </rv>
  <rv s="1">
    <fb>4540498</fb>
    <v>11</v>
  </rv>
  <rv s="2">
    <v>26</v>
    <v>9</v>
    <v>121</v>
    <v>7</v>
    <v>0</v>
    <v>Image of North Carolina</v>
  </rv>
  <rv s="0">
    <v>536870912</v>
    <v>Charlotte</v>
    <v>e6558399-4151-4390-ad12-f2a72b268ce7</v>
    <v>en-US</v>
    <v>Map</v>
  </rv>
  <rv s="0">
    <v>805306368</v>
    <v>Roy Cooper (Governor)</v>
    <v>820bd6b0-5fb7-750e-f669-ed2a8611d0dd</v>
    <v>en-US</v>
    <v>Generic</v>
  </rv>
  <rv s="0">
    <v>805306368</v>
    <v>Mark Robinson (Lieutenant governor)</v>
    <v>d93d9a6d-8231-1646-b92c-00ca50d3db23</v>
    <v>en-US</v>
    <v>Generic</v>
  </rv>
  <rv s="3">
    <v>34</v>
  </rv>
  <rv s="4">
    <v>https://www.bing.com/search?q=north+carolina&amp;form=skydnc</v>
    <v>Learn more on Bing</v>
  </rv>
  <rv s="1">
    <fb>797</fb>
    <v>12</v>
  </rv>
  <rv s="1">
    <fb>46868</fb>
    <v>12</v>
  </rv>
  <rv s="1">
    <fb>154900</fb>
    <v>12</v>
  </rv>
  <rv s="1">
    <fb>2.54</fb>
    <v>13</v>
  </rv>
  <rv s="1">
    <fb>10439388</fb>
    <v>11</v>
  </rv>
  <rv s="1">
    <fb>0.151</fb>
    <v>14</v>
  </rv>
  <rv s="1">
    <fb>0.28399999999999997</fb>
    <v>14</v>
  </rv>
  <rv s="1">
    <fb>0.221</fb>
    <v>14</v>
  </rv>
  <rv s="1">
    <fb>0.61799999999999999</fb>
    <v>14</v>
  </rv>
  <rv s="1">
    <fb>0.22800000000000001</fb>
    <v>14</v>
  </rv>
  <rv s="1">
    <fb>0.71200000000000008</fb>
    <v>14</v>
  </rv>
  <rv s="5">
    <v>#VALUE!</v>
    <v>124</v>
    <v>5</v>
    <v>North Carolina</v>
    <v>7</v>
    <v>8</v>
    <v>Map</v>
    <v>9</v>
    <v>10</v>
    <v>en-US</v>
    <v>9e2bf053-dd80-4646-8f26-65075e7085c0</v>
    <v>536870912</v>
    <v>1</v>
    <v>US-NC</v>
    <v>726</v>
    <v>727</v>
    <v>728</v>
    <v>4</v>
    <v>North Carolina is a state in the Southeastern region of the United States. It is bordered by Virginia to the north, the Atlantic Ocean to the east, South Carolina to the south, Georgia to the southwest, and Tennessee to the west. The state is ...</v>
    <v>729</v>
    <v>730</v>
    <v>731</v>
    <v>732</v>
    <v>735</v>
    <v>736</v>
    <v>737</v>
    <v>738</v>
    <v>739</v>
    <v>North Carolina</v>
    <v>52</v>
    <v>740</v>
    <v>741</v>
    <v>100</v>
    <v>742</v>
    <v>187</v>
    <v>278</v>
    <v>743</v>
    <v>744</v>
    <v>648</v>
    <v>446</v>
    <v>721</v>
    <v>745</v>
    <v>65</v>
    <v>276</v>
    <v>439</v>
    <v>746</v>
    <v>69</v>
    <v>747</v>
    <v>230</v>
    <v>North Carolina</v>
    <v>mdp/vdpid/23611</v>
  </rv>
  <rv s="0">
    <v>536870912</v>
    <v>North Dakota</v>
    <v>77fbc744-3efe-4aa9-9e8e-f8034f06b941</v>
    <v>en-US</v>
    <v>Map</v>
  </rv>
  <rv s="1">
    <fb>183108</fb>
    <v>11</v>
  </rv>
  <rv s="1">
    <fb>3981</fb>
    <v>11</v>
  </rv>
  <rv s="0">
    <v>536870912</v>
    <v>Bismarck</v>
    <v>9fa1be97-4895-ee5c-303c-a38472229e49</v>
    <v>en-US</v>
    <v>Map</v>
  </rv>
  <rv s="1">
    <fb>299638</fb>
    <v>11</v>
  </rv>
  <rv s="1">
    <fb>368624</fb>
    <v>11</v>
  </rv>
  <rv s="2">
    <v>27</v>
    <v>9</v>
    <v>125</v>
    <v>7</v>
    <v>0</v>
    <v>Image of North Dakota</v>
  </rv>
  <rv s="0">
    <v>536870912</v>
    <v>Fargo</v>
    <v>4886dae3-b8ea-4b19-b601-d775aa06fa2d</v>
    <v>en-US</v>
    <v>Map</v>
  </rv>
  <rv s="0">
    <v>805306368</v>
    <v>Doug Burgum (Governor)</v>
    <v>bb103f6f-7e47-352a-494f-2d7f17bb6a39</v>
    <v>en-US</v>
    <v>Generic</v>
  </rv>
  <rv s="0">
    <v>805306368</v>
    <v>Tammy Miller (Lieutenant governor)</v>
    <v>07b3e532-f0a1-1ae2-81bc-999d3e0c75a9</v>
    <v>en-US</v>
    <v>Generic</v>
  </rv>
  <rv s="3">
    <v>35</v>
  </rv>
  <rv s="4">
    <v>https://www.bing.com/search?q=north+dakota&amp;form=skydnc</v>
    <v>Learn more on Bing</v>
  </rv>
  <rv s="1">
    <fb>709</fb>
    <v>12</v>
  </rv>
  <rv s="1">
    <fb>57181</fb>
    <v>12</v>
  </rv>
  <rv s="1">
    <fb>153800</fb>
    <v>12</v>
  </rv>
  <rv s="1">
    <fb>2.3199999999999998</fb>
    <v>13</v>
  </rv>
  <rv s="1">
    <fb>779094</fb>
    <v>11</v>
  </rv>
  <rv s="1">
    <fb>0.127</fb>
    <v>14</v>
  </rv>
  <rv s="1">
    <fb>5.5E-2</fb>
    <v>15</v>
  </rv>
  <rv s="1">
    <fb>0.27699999999999997</fb>
    <v>14</v>
  </rv>
  <rv s="1">
    <fb>0.91700000000000004</fb>
    <v>14</v>
  </rv>
  <rv s="1">
    <fb>0.69299999999999995</fb>
    <v>14</v>
  </rv>
  <rv s="1">
    <fb>0.8859999999999999</fb>
    <v>14</v>
  </rv>
  <rv s="5">
    <v>#VALUE!</v>
    <v>128</v>
    <v>5</v>
    <v>North Dakota</v>
    <v>7</v>
    <v>8</v>
    <v>Map</v>
    <v>9</v>
    <v>10</v>
    <v>en-US</v>
    <v>77fbc744-3efe-4aa9-9e8e-f8034f06b941</v>
    <v>536870912</v>
    <v>1</v>
    <v>US-ND</v>
    <v>750</v>
    <v>751</v>
    <v>752</v>
    <v>4</v>
    <v>North Dakota is a landlocked U.S. state in the Upper Midwest, named after the indigenous Dakota Sioux. It is bordered by the Canadian provinces of Saskatchewan and Manitoba to the north and by the U.S. states of Minnesota to the east, South ...</v>
    <v>753</v>
    <v>754</v>
    <v>755</v>
    <v>756</v>
    <v>759</v>
    <v>760</v>
    <v>761</v>
    <v>762</v>
    <v>763</v>
    <v>North Dakota</v>
    <v>52</v>
    <v>764</v>
    <v>765</v>
    <v>766</v>
    <v>411</v>
    <v>767</v>
    <v>58</v>
    <v>768</v>
    <v>361</v>
    <v>188</v>
    <v>769</v>
    <v>61</v>
    <v>770</v>
    <v>65</v>
    <v>164</v>
    <v>439</v>
    <v>196</v>
    <v>27</v>
    <v>771</v>
    <v>71</v>
    <v>North Dakota</v>
    <v>mdp/vdpid/23624</v>
  </rv>
  <rv s="0">
    <v>536870912</v>
    <v>Nebraska</v>
    <v>3e64ff5d-6b40-4dbe-91b1-0e554e892496</v>
    <v>en-US</v>
    <v>Map</v>
  </rv>
  <rv s="1">
    <fb>200520</fb>
    <v>11</v>
  </rv>
  <rv s="1">
    <fb>8078</fb>
    <v>11</v>
  </rv>
  <rv s="0">
    <v>536870912</v>
    <v>Lincoln</v>
    <v>38974d3e-7769-4d06-b772-31a57932a126</v>
    <v>en-US</v>
    <v>Map</v>
  </rv>
  <rv s="1">
    <fb>736613</fb>
    <v>11</v>
  </rv>
  <rv s="1">
    <fb>827156</fb>
    <v>11</v>
  </rv>
  <rv s="2">
    <v>28</v>
    <v>9</v>
    <v>129</v>
    <v>7</v>
    <v>0</v>
    <v>Image of Nebraska</v>
  </rv>
  <rv s="0">
    <v>536870912</v>
    <v>Omaha</v>
    <v>3e9b5a28-f96c-420a-8065-6b1bd5aba459</v>
    <v>en-US</v>
    <v>Map</v>
  </rv>
  <rv s="0">
    <v>805306368</v>
    <v>Jim Pillen (Governor)</v>
    <v>d609858d-2007-ee0a-defb-14ae1c2ab4d3</v>
    <v>en-US</v>
    <v>Generic</v>
  </rv>
  <rv s="0">
    <v>805306368</v>
    <v>Joe Kelly (Lieutenant governor)</v>
    <v>f92108f4-90b9-9d3b-9c97-08750cd4d3ee</v>
    <v>en-US</v>
    <v>Generic</v>
  </rv>
  <rv s="3">
    <v>36</v>
  </rv>
  <rv s="4">
    <v>https://www.bing.com/search?q=nebraska&amp;form=skydnc</v>
    <v>Learn more on Bing</v>
  </rv>
  <rv s="1">
    <fb>726</fb>
    <v>12</v>
  </rv>
  <rv s="1">
    <fb>52997</fb>
    <v>12</v>
  </rv>
  <rv s="1">
    <fb>133200</fb>
    <v>12</v>
  </rv>
  <rv s="1">
    <fb>2.4700000000000002</fb>
    <v>13</v>
  </rv>
  <rv s="1">
    <fb>1961504</fb>
    <v>11</v>
  </rv>
  <rv s="1">
    <fb>4.4000000000000004E-2</fb>
    <v>14</v>
  </rv>
  <rv s="1">
    <fb>1.3999999999999999E-2</fb>
    <v>15</v>
  </rv>
  <rv s="1">
    <fb>0.29299999999999998</fb>
    <v>14</v>
  </rv>
  <rv s="1">
    <fb>0.69900000000000007</fb>
    <v>14</v>
  </rv>
  <rv s="1">
    <fb>7.2999999999999995E-2</fb>
    <v>14</v>
  </rv>
  <rv s="1">
    <fb>0.248</fb>
    <v>14</v>
  </rv>
  <rv s="1">
    <fb>0.8909999999999999</fb>
    <v>14</v>
  </rv>
  <rv s="6">
    <v>#VALUE!</v>
    <v>132</v>
    <v>28</v>
    <v>Nebraska</v>
    <v>7</v>
    <v>8</v>
    <v>Map</v>
    <v>9</v>
    <v>10</v>
    <v>en-US</v>
    <v>3e64ff5d-6b40-4dbe-91b1-0e554e892496</v>
    <v>536870912</v>
    <v>1</v>
    <v>US-NE</v>
    <v>774</v>
    <v>775</v>
    <v>776</v>
    <v>4</v>
    <v>Nebraska is a triply landlocked state in the Midwestern region of the United States. It borders South Dakota to the north; Iowa to the east and Missouri to the southeast, both across the Missouri River; Kansas to the south; Colorado to the ...</v>
    <v>777</v>
    <v>778</v>
    <v>779</v>
    <v>780</v>
    <v>783</v>
    <v>784</v>
    <v>785</v>
    <v>786</v>
    <v>787</v>
    <v>Nebraska</v>
    <v>52</v>
    <v>788</v>
    <v>789</v>
    <v>790</v>
    <v>156</v>
    <v>791</v>
    <v>390</v>
    <v>792</v>
    <v>331</v>
    <v>541</v>
    <v>191</v>
    <v>338</v>
    <v>793</v>
    <v>65</v>
    <v>794</v>
    <v>439</v>
    <v>795</v>
    <v>466</v>
    <v>796</v>
    <v>Nebraska</v>
    <v>mdp/vdpid/22869</v>
  </rv>
  <rv s="0">
    <v>536870912</v>
    <v>New Hampshire</v>
    <v>9ca71997-cc97-46eb-8911-fac32f80b0b1</v>
    <v>en-US</v>
    <v>Map</v>
  </rv>
  <rv s="1">
    <fb>24214</fb>
    <v>11</v>
  </rv>
  <rv s="1">
    <fb>3796</fb>
    <v>11</v>
  </rv>
  <rv s="0">
    <v>536870912</v>
    <v>Concord</v>
    <v>d65980fb-3dad-44a3-6f66-92662eca6d4f</v>
    <v>en-US</v>
    <v>Map</v>
  </rv>
  <rv s="1">
    <fb>520251</fb>
    <v>11</v>
  </rv>
  <rv s="1">
    <fb>625307</fb>
    <v>11</v>
  </rv>
  <rv s="2">
    <v>29</v>
    <v>9</v>
    <v>133</v>
    <v>7</v>
    <v>0</v>
    <v>Image of New Hampshire</v>
  </rv>
  <rv s="0">
    <v>536870912</v>
    <v>Manchester</v>
    <v>f86d8a4e-96a6-418e-8b73-417f59efae56</v>
    <v>en-US</v>
    <v>Map</v>
  </rv>
  <rv s="0">
    <v>805306368</v>
    <v>Chris Sununu (Governor)</v>
    <v>acb323f4-1dc1-7ced-e197-253cb6df1495</v>
    <v>en-US</v>
    <v>Generic</v>
  </rv>
  <rv s="3">
    <v>37</v>
  </rv>
  <rv s="4">
    <v>https://www.bing.com/search?q=new+hampshire&amp;form=skydnc</v>
    <v>Learn more on Bing</v>
  </rv>
  <rv s="1">
    <fb>1000</fb>
    <v>12</v>
  </rv>
  <rv s="1">
    <fb>66779</fb>
    <v>12</v>
  </rv>
  <rv s="1">
    <fb>237300</fb>
    <v>12</v>
  </rv>
  <rv s="1">
    <fb>1377529</fb>
    <v>11</v>
  </rv>
  <rv s="1">
    <fb>0.34899999999999998</fb>
    <v>14</v>
  </rv>
  <rv s="1">
    <fb>0.92299999999999993</fb>
    <v>14</v>
  </rv>
  <rv s="1">
    <fb>0.68200000000000005</fb>
    <v>14</v>
  </rv>
  <rv s="1">
    <fb>0.19800000000000001</fb>
    <v>14</v>
  </rv>
  <rv s="1">
    <fb>0.93900000000000006</fb>
    <v>14</v>
  </rv>
  <rv s="9">
    <v>#VALUE!</v>
    <v>136</v>
    <v>137</v>
    <v>New Hampshire</v>
    <v>7</v>
    <v>8</v>
    <v>Map</v>
    <v>9</v>
    <v>100</v>
    <v>en-US</v>
    <v>9ca71997-cc97-46eb-8911-fac32f80b0b1</v>
    <v>536870912</v>
    <v>1</v>
    <v>US-NH</v>
    <v>799</v>
    <v>800</v>
    <v>801</v>
    <v>4</v>
    <v>New Hampshire is a state in the New England region of the Northeastern United States. It borders Massachusetts to the south, Vermont to the west, Maine and the Gulf of Maine to the east, and the Canadian province of Quebec to the north. Of the ...</v>
    <v>802</v>
    <v>803</v>
    <v>804</v>
    <v>805</v>
    <v>807</v>
    <v>808</v>
    <v>809</v>
    <v>810</v>
    <v>811</v>
    <v>New Hampshire</v>
    <v>52</v>
    <v>788</v>
    <v>812</v>
    <v>58</v>
    <v>332</v>
    <v>491</v>
    <v>335</v>
    <v>813</v>
    <v>383</v>
    <v>363</v>
    <v>814</v>
    <v>124</v>
    <v>815</v>
    <v>255</v>
    <v>67</v>
    <v>816</v>
    <v>598</v>
    <v>817</v>
    <v>230</v>
    <v>New Hampshire</v>
    <v>mdp/vdpid/23097</v>
  </rv>
  <rv s="0">
    <v>536870912</v>
    <v>New Jersey</v>
    <v>05277898-b62b-4878-8632-09d29756a2ff</v>
    <v>en-US</v>
    <v>Map</v>
  </rv>
  <rv s="1">
    <fb>22591.4</fb>
    <v>11</v>
  </rv>
  <rv s="1">
    <fb>26793</fb>
    <v>11</v>
  </rv>
  <rv s="0">
    <v>536870912</v>
    <v>Trenton</v>
    <v>6fa8f821-25c7-45dc-ab44-318e7657779c</v>
    <v>en-US</v>
    <v>Map</v>
  </rv>
  <rv s="1">
    <fb>3189486</fb>
    <v>11</v>
  </rv>
  <rv s="1">
    <fb>3604409</fb>
    <v>11</v>
  </rv>
  <rv s="2">
    <v>30</v>
    <v>9</v>
    <v>138</v>
    <v>7</v>
    <v>0</v>
    <v>Image of New Jersey</v>
  </rv>
  <rv s="0">
    <v>536870912</v>
    <v>Newark</v>
    <v>12526fe6-792c-45e6-8124-54fec8a5d9e0</v>
    <v>en-US</v>
    <v>Map</v>
  </rv>
  <rv s="0">
    <v>805306368</v>
    <v>Phil Murphy (Governor)</v>
    <v>5f2e6941-5a52-30bf-801e-af03a8a1c6f8</v>
    <v>en-US</v>
    <v>Generic</v>
  </rv>
  <rv s="0">
    <v>805306368</v>
    <v>Tahesha Way (Lieutenant governor)</v>
    <v>f27ba542-e503-cdab-ab90-93caed490f68</v>
    <v>en-US</v>
    <v>Generic</v>
  </rv>
  <rv s="0">
    <v>805306368</v>
    <v>Bob Menendez (Senate)</v>
    <v>c6ef2717-08b7-ea7c-9b8f-e45aff0d510f</v>
    <v>en-US</v>
    <v>Generic</v>
  </rv>
  <rv s="0">
    <v>805306368</v>
    <v>Cory Booker (Senate)</v>
    <v>d883e813-4e4d-8245-2d50-b9f9e13072c6</v>
    <v>en-US</v>
    <v>Generic</v>
  </rv>
  <rv s="3">
    <v>38</v>
  </rv>
  <rv s="4">
    <v>https://www.bing.com/search?q=new+jersey&amp;form=skydnc</v>
    <v>Learn more on Bing</v>
  </rv>
  <rv s="1">
    <fb>1192</fb>
    <v>12</v>
  </rv>
  <rv s="1">
    <fb>72093</fb>
    <v>12</v>
  </rv>
  <rv s="1">
    <fb>315900</fb>
    <v>12</v>
  </rv>
  <rv s="1">
    <fb>9288994</fb>
    <v>11</v>
  </rv>
  <rv s="1">
    <fb>0.15</fb>
    <v>14</v>
  </rv>
  <rv s="1">
    <fb>0.36799999999999999</fb>
    <v>14</v>
  </rv>
  <rv s="1">
    <fb>0.14800000000000002</fb>
    <v>14</v>
  </rv>
  <rv s="1">
    <fb>0.65900000000000003</fb>
    <v>14</v>
  </rv>
  <rv s="1">
    <fb>0.72599999999999998</fb>
    <v>14</v>
  </rv>
  <rv s="5">
    <v>#VALUE!</v>
    <v>141</v>
    <v>5</v>
    <v>New Jersey</v>
    <v>7</v>
    <v>8</v>
    <v>Map</v>
    <v>9</v>
    <v>10</v>
    <v>en-US</v>
    <v>05277898-b62b-4878-8632-09d29756a2ff</v>
    <v>536870912</v>
    <v>1</v>
    <v>US-NJ</v>
    <v>820</v>
    <v>821</v>
    <v>822</v>
    <v>4</v>
    <v>New Jersey is a state situated within both the Mid-Atlantic and Northeastern regions of the United States. It is the most densely populated of all 50 U.S. states, and is situated at the center of the Northeast megalopolis. New Jersey is bordered ...</v>
    <v>823</v>
    <v>824</v>
    <v>825</v>
    <v>826</v>
    <v>831</v>
    <v>832</v>
    <v>833</v>
    <v>834</v>
    <v>835</v>
    <v>New Jersey</v>
    <v>52</v>
    <v>302</v>
    <v>836</v>
    <v>55</v>
    <v>837</v>
    <v>412</v>
    <v>444</v>
    <v>838</v>
    <v>839</v>
    <v>340</v>
    <v>771</v>
    <v>281</v>
    <v>840</v>
    <v>65</v>
    <v>541</v>
    <v>439</v>
    <v>492</v>
    <v>257</v>
    <v>841</v>
    <v>230</v>
    <v>New Jersey</v>
    <v>mdp/vdpid/23117</v>
  </rv>
  <rv s="0">
    <v>536870912</v>
    <v>New Mexico</v>
    <v>a16d3636-4349-41c7-a77e-89e34b26a8ad</v>
    <v>en-US</v>
    <v>Map</v>
  </rv>
  <rv s="1">
    <fb>315194</fb>
    <v>11</v>
  </rv>
  <rv s="1">
    <fb>4863</fb>
    <v>11</v>
  </rv>
  <rv s="0">
    <v>536870912</v>
    <v>Santa Fe</v>
    <v>4b18f381-d510-4934-8a88-4507135c578d</v>
    <v>en-US</v>
    <v>Map</v>
  </rv>
  <rv s="1">
    <fb>763603</fb>
    <v>11</v>
  </rv>
  <rv s="1">
    <fb>917568</fb>
    <v>11</v>
  </rv>
  <rv s="2">
    <v>31</v>
    <v>9</v>
    <v>142</v>
    <v>7</v>
    <v>0</v>
    <v>Image of New Mexico</v>
  </rv>
  <rv s="0">
    <v>536870912</v>
    <v>Albuquerque</v>
    <v>7fffaaf6-e694-4095-be90-f6492cadbd58</v>
    <v>en-US</v>
    <v>Map</v>
  </rv>
  <rv s="0">
    <v>805306368</v>
    <v>Michelle Lujan Grisham (Governor)</v>
    <v>fe49b454-a2aa-4dfe-a1ba-763d379a487f</v>
    <v>en-US</v>
    <v>Generic</v>
  </rv>
  <rv s="0">
    <v>805306368</v>
    <v>Howie Morales (Lieutenant governor)</v>
    <v>d94f2150-c331-242b-1da6-e02f93039204</v>
    <v>en-US</v>
    <v>Generic</v>
  </rv>
  <rv s="3">
    <v>39</v>
  </rv>
  <rv s="4">
    <v>https://www.bing.com/search?q=new+mexico&amp;form=skydnc</v>
    <v>Learn more on Bing</v>
  </rv>
  <rv s="1">
    <fb>44963</fb>
    <v>12</v>
  </rv>
  <rv s="1">
    <fb>160300</fb>
    <v>12</v>
  </rv>
  <rv s="1">
    <fb>2117522</fb>
    <v>11</v>
  </rv>
  <rv s="1">
    <fb>0.105</fb>
    <v>15</v>
  </rv>
  <rv s="1">
    <fb>0.26300000000000001</fb>
    <v>14</v>
  </rv>
  <rv s="1">
    <fb>0.48</fb>
    <v>14</v>
  </rv>
  <rv s="1">
    <fb>0.10099999999999999</fb>
    <v>14</v>
  </rv>
  <rv s="1">
    <fb>0.82499999999999996</fb>
    <v>14</v>
  </rv>
  <rv s="10">
    <v>#VALUE!</v>
    <v>145</v>
    <v>146</v>
    <v>New Mexico</v>
    <v>7</v>
    <v>8</v>
    <v>Map</v>
    <v>9</v>
    <v>10</v>
    <v>en-US</v>
    <v>a16d3636-4349-41c7-a77e-89e34b26a8ad</v>
    <v>536870912</v>
    <v>1</v>
    <v>US-NM</v>
    <v>844</v>
    <v>845</v>
    <v>846</v>
    <v>4</v>
    <v>New Mexico is a landlocked state in the Southwestern region of the United States. It is one of the Mountain States of the southern Rocky Mountains, sharing the Four Corners region with Utah, Colorado, and Arizona. It also borders Texas to the ...</v>
    <v>847</v>
    <v>848</v>
    <v>849</v>
    <v>850</v>
    <v>853</v>
    <v>854</v>
    <v>587</v>
    <v>855</v>
    <v>856</v>
    <v>New Mexico</v>
    <v>565</v>
    <v>857</v>
    <v>689</v>
    <v>217</v>
    <v>858</v>
    <v>55</v>
    <v>859</v>
    <v>335</v>
    <v>190</v>
    <v>494</v>
    <v>860</v>
    <v>495</v>
    <v>194</v>
    <v>861</v>
    <v>89</v>
    <v>133</v>
    <v>158</v>
    <v>862</v>
    <v>New Mexico</v>
    <v>mdp/vdpid/23132</v>
  </rv>
  <rv s="0">
    <v>536870912</v>
    <v>Nevada</v>
    <v>c2157d7e-617e-4517-80f8-1b08113afc14</v>
    <v>en-US</v>
    <v>Map</v>
  </rv>
  <rv s="1">
    <fb>286380</fb>
    <v>11</v>
  </rv>
  <rv s="1">
    <fb>17952</fb>
    <v>11</v>
  </rv>
  <rv s="0">
    <v>536870912</v>
    <v>Carson City</v>
    <v>f0c7f70e-d0c0-8645-b649-8550dc083057</v>
    <v>en-US</v>
    <v>Map</v>
  </rv>
  <rv s="1">
    <fb>1016709</fb>
    <v>11</v>
  </rv>
  <rv s="1">
    <fb>1221698</fb>
    <v>11</v>
  </rv>
  <rv s="2">
    <v>32</v>
    <v>9</v>
    <v>147</v>
    <v>7</v>
    <v>0</v>
    <v>Image of Nevada</v>
  </rv>
  <rv s="0">
    <v>536870912</v>
    <v>Las Vegas</v>
    <v>26dfb75a-3573-4ff8-bbb3-b8cadaea23a8</v>
    <v>en-US</v>
    <v>Map</v>
  </rv>
  <rv s="0">
    <v>805306368</v>
    <v>Joe Lombardo (Governor)</v>
    <v>65fbb35a-0e80-cfb3-c7b1-c64105f84476</v>
    <v>en-US</v>
    <v>Generic</v>
  </rv>
  <rv s="0">
    <v>805306368</v>
    <v>Stavros Anthony (Lieutenant governor)</v>
    <v>7faa710d-04ef-671a-5f0d-95ba24654786</v>
    <v>en-US</v>
    <v>Generic</v>
  </rv>
  <rv s="3">
    <v>40</v>
  </rv>
  <rv s="4">
    <v>https://www.bing.com/search?q=nevada&amp;form=skydnc</v>
    <v>Learn more on Bing</v>
  </rv>
  <rv s="1">
    <fb>973</fb>
    <v>12</v>
  </rv>
  <rv s="1">
    <fb>51847</fb>
    <v>12</v>
  </rv>
  <rv s="1">
    <fb>173700</fb>
    <v>12</v>
  </rv>
  <rv s="1">
    <fb>2.72</fb>
    <v>13</v>
  </rv>
  <rv s="1">
    <fb>3104614</fb>
    <v>11</v>
  </rv>
  <rv s="1">
    <fb>8.900000000000001E-2</fb>
    <v>14</v>
  </rv>
  <rv s="1">
    <fb>9.3000000000000013E-2</fb>
    <v>14</v>
  </rv>
  <rv s="1">
    <fb>0.192</fb>
    <v>14</v>
  </rv>
  <rv s="1">
    <fb>0.85099999999999998</fb>
    <v>14</v>
  </rv>
  <rv s="1">
    <fb>0.28100000000000003</fb>
    <v>14</v>
  </rv>
  <rv s="1">
    <fb>0.64</fb>
    <v>14</v>
  </rv>
  <rv s="1">
    <fb>0.23100000000000001</fb>
    <v>14</v>
  </rv>
  <rv s="1">
    <fb>0.75700000000000001</fb>
    <v>14</v>
  </rv>
  <rv s="3">
    <v>41</v>
  </rv>
  <rv s="7">
    <v>#VALUE!</v>
    <v>150</v>
    <v>41</v>
    <v>Nevada</v>
    <v>7</v>
    <v>8</v>
    <v>Map</v>
    <v>9</v>
    <v>10</v>
    <v>en-US</v>
    <v>c2157d7e-617e-4517-80f8-1b08113afc14</v>
    <v>536870912</v>
    <v>1</v>
    <v>US-NV</v>
    <v>865</v>
    <v>866</v>
    <v>867</v>
    <v>4</v>
    <v>Nevada is a landlocked state in the Western region of the United States. It borders Oregon to the northwest, Idaho to the northeast, California to the west, Arizona to the southeast, and Utah to the east. Nevada is the 7th-most extensive, the ...</v>
    <v>868</v>
    <v>869</v>
    <v>870</v>
    <v>871</v>
    <v>874</v>
    <v>875</v>
    <v>876</v>
    <v>877</v>
    <v>878</v>
    <v>Nevada</v>
    <v>879</v>
    <v>880</v>
    <v>881</v>
    <v>437</v>
    <v>187</v>
    <v>255</v>
    <v>196</v>
    <v>882</v>
    <v>883</v>
    <v>884</v>
    <v>885</v>
    <v>886</v>
    <v>385</v>
    <v>254</v>
    <v>645</v>
    <v>887</v>
    <v>386</v>
    <v>888</v>
    <v>889</v>
    <v>Nevada</v>
    <v>mdp/vdpid/23035</v>
  </rv>
  <rv s="0">
    <v>536870912</v>
    <v>New York</v>
    <v>caeb7b9a-f5d7-4686-8fb5-cf7628296b13</v>
    <v>en-US</v>
    <v>Map</v>
  </rv>
  <rv s="1">
    <fb>141300</fb>
    <v>11</v>
  </rv>
  <rv s="1">
    <fb>33711</fb>
    <v>11</v>
  </rv>
  <rv s="0">
    <v>536870912</v>
    <v>Albany</v>
    <v>62ca8245-972e-448d-af38-345d4a958798</v>
    <v>en-US</v>
    <v>Map</v>
  </rv>
  <rv s="1">
    <fb>7262279</fb>
    <v>11</v>
  </rv>
  <rv s="1">
    <fb>8231687</fb>
    <v>11</v>
  </rv>
  <rv s="2">
    <v>33</v>
    <v>9</v>
    <v>151</v>
    <v>7</v>
    <v>0</v>
    <v>Image of New York</v>
  </rv>
  <rv s="0">
    <v>536870912</v>
    <v>New York City</v>
    <v>60d5dc2b-c915-460b-b722-c9e3485499ca</v>
    <v>en-US</v>
    <v>Map</v>
  </rv>
  <rv s="0">
    <v>805306368</v>
    <v>Kathy Hochul (Governor)</v>
    <v>df92839d-3205-3454-b70c-aeefc37041a6</v>
    <v>en-US</v>
    <v>Generic</v>
  </rv>
  <rv s="0">
    <v>805306368</v>
    <v>Antonio Delgado (Lieutenant governor)</v>
    <v>c20a119d-42bf-2146-a5a5-f4ec19b8a648</v>
    <v>en-US</v>
    <v>Generic</v>
  </rv>
  <rv s="0">
    <v>805306368</v>
    <v>Chuck Schumer (Senate)</v>
    <v>d606edaa-bebe-be4b-5e66-17b8a58806b2</v>
    <v>en-US</v>
    <v>Generic</v>
  </rv>
  <rv s="0">
    <v>805306368</v>
    <v>Kirsten Gillibrand (Senate)</v>
    <v>ae592704-1bd7-e270-aa09-cb6ec83b3467</v>
    <v>en-US</v>
    <v>Generic</v>
  </rv>
  <rv s="3">
    <v>42</v>
  </rv>
  <rv s="4">
    <v>https://www.bing.com/search?q=new+york+state&amp;form=skydnc</v>
    <v>Learn more on Bing</v>
  </rv>
  <rv s="1">
    <fb>1132</fb>
    <v>12</v>
  </rv>
  <rv s="1">
    <fb>59269</fb>
    <v>12</v>
  </rv>
  <rv s="1">
    <fb>283400</fb>
    <v>12</v>
  </rv>
  <rv s="1">
    <fb>20201249</fb>
    <v>11</v>
  </rv>
  <rv s="1">
    <fb>0.34200000000000003</fb>
    <v>14</v>
  </rv>
  <rv s="1">
    <fb>0.17600000000000002</fb>
    <v>14</v>
  </rv>
  <rv s="1">
    <fb>0.85599999999999998</fb>
    <v>14</v>
  </rv>
  <rv s="1">
    <fb>0.63300000000000001</fb>
    <v>14</v>
  </rv>
  <rv s="1">
    <fb>0.70099999999999996</fb>
    <v>14</v>
  </rv>
  <rv s="7">
    <v>#VALUE!</v>
    <v>154</v>
    <v>41</v>
    <v>New York</v>
    <v>7</v>
    <v>8</v>
    <v>Map</v>
    <v>9</v>
    <v>10</v>
    <v>en-US</v>
    <v>caeb7b9a-f5d7-4686-8fb5-cf7628296b13</v>
    <v>536870912</v>
    <v>1</v>
    <v>US-NY</v>
    <v>892</v>
    <v>893</v>
    <v>894</v>
    <v>4</v>
    <v>New York, sometimes called New York State, is a state in the Northeastern region of the United States. A Mid-Atlantic state, New York borders New England, and has an international border with Canada. With almost 19.6 million residents, it is the ...</v>
    <v>895</v>
    <v>896</v>
    <v>897</v>
    <v>898</v>
    <v>903</v>
    <v>904</v>
    <v>905</v>
    <v>906</v>
    <v>907</v>
    <v>New York</v>
    <v>274</v>
    <v>908</v>
    <v>419</v>
    <v>837</v>
    <v>91</v>
    <v>311</v>
    <v>909</v>
    <v>910</v>
    <v>519</v>
    <v>911</v>
    <v>591</v>
    <v>912</v>
    <v>65</v>
    <v>25</v>
    <v>361</v>
    <v>192</v>
    <v>69</v>
    <v>913</v>
    <v>230</v>
    <v>New York</v>
    <v>mdp/vdpid/23161</v>
  </rv>
  <rv s="0">
    <v>536870912</v>
    <v>Ohio</v>
    <v>6f3df7da-1ef6-48e3-b2b3-b5b5fce3e846</v>
    <v>en-US</v>
    <v>Map</v>
  </rv>
  <rv s="1">
    <fb>116096</fb>
    <v>11</v>
  </rv>
  <rv s="1">
    <fb>22816</fb>
    <v>11</v>
  </rv>
  <rv s="0">
    <v>536870912</v>
    <v>Columbus</v>
    <v>5b78da0b-6447-4f71-92b2-f1fafe94ba51</v>
    <v>en-US</v>
    <v>Map</v>
  </rv>
  <rv s="1">
    <fb>4585084</fb>
    <v>11</v>
  </rv>
  <rv s="1">
    <fb>5164361</fb>
    <v>11</v>
  </rv>
  <rv s="2">
    <v>34</v>
    <v>9</v>
    <v>155</v>
    <v>7</v>
    <v>0</v>
    <v>Image of Ohio</v>
  </rv>
  <rv s="0">
    <v>805306368</v>
    <v>Mike DeWine (Governor)</v>
    <v>ba3cf2bc-483c-6746-4369-a5b07e33c8ea</v>
    <v>en-US</v>
    <v>Generic</v>
  </rv>
  <rv s="0">
    <v>805306368</v>
    <v>Jon A. Husted (Lieutenant governor)</v>
    <v>98c16a0c-0820-d45d-b6c8-e3b9090fb0f6</v>
    <v>en-US</v>
    <v>Generic</v>
  </rv>
  <rv s="3">
    <v>43</v>
  </rv>
  <rv s="4">
    <v>https://www.bing.com/search?q=ohio&amp;form=skydnc</v>
    <v>Learn more on Bing</v>
  </rv>
  <rv s="1">
    <fb>730</fb>
    <v>12</v>
  </rv>
  <rv s="1">
    <fb>49429</fb>
    <v>12</v>
  </rv>
  <rv s="1">
    <fb>129900</fb>
    <v>12</v>
  </rv>
  <rv s="1">
    <fb>2.46</fb>
    <v>13</v>
  </rv>
  <rv s="1">
    <fb>11799448</fb>
    <v>11</v>
  </rv>
  <rv s="1">
    <fb>0.159</fb>
    <v>14</v>
  </rv>
  <rv s="1">
    <fb>0.26100000000000001</fb>
    <v>14</v>
  </rv>
  <rv s="1">
    <fb>0.22600000000000001</fb>
    <v>14</v>
  </rv>
  <rv s="1">
    <fb>0.82700000000000007</fb>
    <v>14</v>
  </rv>
  <rv s="7">
    <v>#VALUE!</v>
    <v>158</v>
    <v>41</v>
    <v>Ohio</v>
    <v>7</v>
    <v>8</v>
    <v>Map</v>
    <v>9</v>
    <v>10</v>
    <v>en-US</v>
    <v>6f3df7da-1ef6-48e3-b2b3-b5b5fce3e846</v>
    <v>536870912</v>
    <v>1</v>
    <v>US-OH</v>
    <v>916</v>
    <v>917</v>
    <v>918</v>
    <v>4</v>
    <v>Ohio is a state in the Midwestern region of the United States. Ohio borders Lake Erie to the north, Pennsylvania to the east, West Virginia to the southeast, Kentucky to the southwest, Indiana to the west, and Michigan to the northwest. Of the ...</v>
    <v>919</v>
    <v>920</v>
    <v>921</v>
    <v>918</v>
    <v>924</v>
    <v>925</v>
    <v>926</v>
    <v>927</v>
    <v>928</v>
    <v>Ohio</v>
    <v>929</v>
    <v>930</v>
    <v>688</v>
    <v>931</v>
    <v>491</v>
    <v>439</v>
    <v>932</v>
    <v>766</v>
    <v>645</v>
    <v>796</v>
    <v>719</v>
    <v>912</v>
    <v>65</v>
    <v>20</v>
    <v>439</v>
    <v>933</v>
    <v>69</v>
    <v>934</v>
    <v>230</v>
    <v>Ohio</v>
    <v>mdp/vdpid/24230</v>
  </rv>
  <rv s="0">
    <v>536870912</v>
    <v>Oklahoma</v>
    <v>cbcf556f-952a-4665-bb95-0500b27f9976</v>
    <v>en-US</v>
    <v>Map</v>
  </rv>
  <rv s="1">
    <fb>181195</fb>
    <v>11</v>
  </rv>
  <rv s="1">
    <fb>12092</fb>
    <v>11</v>
  </rv>
  <rv s="0">
    <v>536870912</v>
    <v>Oklahoma City</v>
    <v>59d212a0-2f5f-4681-a7a0-a8a6e25853e1</v>
    <v>en-US</v>
    <v>Map</v>
  </rv>
  <rv s="1">
    <fb>1455321</fb>
    <v>11</v>
  </rv>
  <rv s="1">
    <fb>1721045</fb>
    <v>11</v>
  </rv>
  <rv s="2">
    <v>35</v>
    <v>9</v>
    <v>159</v>
    <v>7</v>
    <v>0</v>
    <v>Image of Oklahoma</v>
  </rv>
  <rv s="0">
    <v>805306368</v>
    <v>Kevin Stitt (Governor)</v>
    <v>50460cc8-b10e-ddcd-8554-9a0e8a8aa526</v>
    <v>en-US</v>
    <v>Generic</v>
  </rv>
  <rv s="0">
    <v>805306368</v>
    <v>Matt Pinnell (Lieutenant governor)</v>
    <v>189caae5-49b2-e53b-db23-b10a7ec5d36b</v>
    <v>en-US</v>
    <v>Generic</v>
  </rv>
  <rv s="0">
    <v>805306368</v>
    <v>James Lankford (Senate)</v>
    <v>9bfa929f-1dbf-4884-2bbc-ecde4793ee48</v>
    <v>en-US</v>
    <v>Generic</v>
  </rv>
  <rv s="0">
    <v>805306368</v>
    <v>Markwayne Mullin (Senate)</v>
    <v>05fad978-d35b-4dc0-b57e-e3afb8372ed3</v>
    <v>en-US</v>
    <v>Generic</v>
  </rv>
  <rv s="3">
    <v>44</v>
  </rv>
  <rv s="4">
    <v>https://www.bing.com/search?q=oklahoma&amp;form=skydnc</v>
    <v>Learn more on Bing</v>
  </rv>
  <rv s="1">
    <fb>727</fb>
    <v>12</v>
  </rv>
  <rv s="1">
    <fb>46879</fb>
    <v>12</v>
  </rv>
  <rv s="1">
    <fb>117900</fb>
    <v>12</v>
  </rv>
  <rv s="1">
    <fb>3959353</fb>
    <v>11</v>
  </rv>
  <rv s="1">
    <fb>9.0999999999999998E-2</fb>
    <v>15</v>
  </rv>
  <rv s="1">
    <fb>7.8E-2</fb>
    <v>14</v>
  </rv>
  <rv s="1">
    <fb>0.61099999999999999</fb>
    <v>14</v>
  </rv>
  <rv s="1">
    <fb>0.113</fb>
    <v>14</v>
  </rv>
  <rv s="1">
    <fb>0.24600000000000002</fb>
    <v>14</v>
  </rv>
  <rv s="1">
    <fb>0.748</fb>
    <v>14</v>
  </rv>
  <rv s="6">
    <v>#VALUE!</v>
    <v>162</v>
    <v>28</v>
    <v>Oklahoma</v>
    <v>7</v>
    <v>8</v>
    <v>Map</v>
    <v>9</v>
    <v>10</v>
    <v>en-US</v>
    <v>cbcf556f-952a-4665-bb95-0500b27f9976</v>
    <v>536870912</v>
    <v>1</v>
    <v>US-OK</v>
    <v>937</v>
    <v>938</v>
    <v>939</v>
    <v>4</v>
    <v>Oklahoma is a state in the South Central region of the United States. It borders Texas to the south and west, Kansas to the north, Missouri to the northeast, Arkansas to the east, New Mexico to the west, and Colorado to the northwest. Partially ...</v>
    <v>940</v>
    <v>941</v>
    <v>942</v>
    <v>939</v>
    <v>947</v>
    <v>948</v>
    <v>949</v>
    <v>950</v>
    <v>951</v>
    <v>Oklahoma</v>
    <v>52</v>
    <v>215</v>
    <v>952</v>
    <v>219</v>
    <v>156</v>
    <v>953</v>
    <v>227</v>
    <v>440</v>
    <v>954</v>
    <v>625</v>
    <v>282</v>
    <v>861</v>
    <v>955</v>
    <v>194</v>
    <v>956</v>
    <v>69</v>
    <v>957</v>
    <v>466</v>
    <v>958</v>
    <v>Oklahoma</v>
    <v>mdp/vdpid/24293</v>
  </rv>
  <rv s="0">
    <v>536870912</v>
    <v>Oregon</v>
    <v>cacd36fd-7c62-43e2-a632-64a2a1811933</v>
    <v>en-US</v>
    <v>Map</v>
  </rv>
  <rv s="1">
    <fb>255026</fb>
    <v>11</v>
  </rv>
  <rv s="1">
    <fb>19586</fb>
    <v>11</v>
  </rv>
  <rv s="0">
    <v>536870912</v>
    <v>Salem</v>
    <v>181e3c46-a4b5-41c5-a74f-486f15e8dc58</v>
    <v>en-US</v>
    <v>Map</v>
  </rv>
  <rv s="1">
    <fb>1533430</fb>
    <v>11</v>
  </rv>
  <rv s="1">
    <fb>1732786</fb>
    <v>11</v>
  </rv>
  <rv s="2">
    <v>36</v>
    <v>9</v>
    <v>163</v>
    <v>7</v>
    <v>0</v>
    <v>Image of Oregon</v>
  </rv>
  <rv s="0">
    <v>536870912</v>
    <v>Portland</v>
    <v>5658ef8a-9267-4851-b335-72bc82329a4e</v>
    <v>en-US</v>
    <v>Map</v>
  </rv>
  <rv s="0">
    <v>805306368</v>
    <v>Tina Kotek (Governor)</v>
    <v>84ac333f-9a13-39da-fbda-a943cbce407a</v>
    <v>en-US</v>
    <v>Generic</v>
  </rv>
  <rv s="0">
    <v>805306368</v>
    <v>LaVonne Griffin-Valade (Secretary of state)</v>
    <v>c08ed1c5-ad98-a2b1-4afe-142a4e29ee93</v>
    <v>en-US</v>
    <v>Generic</v>
  </rv>
  <rv s="3">
    <v>45</v>
  </rv>
  <rv s="4">
    <v>https://www.bing.com/search?q=oregon&amp;form=skydnc</v>
    <v>Learn more on Bing</v>
  </rv>
  <rv s="1">
    <fb>51243</fb>
    <v>12</v>
  </rv>
  <rv s="1">
    <fb>2.5099999999999998</fb>
    <v>13</v>
  </rv>
  <rv s="1">
    <fb>4237256</fb>
    <v>11</v>
  </rv>
  <rv s="1">
    <fb>1.8000000000000002E-2</fb>
    <v>15</v>
  </rv>
  <rv s="1">
    <fb>0.621</fb>
    <v>14</v>
  </rv>
  <rv s="1">
    <fb>3.7000000000000005E-2</fb>
    <v>14</v>
  </rv>
  <rv s="1">
    <fb>0.214</fb>
    <v>14</v>
  </rv>
  <rv s="1">
    <fb>0.87599999999999989</fb>
    <v>14</v>
  </rv>
  <rv s="7">
    <v>#VALUE!</v>
    <v>166</v>
    <v>41</v>
    <v>Oregon</v>
    <v>7</v>
    <v>8</v>
    <v>Map</v>
    <v>9</v>
    <v>10</v>
    <v>en-US</v>
    <v>cacd36fd-7c62-43e2-a632-64a2a1811933</v>
    <v>536870912</v>
    <v>1</v>
    <v>US-OR</v>
    <v>961</v>
    <v>962</v>
    <v>963</v>
    <v>4</v>
    <v>Oregon is a state in the Pacific Northwest region of the United States. Oregon is a part of the Western United States, with the Columbia River delineating much of Oregon's northern boundary with Washington, while the Snake River delineates much ...</v>
    <v>964</v>
    <v>965</v>
    <v>966</v>
    <v>967</v>
    <v>970</v>
    <v>971</v>
    <v>406</v>
    <v>972</v>
    <v>811</v>
    <v>Oregon</v>
    <v>973</v>
    <v>974</v>
    <v>164</v>
    <v>122</v>
    <v>975</v>
    <v>790</v>
    <v>334</v>
    <v>439</v>
    <v>20</v>
    <v>544</v>
    <v>766</v>
    <v>976</v>
    <v>618</v>
    <v>185</v>
    <v>977</v>
    <v>978</v>
    <v>363</v>
    <v>979</v>
    <v>168</v>
    <v>Oregon</v>
    <v>mdp/vdpid/24561</v>
  </rv>
  <rv s="0">
    <v>536870912</v>
    <v>Pennsylvania</v>
    <v>6304580e-c803-4266-818a-971619176547</v>
    <v>en-US</v>
    <v>Map</v>
  </rv>
  <rv s="1">
    <fb>119283</fb>
    <v>11</v>
  </rv>
  <rv s="1">
    <fb>23303</fb>
    <v>11</v>
  </rv>
  <rv s="0">
    <v>536870912</v>
    <v>Harrisburg</v>
    <v>c0411c8e-89cf-5f47-d2f3-d5e52d320fff</v>
    <v>en-US</v>
    <v>Map</v>
  </rv>
  <rv s="1">
    <fb>4958859</fb>
    <v>11</v>
  </rv>
  <rv s="1">
    <fb>5612002</fb>
    <v>11</v>
  </rv>
  <rv s="2">
    <v>37</v>
    <v>9</v>
    <v>167</v>
    <v>7</v>
    <v>0</v>
    <v>Image of Pennsylvania</v>
  </rv>
  <rv s="0">
    <v>536870912</v>
    <v>Philadelphia</v>
    <v>020d4bbf-2971-4236-b87d-c3ec1d7f851c</v>
    <v>en-US</v>
    <v>Map</v>
  </rv>
  <rv s="0">
    <v>805306368</v>
    <v>Josh Shapiro (Governor)</v>
    <v>53262225-ea14-3f9e-bd31-7e9b978d5e27</v>
    <v>en-US</v>
    <v>Generic</v>
  </rv>
  <rv s="0">
    <v>805306368</v>
    <v>Austin Davis (Lieutenant governor)</v>
    <v>9d043ecc-c40b-67e4-0b39-b0df6bdd7dec</v>
    <v>en-US</v>
    <v>Generic</v>
  </rv>
  <rv s="3">
    <v>46</v>
  </rv>
  <rv s="4">
    <v>https://www.bing.com/search?q=pennsylvania&amp;form=skydnc</v>
    <v>Learn more on Bing</v>
  </rv>
  <rv s="1">
    <fb>840</fb>
    <v>12</v>
  </rv>
  <rv s="1">
    <fb>53599</fb>
    <v>12</v>
  </rv>
  <rv s="1">
    <fb>166000</fb>
    <v>12</v>
  </rv>
  <rv s="1">
    <fb>13002700</fb>
    <v>11</v>
  </rv>
  <rv s="1">
    <fb>0.28600000000000003</fb>
    <v>14</v>
  </rv>
  <rv s="1">
    <fb>0.11699999999999999</fb>
    <v>14</v>
  </rv>
  <rv s="1">
    <fb>0.628</fb>
    <v>14</v>
  </rv>
  <rv s="1">
    <fb>0.21</fb>
    <v>14</v>
  </rv>
  <rv s="1">
    <fb>5.5999999999999994E-2</fb>
    <v>14</v>
  </rv>
  <rv s="1">
    <fb>0.82599999999999996</fb>
    <v>14</v>
  </rv>
  <rv s="5">
    <v>#VALUE!</v>
    <v>170</v>
    <v>5</v>
    <v>Pennsylvania</v>
    <v>7</v>
    <v>8</v>
    <v>Map</v>
    <v>9</v>
    <v>10</v>
    <v>en-US</v>
    <v>6304580e-c803-4266-818a-971619176547</v>
    <v>536870912</v>
    <v>1</v>
    <v>US-PA</v>
    <v>982</v>
    <v>983</v>
    <v>984</v>
    <v>4</v>
    <v>Pennsylvania, officially the Commonwealth of Pennsylvania, is a state spanning the Mid-Atlantic, Northeastern, Appalachian, and Great Lakes regions of the United States. Pennsylvania borders Delaware to its southeast, Maryland to its south, West ...</v>
    <v>985</v>
    <v>986</v>
    <v>987</v>
    <v>988</v>
    <v>991</v>
    <v>992</v>
    <v>993</v>
    <v>994</v>
    <v>995</v>
    <v>Pennsylvania</v>
    <v>52</v>
    <v>643</v>
    <v>996</v>
    <v>717</v>
    <v>249</v>
    <v>438</v>
    <v>124</v>
    <v>997</v>
    <v>998</v>
    <v>22</v>
    <v>723</v>
    <v>164</v>
    <v>999</v>
    <v>65</v>
    <v>572</v>
    <v>419</v>
    <v>1000</v>
    <v>1001</v>
    <v>1002</v>
    <v>230</v>
    <v>Pennsylvania</v>
    <v>mdp/vdpid/25623</v>
  </rv>
  <rv s="0">
    <v>536870912</v>
    <v>Rhode Island</v>
    <v>65a08f52-b469-4f7c-8353-9b3c0b2a5752</v>
    <v>en-US</v>
    <v>Map</v>
  </rv>
  <rv s="1">
    <fb>3144.2455650000002</fb>
    <v>11</v>
  </rv>
  <rv s="1">
    <fb>1226</fb>
    <v>11</v>
  </rv>
  <rv s="0">
    <v>536870912</v>
    <v>Providence</v>
    <v>956379de-1782-455c-b2d8-1ba81c8965f1</v>
    <v>en-US</v>
    <v>Map</v>
  </rv>
  <rv s="1">
    <fb>410602</fb>
    <v>11</v>
  </rv>
  <rv s="1">
    <fb>462589</fb>
    <v>11</v>
  </rv>
  <rv s="2">
    <v>38</v>
    <v>9</v>
    <v>171</v>
    <v>7</v>
    <v>0</v>
    <v>Image of Rhode Island</v>
  </rv>
  <rv s="0">
    <v>805306368</v>
    <v>Dan McKee (Governor)</v>
    <v>dbda6271-5323-1082-afca-f6c640e2a2a2</v>
    <v>en-US</v>
    <v>Generic</v>
  </rv>
  <rv s="0">
    <v>805306368</v>
    <v>Sabina Matos (Lieutenant governor)</v>
    <v>9b5119d4-a14a-3b55-5548-376bb727ab80</v>
    <v>en-US</v>
    <v>Generic</v>
  </rv>
  <rv s="3">
    <v>47</v>
  </rv>
  <rv s="4">
    <v>https://www.bing.com/search?q=rhode+island&amp;form=skydnc</v>
    <v>Learn more on Bing</v>
  </rv>
  <rv s="1">
    <fb>925</fb>
    <v>12</v>
  </rv>
  <rv s="1">
    <fb>56852</fb>
    <v>12</v>
  </rv>
  <rv s="1">
    <fb>238000</fb>
    <v>12</v>
  </rv>
  <rv s="1">
    <fb>1097379</fb>
    <v>11</v>
  </rv>
  <rv s="1">
    <fb>0.31900000000000001</fb>
    <v>14</v>
  </rv>
  <rv s="1">
    <fb>0.86199999999999999</fb>
    <v>14</v>
  </rv>
  <rv s="1">
    <fb>0.14400000000000002</fb>
    <v>14</v>
  </rv>
  <rv s="1">
    <fb>0.65500000000000003</fb>
    <v>14</v>
  </rv>
  <rv s="1">
    <fb>0.2</fb>
    <v>14</v>
  </rv>
  <rv s="7">
    <v>#VALUE!</v>
    <v>174</v>
    <v>41</v>
    <v>Rhode Island</v>
    <v>7</v>
    <v>8</v>
    <v>Map</v>
    <v>9</v>
    <v>10</v>
    <v>en-US</v>
    <v>65a08f52-b469-4f7c-8353-9b3c0b2a5752</v>
    <v>536870912</v>
    <v>1</v>
    <v>US-RI</v>
    <v>1005</v>
    <v>1006</v>
    <v>1007</v>
    <v>4</v>
    <v>Rhode Island is a state in the New England region of the Northeastern United States. It borders Connecticut to its west; Massachusetts to its north and east; and the Atlantic Ocean to its south via Rhode Island Sound and Block Island Sound; and ...</v>
    <v>1008</v>
    <v>1009</v>
    <v>1010</v>
    <v>1007</v>
    <v>1013</v>
    <v>1014</v>
    <v>1015</v>
    <v>1016</v>
    <v>1017</v>
    <v>Rhode Island</v>
    <v>929</v>
    <v>1018</v>
    <v>96</v>
    <v>360</v>
    <v>91</v>
    <v>719</v>
    <v>1019</v>
    <v>364</v>
    <v>154</v>
    <v>1020</v>
    <v>1021</v>
    <v>1022</v>
    <v>194</v>
    <v>881</v>
    <v>335</v>
    <v>1023</v>
    <v>228</v>
    <v>94</v>
    <v>230</v>
    <v>Rhode Island</v>
    <v>mdp/vdpid/27664</v>
  </rv>
  <rv s="0">
    <v>536870912</v>
    <v>South Carolina</v>
    <v>810015e8-b10b-4232-9e2c-de87a67bd26e</v>
    <v>en-US</v>
    <v>Map</v>
  </rv>
  <rv s="1">
    <fb>82931</fb>
    <v>11</v>
  </rv>
  <rv s="1">
    <fb>32165</fb>
    <v>11</v>
  </rv>
  <rv s="0">
    <v>536870912</v>
    <v>Columbia</v>
    <v>0c8f6663-0a97-4263-b3e1-3cfe0b623552</v>
    <v>en-US</v>
    <v>Map</v>
  </rv>
  <rv s="1">
    <fb>1815094</fb>
    <v>11</v>
  </rv>
  <rv s="1">
    <fb>2236153</fb>
    <v>11</v>
  </rv>
  <rv s="2">
    <v>39</v>
    <v>9</v>
    <v>175</v>
    <v>7</v>
    <v>0</v>
    <v>Image of South Carolina</v>
  </rv>
  <rv s="0">
    <v>536870912</v>
    <v>Charleston</v>
    <v>cebb4aca-ea5b-40ca-99c1-dba28163d54a</v>
    <v>en-US</v>
    <v>Map</v>
  </rv>
  <rv s="0">
    <v>805306368</v>
    <v>Henry McMaster (Governor)</v>
    <v>1ee8a17e-7bdf-e76f-f39e-5653239f88dd</v>
    <v>en-US</v>
    <v>Generic</v>
  </rv>
  <rv s="0">
    <v>805306368</v>
    <v>Pamela Evette (Lieutenant governor)</v>
    <v>1aea5f86-6de3-0add-dabd-d5ae03afe8a6</v>
    <v>en-US</v>
    <v>Generic</v>
  </rv>
  <rv s="3">
    <v>48</v>
  </rv>
  <rv s="4">
    <v>https://www.bing.com/search?q=south+carolina&amp;form=skydnc</v>
    <v>Learn more on Bing</v>
  </rv>
  <rv s="1">
    <fb>790</fb>
    <v>12</v>
  </rv>
  <rv s="1">
    <fb>45483</fb>
    <v>12</v>
  </rv>
  <rv s="1">
    <fb>139900</fb>
    <v>12</v>
  </rv>
  <rv s="1">
    <fb>2.56</fb>
    <v>13</v>
  </rv>
  <rv s="1">
    <fb>5118425</fb>
    <v>11</v>
  </rv>
  <rv s="1">
    <fb>0.16200000000000001</fb>
    <v>14</v>
  </rv>
  <rv s="1">
    <fb>0.25800000000000001</fb>
    <v>14</v>
  </rv>
  <rv s="1">
    <fb>0.27600000000000002</fb>
    <v>14</v>
  </rv>
  <rv s="1">
    <fb>0.60099999999999998</fb>
    <v>14</v>
  </rv>
  <rv s="1">
    <fb>0.68400000000000005</fb>
    <v>14</v>
  </rv>
  <rv s="5">
    <v>#VALUE!</v>
    <v>178</v>
    <v>5</v>
    <v>South Carolina</v>
    <v>7</v>
    <v>8</v>
    <v>Map</v>
    <v>9</v>
    <v>10</v>
    <v>en-US</v>
    <v>810015e8-b10b-4232-9e2c-de87a67bd26e</v>
    <v>536870912</v>
    <v>1</v>
    <v>US-SC</v>
    <v>1026</v>
    <v>1027</v>
    <v>1028</v>
    <v>4</v>
    <v>South Carolina is a state in the coastal Southeastern region of the United States. It borders North Carolina to the north, the Atlantic Ocean to the southeast, and Georgia to the southwest across the Savannah River. Along with North Carolina, it ...</v>
    <v>1029</v>
    <v>1030</v>
    <v>1031</v>
    <v>1032</v>
    <v>1035</v>
    <v>1036</v>
    <v>1037</v>
    <v>1038</v>
    <v>1039</v>
    <v>South Carolina</v>
    <v>52</v>
    <v>1040</v>
    <v>1041</v>
    <v>794</v>
    <v>1042</v>
    <v>218</v>
    <v>67</v>
    <v>1043</v>
    <v>1044</v>
    <v>126</v>
    <v>911</v>
    <v>413</v>
    <v>1045</v>
    <v>65</v>
    <v>623</v>
    <v>365</v>
    <v>492</v>
    <v>257</v>
    <v>1046</v>
    <v>230</v>
    <v>South Carolina</v>
    <v>mdp/vdpid/31410</v>
  </rv>
  <rv s="0">
    <v>536870912</v>
    <v>South Dakota</v>
    <v>9cee0b65-d357-479e-a066-31c634648f47</v>
    <v>en-US</v>
    <v>Map</v>
  </rv>
  <rv s="1">
    <fb>199729</fb>
    <v>11</v>
  </rv>
  <rv s="1">
    <fb>5686</fb>
    <v>11</v>
  </rv>
  <rv s="0">
    <v>536870912</v>
    <v>Pierre</v>
    <v>20a86e52-87b3-4ee4-3068-41c956ee1f18</v>
    <v>en-US</v>
    <v>Map</v>
  </rv>
  <rv s="1">
    <fb>330858</fb>
    <v>11</v>
  </rv>
  <rv s="1">
    <fb>383838</fb>
    <v>11</v>
  </rv>
  <rv s="2">
    <v>40</v>
    <v>9</v>
    <v>179</v>
    <v>7</v>
    <v>0</v>
    <v>Image of South Dakota</v>
  </rv>
  <rv s="0">
    <v>536870912</v>
    <v>Sioux Falls</v>
    <v>d9fcdc7f-1917-4bcf-9998-253d9b343f3e</v>
    <v>en-US</v>
    <v>Map</v>
  </rv>
  <rv s="0">
    <v>805306368</v>
    <v>Kristi Noem (Governor)</v>
    <v>56bda37d-10af-7f67-23d6-ee1f15972a67</v>
    <v>en-US</v>
    <v>Generic</v>
  </rv>
  <rv s="0">
    <v>805306368</v>
    <v>Larry Rhoden (Lieutenant governor)</v>
    <v>3b700e60-1a5b-4b28-86a6-ec5c548d05d5</v>
    <v>en-US</v>
    <v>Generic</v>
  </rv>
  <rv s="3">
    <v>49</v>
  </rv>
  <rv s="4">
    <v>https://www.bing.com/search?q=south+dakota&amp;form=skydnc</v>
    <v>Learn more on Bing</v>
  </rv>
  <rv s="1">
    <fb>655</fb>
    <v>12</v>
  </rv>
  <rv s="1">
    <fb>50957</fb>
    <v>12</v>
  </rv>
  <rv s="1">
    <fb>140500</fb>
    <v>12</v>
  </rv>
  <rv s="1">
    <fb>2.4500000000000002</fb>
    <v>13</v>
  </rv>
  <rv s="1">
    <fb>886667</fb>
    <v>11</v>
  </rv>
  <rv s="1">
    <fb>8.900000000000001E-2</fb>
    <v>15</v>
  </rv>
  <rv s="1">
    <fb>0.90900000000000003</fb>
    <v>14</v>
  </rv>
  <rv s="1">
    <fb>0.68599999999999994</fb>
    <v>14</v>
  </rv>
  <rv s="1">
    <fb>0.85499999999999998</fb>
    <v>14</v>
  </rv>
  <rv s="5">
    <v>#VALUE!</v>
    <v>182</v>
    <v>5</v>
    <v>South Dakota</v>
    <v>7</v>
    <v>8</v>
    <v>Map</v>
    <v>9</v>
    <v>10</v>
    <v>en-US</v>
    <v>9cee0b65-d357-479e-a066-31c634648f47</v>
    <v>536870912</v>
    <v>1</v>
    <v>US-SD</v>
    <v>1049</v>
    <v>1050</v>
    <v>1051</v>
    <v>4</v>
    <v>South Dakota is a landlocked state in the North Central region of the United States. It is also part of the Great Plains. South Dakota is named after the Dakota Sioux tribe, which comprises a large portion of the population with nine ...</v>
    <v>1052</v>
    <v>1053</v>
    <v>1054</v>
    <v>1055</v>
    <v>1058</v>
    <v>1059</v>
    <v>1060</v>
    <v>1061</v>
    <v>1062</v>
    <v>South Dakota</v>
    <v>52</v>
    <v>1063</v>
    <v>1064</v>
    <v>22</v>
    <v>56</v>
    <v>1065</v>
    <v>58</v>
    <v>159</v>
    <v>365</v>
    <v>619</v>
    <v>1066</v>
    <v>719</v>
    <v>1067</v>
    <v>65</v>
    <v>121</v>
    <v>227</v>
    <v>957</v>
    <v>226</v>
    <v>1068</v>
    <v>71</v>
    <v>South Dakota</v>
    <v>mdp/vdpid/31418</v>
  </rv>
  <rv s="0">
    <v>536870912</v>
    <v>Tennessee</v>
    <v>9bbc9c72-1bf1-4ef6-b66d-a6cdef70f4f3</v>
    <v>en-US</v>
    <v>Map</v>
  </rv>
  <rv s="1">
    <fb>109247</fb>
    <v>11</v>
  </rv>
  <rv s="1">
    <fb>36157</fb>
    <v>11</v>
  </rv>
  <rv s="0">
    <v>536870912</v>
    <v>Nashville</v>
    <v>e2accb9d-ccea-5b7c-7bbc-0db831476d61</v>
    <v>en-US</v>
    <v>Map</v>
  </rv>
  <rv s="1">
    <fb>2504556</fb>
    <v>11</v>
  </rv>
  <rv s="1">
    <fb>2919671</fb>
    <v>11</v>
  </rv>
  <rv s="2">
    <v>41</v>
    <v>9</v>
    <v>183</v>
    <v>7</v>
    <v>0</v>
    <v>Image of Tennessee</v>
  </rv>
  <rv s="0">
    <v>805306368</v>
    <v>Bill Lee (Governor)</v>
    <v>c8026be6-06ae-4f73-a92b-038dc03243c9</v>
    <v>en-US</v>
    <v>Generic</v>
  </rv>
  <rv s="0">
    <v>805306368</v>
    <v>Randy McNally (Lieutenant governor)</v>
    <v>eec243e8-886e-f143-44f8-d1a613dc6e71</v>
    <v>en-US</v>
    <v>Generic</v>
  </rv>
  <rv s="0">
    <v>805306368</v>
    <v>Marsha Blackburn (Senate)</v>
    <v>39117d39-6448-55ce-8537-67a4fd4cf0e9</v>
    <v>en-US</v>
    <v>Generic</v>
  </rv>
  <rv s="0">
    <v>805306368</v>
    <v>Bill Hagerty (Senate)</v>
    <v>48790b3f-20d0-51ec-537c-ca6c25fff853</v>
    <v>en-US</v>
    <v>Generic</v>
  </rv>
  <rv s="3">
    <v>50</v>
  </rv>
  <rv s="4">
    <v>https://www.bing.com/search?q=tennessee&amp;form=skydnc</v>
    <v>Learn more on Bing</v>
  </rv>
  <rv s="1">
    <fb>764</fb>
    <v>12</v>
  </rv>
  <rv s="1">
    <fb>45219</fb>
    <v>12</v>
  </rv>
  <rv s="1">
    <fb>142100</fb>
    <v>12</v>
  </rv>
  <rv s="1">
    <fb>6910840</fb>
    <v>11</v>
  </rv>
  <rv s="1">
    <fb>0.249</fb>
    <v>14</v>
  </rv>
  <rv s="1">
    <fb>0.17100000000000001</fb>
    <v>14</v>
  </rv>
  <rv s="1">
    <fb>0.61</fb>
    <v>14</v>
  </rv>
  <rv s="1">
    <fb>0.78799999999999992</fb>
    <v>14</v>
  </rv>
  <rv s="3">
    <v>51</v>
  </rv>
  <rv s="5">
    <v>#VALUE!</v>
    <v>186</v>
    <v>5</v>
    <v>Tennessee</v>
    <v>7</v>
    <v>8</v>
    <v>Map</v>
    <v>9</v>
    <v>10</v>
    <v>en-US</v>
    <v>9bbc9c72-1bf1-4ef6-b66d-a6cdef70f4f3</v>
    <v>536870912</v>
    <v>1</v>
    <v>US-TN</v>
    <v>1071</v>
    <v>1072</v>
    <v>1073</v>
    <v>4</v>
    <v>Tennessee, officially the State of Tennessee, is a landlocked state in the Southeastern region of the United States. It borders Kentucky to the north, Virginia to the northeast, North Carolina to the east, Georgia, Alabama, and Mississippi to ...</v>
    <v>1074</v>
    <v>1075</v>
    <v>1076</v>
    <v>1073</v>
    <v>1081</v>
    <v>1082</v>
    <v>1083</v>
    <v>1084</v>
    <v>1085</v>
    <v>Tennessee</v>
    <v>52</v>
    <v>87</v>
    <v>1086</v>
    <v>126</v>
    <v>224</v>
    <v>438</v>
    <v>365</v>
    <v>1087</v>
    <v>1088</v>
    <v>126</v>
    <v>1068</v>
    <v>228</v>
    <v>1089</v>
    <v>65</v>
    <v>545</v>
    <v>365</v>
    <v>68</v>
    <v>386</v>
    <v>1090</v>
    <v>1091</v>
    <v>Tennessee</v>
    <v>mdp/vdpid/33025</v>
  </rv>
  <rv s="0">
    <v>536870912</v>
    <v>Texas</v>
    <v>00a23ccd-3344-461c-8b9f-c2bb55be5815</v>
    <v>en-US</v>
    <v>Map</v>
  </rv>
  <rv s="1">
    <fb>696241</fb>
    <v>11</v>
  </rv>
  <rv s="1">
    <fb>165853</fb>
    <v>11</v>
  </rv>
  <rv s="0">
    <v>536870912</v>
    <v>Austin</v>
    <v>afd7d7f6-01a2-401c-bb4d-59f7e34d585c</v>
    <v>en-US</v>
    <v>Map</v>
  </rv>
  <rv s="1">
    <fb>9149196</fb>
    <v>11</v>
  </rv>
  <rv s="1">
    <fb>10753629</fb>
    <v>11</v>
  </rv>
  <rv s="2">
    <v>42</v>
    <v>9</v>
    <v>187</v>
    <v>7</v>
    <v>0</v>
    <v>Image of Texas</v>
  </rv>
  <rv s="0">
    <v>536870912</v>
    <v>Houston</v>
    <v>ad99c262-d92e-4e88-87f7-5c66752fec36</v>
    <v>en-US</v>
    <v>Map</v>
  </rv>
  <rv s="0">
    <v>805306368</v>
    <v>Greg Abbott (Governor)</v>
    <v>3ecc1598-f192-4041-68bd-7ee531040fb8</v>
    <v>en-US</v>
    <v>Generic</v>
  </rv>
  <rv s="0">
    <v>805306368</v>
    <v>Dan Patrick (Lieutenant governor)</v>
    <v>81fa6492-e02a-5fd9-98ea-c00f95546796</v>
    <v>en-US</v>
    <v>Generic</v>
  </rv>
  <rv s="3">
    <v>52</v>
  </rv>
  <rv s="4">
    <v>https://www.bing.com/search?q=texas&amp;form=skydnc</v>
    <v>Learn more on Bing</v>
  </rv>
  <rv s="1">
    <fb>882</fb>
    <v>12</v>
  </rv>
  <rv s="1">
    <fb>53207</fb>
    <v>12</v>
  </rv>
  <rv s="1">
    <fb>136000</fb>
    <v>12</v>
  </rv>
  <rv s="1">
    <fb>2.84</fb>
    <v>13</v>
  </rv>
  <rv s="1">
    <fb>29145505</fb>
    <v>11</v>
  </rv>
  <rv s="1">
    <fb>0.10800000000000001</fb>
    <v>14</v>
  </rv>
  <rv s="1">
    <fb>0.125</fb>
    <v>14</v>
  </rv>
  <rv s="1">
    <fb>0.16600000000000001</fb>
    <v>14</v>
  </rv>
  <rv s="1">
    <fb>0.81900000000000006</fb>
    <v>14</v>
  </rv>
  <rv s="1">
    <fb>0.64300000000000002</fb>
    <v>14</v>
  </rv>
  <rv s="7">
    <v>#VALUE!</v>
    <v>190</v>
    <v>41</v>
    <v>Texas</v>
    <v>7</v>
    <v>8</v>
    <v>Map</v>
    <v>9</v>
    <v>10</v>
    <v>en-US</v>
    <v>00a23ccd-3344-461c-8b9f-c2bb55be5815</v>
    <v>536870912</v>
    <v>1</v>
    <v>US-TX</v>
    <v>1094</v>
    <v>1095</v>
    <v>1096</v>
    <v>4</v>
    <v>Texas is the most populous state in the South Central region of the United States. It borders Louisiana to the east, Arkansas to the northeast, Oklahoma to the north, New Mexico to the west, and the Mexican states of Chihuahua, Coahuila, Nuevo ...</v>
    <v>1097</v>
    <v>1098</v>
    <v>1099</v>
    <v>1100</v>
    <v>1103</v>
    <v>1104</v>
    <v>1105</v>
    <v>1106</v>
    <v>1107</v>
    <v>Texas</v>
    <v>1108</v>
    <v>1109</v>
    <v>1110</v>
    <v>998</v>
    <v>91</v>
    <v>93</v>
    <v>1044</v>
    <v>1111</v>
    <v>1112</v>
    <v>1113</v>
    <v>161</v>
    <v>1114</v>
    <v>65</v>
    <v>30</v>
    <v>419</v>
    <v>859</v>
    <v>31</v>
    <v>626</v>
    <v>71</v>
    <v>Texas</v>
    <v>mdp/vdpid/33145</v>
  </rv>
  <rv s="0">
    <v>536870912</v>
    <v>Utah</v>
    <v>c6705e44-d27f-4240-95a2-54e802e3b524</v>
    <v>en-US</v>
    <v>Map</v>
  </rv>
  <rv s="1">
    <fb>219653</fb>
    <v>11</v>
  </rv>
  <rv s="1">
    <fb>22662</fb>
    <v>11</v>
  </rv>
  <rv s="0">
    <v>536870912</v>
    <v>Salt Lake City</v>
    <v>520b8048-39fe-4c55-8cbf-a52f9d8756fd</v>
    <v>en-US</v>
    <v>Map</v>
  </rv>
  <rv s="1">
    <fb>906292</fb>
    <v>11</v>
  </rv>
  <rv s="1">
    <fb>1054164</fb>
    <v>11</v>
  </rv>
  <rv s="2">
    <v>43</v>
    <v>9</v>
    <v>191</v>
    <v>7</v>
    <v>0</v>
    <v>Image of Utah</v>
  </rv>
  <rv s="0">
    <v>805306368</v>
    <v>Spencer Cox (Governor)</v>
    <v>b8df5066-fb62-3092-d3d5-fa1d766c0409</v>
    <v>en-US</v>
    <v>Generic</v>
  </rv>
  <rv s="0">
    <v>805306368</v>
    <v>Deidre Henderson (Lieutenant governor)</v>
    <v>644c1a0f-9cad-8cd7-ecd2-aa31b63f12c0</v>
    <v>en-US</v>
    <v>Generic</v>
  </rv>
  <rv s="3">
    <v>53</v>
  </rv>
  <rv s="4">
    <v>https://www.bing.com/search?q=utah&amp;form=skydnc</v>
    <v>Learn more on Bing</v>
  </rv>
  <rv s="1">
    <fb>887</fb>
    <v>12</v>
  </rv>
  <rv s="1">
    <fb>60727</fb>
    <v>12</v>
  </rv>
  <rv s="1">
    <fb>215900</fb>
    <v>12</v>
  </rv>
  <rv s="1">
    <fb>3.15</fb>
    <v>13</v>
  </rv>
  <rv s="1">
    <fb>3271616</fb>
    <v>11</v>
  </rv>
  <rv s="1">
    <fb>1.4999999999999999E-2</fb>
    <v>15</v>
  </rv>
  <rv s="1">
    <fb>0.311</fb>
    <v>14</v>
  </rv>
  <rv s="1">
    <fb>0.91200000000000003</fb>
    <v>14</v>
  </rv>
  <rv s="1">
    <fb>0.13699999999999998</fb>
    <v>14</v>
  </rv>
  <rv s="1">
    <fb>0.01</fb>
    <v>14</v>
  </rv>
  <rv s="3">
    <v>54</v>
  </rv>
  <rv s="5">
    <v>#VALUE!</v>
    <v>194</v>
    <v>5</v>
    <v>Utah</v>
    <v>7</v>
    <v>8</v>
    <v>Map</v>
    <v>9</v>
    <v>10</v>
    <v>en-US</v>
    <v>c6705e44-d27f-4240-95a2-54e802e3b524</v>
    <v>536870912</v>
    <v>1</v>
    <v>US-UT</v>
    <v>1117</v>
    <v>1118</v>
    <v>1119</v>
    <v>4</v>
    <v>Utah is a landlocked state in the Mountain West subregion of the Western United States. It borders Colorado to its east, Wyoming to its northeast, Idaho to its north, Arizona to its south, and Nevada to its west. Utah also touches a corner of ...</v>
    <v>1120</v>
    <v>1121</v>
    <v>1122</v>
    <v>1119</v>
    <v>1125</v>
    <v>1126</v>
    <v>1127</v>
    <v>1128</v>
    <v>1129</v>
    <v>Utah</v>
    <v>52</v>
    <v>1130</v>
    <v>1131</v>
    <v>338</v>
    <v>623</v>
    <v>1132</v>
    <v>89</v>
    <v>1133</v>
    <v>29</v>
    <v>121</v>
    <v>1134</v>
    <v>1135</v>
    <v>28</v>
    <v>1136</v>
    <v>541</v>
    <v>361</v>
    <v>569</v>
    <v>121</v>
    <v>1134</v>
    <v>1137</v>
    <v>Utah</v>
    <v>mdp/vdpid/34626</v>
  </rv>
  <rv s="0">
    <v>536870912</v>
    <v>Virginia</v>
    <v>7eee9976-e8a7-472c-ada1-007208abd678</v>
    <v>en-US</v>
    <v>Map</v>
  </rv>
  <rv s="1">
    <fb>110862</fb>
    <v>11</v>
  </rv>
  <rv s="1">
    <fb>31132</fb>
    <v>11</v>
  </rv>
  <rv s="0">
    <v>536870912</v>
    <v>Richmond</v>
    <v>59263810-6a82-4930-943c-1fa0693b17b0</v>
    <v>en-US</v>
    <v>Map</v>
  </rv>
  <rv s="1">
    <fb>3062783</fb>
    <v>11</v>
  </rv>
  <rv s="1">
    <fb>3491054</fb>
    <v>11</v>
  </rv>
  <rv s="2">
    <v>44</v>
    <v>9</v>
    <v>195</v>
    <v>7</v>
    <v>0</v>
    <v>Image of Virginia</v>
  </rv>
  <rv s="0">
    <v>536870912</v>
    <v>Virginia Beach</v>
    <v>6f1fd4dd-40ef-4ec3-989c-108c9b444996</v>
    <v>en-US</v>
    <v>Map</v>
  </rv>
  <rv s="0">
    <v>805306368</v>
    <v>Glenn Youngkin (Governor)</v>
    <v>b2cd9b8a-2e1b-ec73-3904-5c2f449bdf27</v>
    <v>en-US</v>
    <v>Generic</v>
  </rv>
  <rv s="0">
    <v>805306368</v>
    <v>Winsome Sears (Lieutenant governor)</v>
    <v>a590d049-99df-2c4d-8b48-583d259e49b9</v>
    <v>en-US</v>
    <v>Generic</v>
  </rv>
  <rv s="3">
    <v>55</v>
  </rv>
  <rv s="4">
    <v>https://www.bing.com/search?q=virginia&amp;form=skydnc</v>
    <v>Learn more on Bing</v>
  </rv>
  <rv s="1">
    <fb>1116</fb>
    <v>12</v>
  </rv>
  <rv s="1">
    <fb>65015</fb>
    <v>12</v>
  </rv>
  <rv s="1">
    <fb>245000</fb>
    <v>12</v>
  </rv>
  <rv s="1">
    <fb>8631393</fb>
    <v>11</v>
  </rv>
  <rv s="1">
    <fb>5.0999999999999997E-2</fb>
    <v>14</v>
  </rv>
  <rv s="1">
    <fb>0.36299999999999999</fb>
    <v>14</v>
  </rv>
  <rv s="1">
    <fb>0.88300000000000001</fb>
    <v>14</v>
  </rv>
  <rv s="1">
    <fb>0.64700000000000002</fb>
    <v>14</v>
  </rv>
  <rv s="1">
    <fb>0.70200000000000007</fb>
    <v>14</v>
  </rv>
  <rv s="6">
    <v>#VALUE!</v>
    <v>198</v>
    <v>28</v>
    <v>Virginia</v>
    <v>7</v>
    <v>8</v>
    <v>Map</v>
    <v>9</v>
    <v>10</v>
    <v>en-US</v>
    <v>7eee9976-e8a7-472c-ada1-007208abd678</v>
    <v>536870912</v>
    <v>1</v>
    <v>US-VA</v>
    <v>1140</v>
    <v>1141</v>
    <v>1142</v>
    <v>4</v>
    <v>Virginia, officially the Commonwealth of Virginia, is a state in the Southeastern and Mid-Atlantic regions of the United States between the Atlantic Coast and the Appalachian Mountains. The state's capital is Richmond and its most populous city ...</v>
    <v>1143</v>
    <v>1144</v>
    <v>1145</v>
    <v>1146</v>
    <v>1149</v>
    <v>1150</v>
    <v>1151</v>
    <v>1152</v>
    <v>1153</v>
    <v>Virginia</v>
    <v>52</v>
    <v>247</v>
    <v>1154</v>
    <v>1155</v>
    <v>411</v>
    <v>218</v>
    <v>158</v>
    <v>1156</v>
    <v>281</v>
    <v>998</v>
    <v>1157</v>
    <v>254</v>
    <v>1158</v>
    <v>65</v>
    <v>648</v>
    <v>195</v>
    <v>492</v>
    <v>386</v>
    <v>1159</v>
    <v>Virginia</v>
    <v>mdp/vdpid/35364</v>
  </rv>
  <rv s="0">
    <v>536870912</v>
    <v>Vermont</v>
    <v>221864cc-447e-4e78-847c-59e485d73bff</v>
    <v>en-US</v>
    <v>Map</v>
  </rv>
  <rv s="1">
    <fb>24923</fb>
    <v>11</v>
  </rv>
  <rv s="1">
    <fb>1771</fb>
    <v>11</v>
  </rv>
  <rv s="0">
    <v>536870912</v>
    <v>Montpelier</v>
    <v>6a01399d-d09a-4bda-4500-012bb3271e9d</v>
    <v>en-US</v>
    <v>Map</v>
  </rv>
  <rv s="1">
    <fb>257167</fb>
    <v>11</v>
  </rv>
  <rv s="1">
    <fb>329525</fb>
    <v>11</v>
  </rv>
  <rv s="2">
    <v>45</v>
    <v>9</v>
    <v>199</v>
    <v>7</v>
    <v>0</v>
    <v>Image of Vermont</v>
  </rv>
  <rv s="0">
    <v>536870912</v>
    <v>Burlington</v>
    <v>eebf9ffb-0254-aae7-1bdd-23d4e654a053</v>
    <v>en-US</v>
    <v>Map</v>
  </rv>
  <rv s="0">
    <v>805306368</v>
    <v>Phil Scott (Governor)</v>
    <v>f903a590-d3d7-9d9c-6429-b38ae1a17c71</v>
    <v>en-US</v>
    <v>Generic</v>
  </rv>
  <rv s="0">
    <v>805306368</v>
    <v>David Zuckerman (Lieutenant governor)</v>
    <v>593a79de-e64e-d8c1-ce80-0745a733517b</v>
    <v>en-US</v>
    <v>Generic</v>
  </rv>
  <rv s="3">
    <v>56</v>
  </rv>
  <rv s="4">
    <v>https://www.bing.com/search?q=vermont&amp;form=skydnc</v>
    <v>Learn more on Bing</v>
  </rv>
  <rv s="1">
    <fb>895</fb>
    <v>12</v>
  </rv>
  <rv s="1">
    <fb>55176</fb>
    <v>12</v>
  </rv>
  <rv s="1">
    <fb>217500</fb>
    <v>12</v>
  </rv>
  <rv s="1">
    <fb>643077</fb>
    <v>11</v>
  </rv>
  <rv s="1">
    <fb>0.36</fb>
    <v>14</v>
  </rv>
  <rv s="1">
    <fb>4.2999999999999997E-2</fb>
    <v>14</v>
  </rv>
  <rv s="1">
    <fb>0.66599999999999993</fb>
    <v>14</v>
  </rv>
  <rv s="1">
    <fb>0.1</fb>
    <v>14</v>
  </rv>
  <rv s="1">
    <fb>0.94799999999999995</fb>
    <v>14</v>
  </rv>
  <rv s="8">
    <v>#VALUE!</v>
    <v>202</v>
    <v>99</v>
    <v>Vermont</v>
    <v>7</v>
    <v>8</v>
    <v>Map</v>
    <v>9</v>
    <v>100</v>
    <v>en-US</v>
    <v>221864cc-447e-4e78-847c-59e485d73bff</v>
    <v>536870912</v>
    <v>1</v>
    <v>US-VT</v>
    <v>1162</v>
    <v>1163</v>
    <v>1164</v>
    <v>4</v>
    <v>Vermont is a state in the New England region of the Northeastern United States. It borders Massachusetts to the south, New Hampshire to the east, New York to the west, and the Canadian province of Quebec to the north. As of the 2020 U.S. census, ...</v>
    <v>1165</v>
    <v>1166</v>
    <v>1167</v>
    <v>1168</v>
    <v>1171</v>
    <v>1172</v>
    <v>1173</v>
    <v>1174</v>
    <v>1175</v>
    <v>Vermont</v>
    <v>589</v>
    <v>1176</v>
    <v>410</v>
    <v>910</v>
    <v>438</v>
    <v>67</v>
    <v>1177</v>
    <v>29</v>
    <v>1178</v>
    <v>366</v>
    <v>365</v>
    <v>1179</v>
    <v>1180</v>
    <v>419</v>
    <v>883</v>
    <v>598</v>
    <v>1181</v>
    <v>230</v>
    <v>Vermont</v>
    <v>mdp/vdpid/35022</v>
  </rv>
  <rv s="0">
    <v>536870912</v>
    <v>Washington</v>
    <v>982ad551-fd5d-45df-bd70-bf704dd576e4</v>
    <v>en-US</v>
    <v>Map</v>
  </rv>
  <rv s="1">
    <fb>184827</fb>
    <v>11</v>
  </rv>
  <rv s="1">
    <fb>44077</fb>
    <v>11</v>
  </rv>
  <rv s="0">
    <v>536870912</v>
    <v>Olympia</v>
    <v>25db44e7-f2cd-390a-3d28-310cf208511a</v>
    <v>en-US</v>
    <v>Map</v>
  </rv>
  <rv s="1">
    <fb>2668912</fb>
    <v>11</v>
  </rv>
  <rv s="1">
    <fb>3025685</fb>
    <v>11</v>
  </rv>
  <rv s="2">
    <v>46</v>
    <v>9</v>
    <v>203</v>
    <v>7</v>
    <v>0</v>
    <v>Image of Washington</v>
  </rv>
  <rv s="0">
    <v>536870912</v>
    <v>Seattle</v>
    <v>5fbba6b8-85e1-4d41-9444-d9055436e473</v>
    <v>en-US</v>
    <v>Map</v>
  </rv>
  <rv s="0">
    <v>805306368</v>
    <v>Jay Inslee (Governor)</v>
    <v>5e694b9e-05cf-64fc-d3b6-fb4e84e5137f</v>
    <v>en-US</v>
    <v>Generic</v>
  </rv>
  <rv s="0">
    <v>805306368</v>
    <v>Dennis Heck (Lieutenant governor)</v>
    <v>6546aa9c-5751-8959-d6c9-87392e9c5388</v>
    <v>en-US</v>
    <v>Generic</v>
  </rv>
  <rv s="3">
    <v>57</v>
  </rv>
  <rv s="4">
    <v>https://www.bing.com/search?q=washington+state&amp;form=skydnc</v>
    <v>Learn more on Bing</v>
  </rv>
  <rv s="1">
    <fb>1014</fb>
    <v>12</v>
  </rv>
  <rv s="1">
    <fb>61062</fb>
    <v>12</v>
  </rv>
  <rv s="1">
    <fb>259500</fb>
    <v>12</v>
  </rv>
  <rv s="1">
    <fb>7705281</fb>
    <v>11</v>
  </rv>
  <rv s="1">
    <fb>1.9E-2</fb>
    <v>15</v>
  </rv>
  <rv s="1">
    <fb>0.32899999999999996</fb>
    <v>14</v>
  </rv>
  <rv s="1">
    <fb>0.13400000000000001</fb>
    <v>14</v>
  </rv>
  <rv s="1">
    <fb>0.90400000000000003</fb>
    <v>14</v>
  </rv>
  <rv s="1">
    <fb>0.124</fb>
    <v>14</v>
  </rv>
  <rv s="1">
    <fb>0.63500000000000001</fb>
    <v>14</v>
  </rv>
  <rv s="1">
    <fb>0.80299999999999994</fb>
    <v>14</v>
  </rv>
  <rv s="10">
    <v>#VALUE!</v>
    <v>206</v>
    <v>146</v>
    <v>Washington</v>
    <v>7</v>
    <v>8</v>
    <v>Map</v>
    <v>9</v>
    <v>10</v>
    <v>en-US</v>
    <v>982ad551-fd5d-45df-bd70-bf704dd576e4</v>
    <v>536870912</v>
    <v>1</v>
    <v>US-WA</v>
    <v>1184</v>
    <v>1185</v>
    <v>1186</v>
    <v>4</v>
    <v>Washington, officially the State of Washington, is the westernmost state in the Pacific Northwest region of the United States. It is often referred to as Washington state to distinguish it from the national capital, both named for George ...</v>
    <v>1187</v>
    <v>1188</v>
    <v>1189</v>
    <v>1190</v>
    <v>1193</v>
    <v>1194</v>
    <v>1195</v>
    <v>1196</v>
    <v>1197</v>
    <v>Washington</v>
    <v>1040</v>
    <v>1198</v>
    <v>121</v>
    <v>1021</v>
    <v>1199</v>
    <v>121</v>
    <v>1200</v>
    <v>645</v>
    <v>1201</v>
    <v>1202</v>
    <v>1203</v>
    <v>1204</v>
    <v>688</v>
    <v>881</v>
    <v>219</v>
    <v>519</v>
    <v>197</v>
    <v>1205</v>
    <v>Washington</v>
    <v>mdp/vdpid/35841</v>
  </rv>
  <rv s="0">
    <v>536870912</v>
    <v>Wisconsin</v>
    <v>cb4d2853-06f4-4467-8e7c-4e31cbb35cb2</v>
    <v>en-US</v>
    <v>Map</v>
  </rv>
  <rv s="1">
    <fb>169640</fb>
    <v>11</v>
  </rv>
  <rv s="1">
    <fb>19274</fb>
    <v>11</v>
  </rv>
  <rv s="0">
    <v>536870912</v>
    <v>Madison</v>
    <v>65426cc9-93eb-4569-8c2e-3b7c1b070278</v>
    <v>en-US</v>
    <v>Map</v>
  </rv>
  <rv s="1">
    <fb>2299107</fb>
    <v>11</v>
  </rv>
  <rv s="1">
    <fb>2668444</fb>
    <v>11</v>
  </rv>
  <rv s="2">
    <v>47</v>
    <v>9</v>
    <v>207</v>
    <v>7</v>
    <v>0</v>
    <v>Image of Wisconsin</v>
  </rv>
  <rv s="0">
    <v>536870912</v>
    <v>Milwaukee</v>
    <v>9fdb4bdb-6dd4-4dd1-9159-1e8abc73ab65</v>
    <v>en-US</v>
    <v>Map</v>
  </rv>
  <rv s="0">
    <v>805306368</v>
    <v>Tony Evers (Governor)</v>
    <v>a4d4fdcd-e9ac-4b23-8636-43a292c35b66</v>
    <v>en-US</v>
    <v>Generic</v>
  </rv>
  <rv s="0">
    <v>805306368</v>
    <v>Sara Rodriguez (Lieutenant governor)</v>
    <v>4d4d413b-6899-5243-5ea1-275db9b91d6a</v>
    <v>en-US</v>
    <v>Generic</v>
  </rv>
  <rv s="3">
    <v>58</v>
  </rv>
  <rv s="4">
    <v>https://www.bing.com/search?q=wisconsin&amp;form=skydnc</v>
    <v>Learn more on Bing</v>
  </rv>
  <rv s="1">
    <fb>776</fb>
    <v>12</v>
  </rv>
  <rv s="1">
    <fb>53357</fb>
    <v>12</v>
  </rv>
  <rv s="1">
    <fb>165800</fb>
    <v>12</v>
  </rv>
  <rv s="1">
    <fb>2.4300000000000002</fb>
    <v>13</v>
  </rv>
  <rv s="1">
    <fb>5893718</fb>
    <v>11</v>
  </rv>
  <rv s="1">
    <fb>0.156</fb>
    <v>14</v>
  </rv>
  <rv s="1">
    <fb>1.1000000000000001E-2</fb>
    <v>15</v>
  </rv>
  <rv s="1">
    <fb>0.27800000000000002</fb>
    <v>14</v>
  </rv>
  <rv s="1">
    <fb>0.67099999999999993</fb>
    <v>14</v>
  </rv>
  <rv s="7">
    <v>#VALUE!</v>
    <v>210</v>
    <v>41</v>
    <v>Wisconsin</v>
    <v>7</v>
    <v>8</v>
    <v>Map</v>
    <v>9</v>
    <v>10</v>
    <v>en-US</v>
    <v>cb4d2853-06f4-4467-8e7c-4e31cbb35cb2</v>
    <v>536870912</v>
    <v>1</v>
    <v>US-WI</v>
    <v>1208</v>
    <v>1209</v>
    <v>1210</v>
    <v>4</v>
    <v>Wisconsin is a state in the Great Lakes region of the Upper Midwest of the United States. It borders Minnesota to the west, Iowa to the southwest, Illinois to the south, Lake Michigan to the east, Michigan to the northeast, and Lake Superior to ...</v>
    <v>1211</v>
    <v>1212</v>
    <v>1213</v>
    <v>1214</v>
    <v>1217</v>
    <v>1218</v>
    <v>1219</v>
    <v>1220</v>
    <v>1221</v>
    <v>Wisconsin</v>
    <v>1222</v>
    <v>1223</v>
    <v>67</v>
    <v>1224</v>
    <v>1225</v>
    <v>278</v>
    <v>1226</v>
    <v>541</v>
    <v>126</v>
    <v>337</v>
    <v>541</v>
    <v>1227</v>
    <v>65</v>
    <v>131</v>
    <v>365</v>
    <v>251</v>
    <v>257</v>
    <v>979</v>
    <v>71</v>
    <v>Wisconsin</v>
    <v>mdp/vdpid/36684</v>
  </rv>
  <rv s="0">
    <v>536870912</v>
    <v>West Virginia</v>
    <v>8a47255a-fae3-4faa-aa32-c6f384cb6c1d</v>
    <v>en-US</v>
    <v>Map</v>
  </rv>
  <rv s="1">
    <fb>62755</fb>
    <v>11</v>
  </rv>
  <rv s="1">
    <fb>2544</fb>
    <v>11</v>
  </rv>
  <rv s="0">
    <v>536870912</v>
    <v>Charleston</v>
    <v>e9487e3f-6b62-88d0-8aff-0d14079dbb05</v>
    <v>en-US</v>
    <v>Map</v>
  </rv>
  <rv s="1">
    <fb>740890</fb>
    <v>11</v>
  </rv>
  <rv s="1">
    <fb>886640</fb>
    <v>11</v>
  </rv>
  <rv s="2">
    <v>48</v>
    <v>9</v>
    <v>211</v>
    <v>7</v>
    <v>0</v>
    <v>Image of West Virginia</v>
  </rv>
  <rv s="0">
    <v>805306368</v>
    <v>Jim Justice (Governor)</v>
    <v>2e8ffe6c-9001-f6f2-0d5c-92e758adb7f5</v>
    <v>en-US</v>
    <v>Generic</v>
  </rv>
  <rv s="0">
    <v>805306368</v>
    <v>Craig Blair (Lieutenant governor)</v>
    <v>12d5b028-a047-7fb5-7466-2a2e85212986</v>
    <v>en-US</v>
    <v>Generic</v>
  </rv>
  <rv s="3">
    <v>59</v>
  </rv>
  <rv s="4">
    <v>https://www.bing.com/search?q=west+virginia&amp;form=skydnc</v>
    <v>Learn more on Bing</v>
  </rv>
  <rv s="1">
    <fb>643</fb>
    <v>12</v>
  </rv>
  <rv s="1">
    <fb>41751</fb>
    <v>12</v>
  </rv>
  <rv s="1">
    <fb>103800</fb>
    <v>12</v>
  </rv>
  <rv s="1">
    <fb>1793716</fb>
    <v>11</v>
  </rv>
  <rv s="1">
    <fb>-1.2E-2</fb>
    <v>14</v>
  </rv>
  <rv s="1">
    <fb>0.182</fb>
    <v>14</v>
  </rv>
  <rv s="1">
    <fb>2E-3</fb>
    <v>15</v>
  </rv>
  <rv s="1">
    <fb>0.85</fb>
    <v>14</v>
  </rv>
  <rv s="1">
    <fb>0.53900000000000003</fb>
    <v>14</v>
  </rv>
  <rv s="1">
    <fb>0.20600000000000002</fb>
    <v>14</v>
  </rv>
  <rv s="1">
    <fb>0.93599999999999994</fb>
    <v>14</v>
  </rv>
  <rv s="8">
    <v>#VALUE!</v>
    <v>214</v>
    <v>99</v>
    <v>West Virginia</v>
    <v>7</v>
    <v>8</v>
    <v>Map</v>
    <v>9</v>
    <v>100</v>
    <v>en-US</v>
    <v>8a47255a-fae3-4faa-aa32-c6f384cb6c1d</v>
    <v>536870912</v>
    <v>1</v>
    <v>US-WV</v>
    <v>1230</v>
    <v>1231</v>
    <v>1232</v>
    <v>4</v>
    <v>West Virginia is a landlocked state in the Southern and Mid-Atlantic regions of the United States. It is bordered by Pennsylvania to the north and east, Maryland to the east and northeast, Virginia to the southeast, Kentucky to the southwest, ...</v>
    <v>1233</v>
    <v>1234</v>
    <v>1235</v>
    <v>1232</v>
    <v>1238</v>
    <v>1239</v>
    <v>1240</v>
    <v>1241</v>
    <v>1242</v>
    <v>West Virginia</v>
    <v>1222</v>
    <v>1243</v>
    <v>1244</v>
    <v>1245</v>
    <v>1246</v>
    <v>385</v>
    <v>883</v>
    <v>719</v>
    <v>383</v>
    <v>1247</v>
    <v>383</v>
    <v>1248</v>
    <v>1021</v>
    <v>67</v>
    <v>1249</v>
    <v>1001</v>
    <v>1250</v>
    <v>230</v>
    <v>West Virginia</v>
    <v>mdp/vdpid/36208</v>
  </rv>
  <rv s="0">
    <v>536870912</v>
    <v>Wyoming</v>
    <v>bff03ad6-2b7f-400b-a76e-eb9fc4a93961</v>
    <v>en-US</v>
    <v>Map</v>
  </rv>
  <rv s="1">
    <fb>253348</fb>
    <v>11</v>
  </rv>
  <rv s="1">
    <fb>1727</fb>
    <v>11</v>
  </rv>
  <rv s="0">
    <v>536870912</v>
    <v>Cheyenne</v>
    <v>a690e71a-6bc8-a8dc-34d2-c7f6e8026d21</v>
    <v>en-US</v>
    <v>Map</v>
  </rv>
  <rv s="1">
    <fb>226865</fb>
    <v>11</v>
  </rv>
  <rv s="1">
    <fb>270600</fb>
    <v>11</v>
  </rv>
  <rv s="2">
    <v>49</v>
    <v>9</v>
    <v>215</v>
    <v>7</v>
    <v>0</v>
    <v>Image of Wyoming</v>
  </rv>
  <rv s="0">
    <v>805306368</v>
    <v>Mark Gordon (Governor)</v>
    <v>608fad8b-da2e-4675-9119-fd8812a3b598</v>
    <v>en-US</v>
    <v>Generic</v>
  </rv>
  <rv s="0">
    <v>805306368</v>
    <v>Chuck Gray (Secretary of state)</v>
    <v>3e3dd1e8-bff1-ea6b-4644-e56072599e5e</v>
    <v>en-US</v>
    <v>Generic</v>
  </rv>
  <rv s="3">
    <v>60</v>
  </rv>
  <rv s="4">
    <v>https://www.bing.com/search?q=Wyoming+state&amp;form=skydnc</v>
    <v>Learn more on Bing</v>
  </rv>
  <rv s="1">
    <fb>789</fb>
    <v>12</v>
  </rv>
  <rv s="1">
    <fb>58840</fb>
    <v>12</v>
  </rv>
  <rv s="1">
    <fb>194800</fb>
    <v>12</v>
  </rv>
  <rv s="1">
    <fb>576851</fb>
    <v>11</v>
  </rv>
  <rv s="1">
    <fb>2.7000000000000003E-2</fb>
    <v>15</v>
  </rv>
  <rv s="1">
    <fb>0.25700000000000001</fb>
    <v>14</v>
  </rv>
  <rv s="1">
    <fb>0.92700000000000005</fb>
    <v>14</v>
  </rv>
  <rv s="5">
    <v>#VALUE!</v>
    <v>218</v>
    <v>5</v>
    <v>Wyoming</v>
    <v>7</v>
    <v>8</v>
    <v>Map</v>
    <v>9</v>
    <v>10</v>
    <v>en-US</v>
    <v>bff03ad6-2b7f-400b-a76e-eb9fc4a93961</v>
    <v>536870912</v>
    <v>1</v>
    <v>US-WY</v>
    <v>1253</v>
    <v>1254</v>
    <v>1255</v>
    <v>4</v>
    <v>Wyoming is a landlocked state in the Mountain West subregion of the Western United States. It borders Montana to the north and northwest, South Dakota and Nebraska to the east, Idaho to the west, Utah to the southwest, and Colorado to the south. ...</v>
    <v>1256</v>
    <v>1257</v>
    <v>1258</v>
    <v>1255</v>
    <v>1261</v>
    <v>1262</v>
    <v>1263</v>
    <v>1264</v>
    <v>1265</v>
    <v>Wyoming</v>
    <v>52</v>
    <v>643</v>
    <v>1266</v>
    <v>24</v>
    <v>570</v>
    <v>1267</v>
    <v>1136</v>
    <v>1268</v>
    <v>58</v>
    <v>719</v>
    <v>814</v>
    <v>20</v>
    <v>28</v>
    <v>65</v>
    <v>255</v>
    <v>439</v>
    <v>99</v>
    <v>541</v>
    <v>1269</v>
    <v>1137</v>
    <v>Wyoming</v>
    <v>mdp/vdpid/36927</v>
  </rv>
</rvData>
</file>

<file path=xl/richData/rdrichvaluestructure.xml><?xml version="1.0" encoding="utf-8"?>
<rvStructures xmlns="http://schemas.microsoft.com/office/spreadsheetml/2017/richdata" count="11">
  <s t="_linkedentity2">
    <k n="%EntityServiceId" t="i"/>
    <k n="_DisplayString" t="s"/>
    <k n="%EntityId" t="s"/>
    <k n="%EntityCulture" t="s"/>
    <k n="_Icon" t="s"/>
  </s>
  <s t="_formattednumber">
    <k n="_Format" t="spb"/>
  </s>
  <s t="_webimage">
    <k n="WebImageIdentifier" t="i"/>
    <k n="_Provider" t="spb"/>
    <k n="Attribution" t="spb"/>
    <k n="CalcOrigin" t="i"/>
    <k n="ComputedImage" t="b"/>
    <k n="Text" t="s"/>
  </s>
  <s t="_array">
    <k n="array" t="a"/>
  </s>
  <s t="_hyperlink">
    <k n="Address" t="s"/>
    <k n="Text"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Official language" t="r"/>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Official language" t="r"/>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Persons with a disability (%)" t="r"/>
    <k n="Population: Two or more races (%)" t="r"/>
    <k n="Population: Under age 18 (%)" t="r"/>
    <k n="Population: Under age 5 (%)" t="r"/>
    <k n="Population: White (%)"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Official language" t="r"/>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Persons with a disability (%)" t="r"/>
    <k n="Population: Two or more races (%)" t="r"/>
    <k n="Population: Under age 18 (%)" t="r"/>
    <k n="Population: Under age 5 (%)" t="r"/>
    <k n="Population: White (%)"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UniqueName" t="s"/>
    <k n="VDPID/VSID" t="s"/>
  </s>
</rvStructures>
</file>

<file path=xl/richData/rdsupportingpropertybag.xml><?xml version="1.0" encoding="utf-8"?>
<supportingPropertyBags xmlns="http://schemas.microsoft.com/office/spreadsheetml/2017/richdata2">
  <spbArrays count="6">
    <a count="50">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Official language</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Image</v>
      <v t="s">Description</v>
    </a>
    <a count="49">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Official language</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_Flags</v>
      <v t="s">VDPID/VSID</v>
      <v t="s">UniqueName</v>
      <v t="s">_DisplayString</v>
      <v t="s">LearnMoreOnLink</v>
      <v t="s">Image</v>
      <v t="s">Description</v>
    </a>
    <a count="49">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Image</v>
      <v t="s">Description</v>
    </a>
    <a count="48">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White (%)</v>
      <v t="s">Population: Two or more races (%)</v>
      <v t="s">Time zone(s)</v>
      <v t="s">_Flags</v>
      <v t="s">VDPID/VSID</v>
      <v t="s">UniqueName</v>
      <v t="s">_DisplayString</v>
      <v t="s">LearnMoreOnLink</v>
      <v t="s">Image</v>
      <v t="s">Description</v>
    </a>
    <a count="49">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Official language</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White (%)</v>
      <v t="s">Population: Two or more races (%)</v>
      <v t="s">Time zone(s)</v>
      <v t="s">_Flags</v>
      <v t="s">VDPID/VSID</v>
      <v t="s">UniqueName</v>
      <v t="s">_DisplayString</v>
      <v t="s">LearnMoreOnLink</v>
      <v t="s">Image</v>
      <v t="s">Description</v>
    </a>
    <a count="48">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_Flags</v>
      <v t="s">VDPID/VSID</v>
      <v t="s">UniqueName</v>
      <v t="s">_DisplayString</v>
      <v t="s">LearnMoreOnLink</v>
      <v t="s">Image</v>
      <v t="s">Description</v>
    </a>
  </spbArrays>
  <spbData count="219">
    <spb s="0">
      <v xml:space="preserve">Wikipedia	</v>
      <v xml:space="preserve">CC BY-SA 3.0	</v>
      <v xml:space="preserve">https://en.wikipedia.org/wiki/Alaska	</v>
      <v xml:space="preserve">https://creativecommons.org/licenses/by-sa/3.0	</v>
    </spb>
    <spb s="0">
      <v xml:space="preserve">US Census	</v>
      <v xml:space="preserve">	</v>
      <v xml:space="preserve">https://www.census.gov/popest/data/state/asrh/2014/files/SC-EST2014-AGESEX-CIV.csv	</v>
      <v xml:space="preserve">	</v>
    </spb>
    <spb s="0">
      <v xml:space="preserve">Wikipedia	</v>
      <v xml:space="preserve">CC-BY-SA	</v>
      <v xml:space="preserve">http://en.wikipedia.org/wiki/Alaska	</v>
      <v xml:space="preserve">http://creativecommons.org/licenses/by-sa/3.0/	</v>
    </spb>
    <spb s="0">
      <v xml:space="preserve">Wikipedia	US Census	US Census	</v>
      <v xml:space="preserve">CC-BY-SA			</v>
      <v xml:space="preserve">http://en.wikipedia.org/wiki/Alaska	https://www.census.gov/popest/data/state/asrh/2014/files/SC-EST2014-AGESEX-CIV.csv	http://www.census.gov/quickfacts/table/VET605214/02	</v>
      <v xml:space="preserve">http://creativecommons.org/licenses/by-sa/3.0/			</v>
    </spb>
    <spb s="1">
      <v>0</v>
      <v>0</v>
      <v>1</v>
      <v>0</v>
      <v>0</v>
      <v>0</v>
      <v>2</v>
      <v>0</v>
      <v>1</v>
      <v>0</v>
      <v>1</v>
      <v>3</v>
      <v>0</v>
      <v>1</v>
      <v>1</v>
      <v>1</v>
      <v>1</v>
      <v>3</v>
      <v>1</v>
      <v>1</v>
      <v>1</v>
      <v>1</v>
      <v>1</v>
      <v>1</v>
      <v>1</v>
      <v>1</v>
      <v>1</v>
      <v>3</v>
      <v>1</v>
      <v>1</v>
      <v>1</v>
      <v>1</v>
    </spb>
    <spb s="2">
      <v>0</v>
      <v>Name</v>
      <v>LearnMoreOnLink</v>
    </spb>
    <spb s="3">
      <v>0</v>
      <v>0</v>
      <v>0</v>
    </spb>
    <spb s="4">
      <v>6</v>
      <v>6</v>
      <v>6</v>
    </spb>
    <spb s="5">
      <v>1</v>
      <v>2</v>
    </spb>
    <spb s="6">
      <v>https://www.bing.com</v>
      <v>https://www.bing.com/th?id=Ga%5Cbing_yt.png&amp;w=100&amp;h=40&amp;c=0&amp;pid=0.1</v>
      <v>Powered by Bing</v>
    </spb>
    <spb s="7">
      <v>square km</v>
      <v>2015</v>
      <v>2020</v>
      <v>2016</v>
      <v>2016</v>
      <v>2015</v>
      <v>2015</v>
      <v>2010, 2016</v>
      <v>persons (2015)</v>
      <v>persons (2015)</v>
      <v>2015</v>
      <v>2015</v>
      <v>2015</v>
      <v>2015</v>
      <v>persons (2015)</v>
      <v>persons (2015)</v>
      <v>2015</v>
      <v>persons age 16+, 2015</v>
      <v>persons (2015)</v>
      <v>under age 65, 2015</v>
      <v>2015</v>
      <v>persons age 25+, 2015</v>
      <v>persons (2015)</v>
      <v>persons (2015)</v>
      <v>persons (2015)</v>
    </spb>
    <spb s="8">
      <v>3</v>
    </spb>
    <spb s="8">
      <v>4</v>
    </spb>
    <spb s="8">
      <v>5</v>
    </spb>
    <spb s="8">
      <v>6</v>
    </spb>
    <spb s="8">
      <v>7</v>
    </spb>
    <spb s="0">
      <v xml:space="preserve">Wikipedia	</v>
      <v xml:space="preserve">CC BY-SA 3.0	</v>
      <v xml:space="preserve">https://en.wikipedia.org/wiki/Alabama	</v>
      <v xml:space="preserve">https://creativecommons.org/licenses/by-sa/3.0	</v>
    </spb>
    <spb s="0">
      <v xml:space="preserve">Wikipedia	</v>
      <v xml:space="preserve">CC-BY-SA	</v>
      <v xml:space="preserve">http://en.wikipedia.org/wiki/Alabama	</v>
      <v xml:space="preserve">http://creativecommons.org/licenses/by-sa/3.0/	</v>
    </spb>
    <spb s="0">
      <v xml:space="preserve">Wikipedia	US Census	US Census	</v>
      <v xml:space="preserve">CC-BY-SA			</v>
      <v xml:space="preserve">http://en.wikipedia.org/wiki/Alabama	https://www.census.gov/popest/data/state/asrh/2014/files/SC-EST2014-AGESEX-CIV.csv	http://www.census.gov/quickfacts/table/WTN220212/01	</v>
      <v xml:space="preserve">http://creativecommons.org/licenses/by-sa/3.0/			</v>
    </spb>
    <spb s="1">
      <v>16</v>
      <v>16</v>
      <v>1</v>
      <v>16</v>
      <v>16</v>
      <v>16</v>
      <v>17</v>
      <v>16</v>
      <v>1</v>
      <v>16</v>
      <v>1</v>
      <v>18</v>
      <v>16</v>
      <v>1</v>
      <v>1</v>
      <v>1</v>
      <v>1</v>
      <v>18</v>
      <v>1</v>
      <v>1</v>
      <v>1</v>
      <v>1</v>
      <v>1</v>
      <v>1</v>
      <v>1</v>
      <v>1</v>
      <v>1</v>
      <v>18</v>
      <v>1</v>
      <v>1</v>
      <v>1</v>
      <v>1</v>
    </spb>
    <spb s="0">
      <v xml:space="preserve">Wikipedia	</v>
      <v xml:space="preserve">CC BY-SA 3.0	</v>
      <v xml:space="preserve">https://en.wikipedia.org/wiki/Arkansas	</v>
      <v xml:space="preserve">https://creativecommons.org/licenses/by-sa/3.0	</v>
    </spb>
    <spb s="0">
      <v xml:space="preserve">Wikipedia	</v>
      <v xml:space="preserve">CC-BY-SA	</v>
      <v xml:space="preserve">http://en.wikipedia.org/wiki/Arkansas	</v>
      <v xml:space="preserve">http://creativecommons.org/licenses/by-sa/3.0/	</v>
    </spb>
    <spb s="0">
      <v xml:space="preserve">Wikipedia	US Census	US Census	</v>
      <v xml:space="preserve">CC-BY-SA			</v>
      <v xml:space="preserve">http://en.wikipedia.org/wiki/Arkansas	https://www.census.gov/popest/data/state/asrh/2014/files/SC-EST2014-AGESEX-CIV.csv	http://www.census.gov/quickfacts/table/VET605214/05	</v>
      <v xml:space="preserve">http://creativecommons.org/licenses/by-sa/3.0/			</v>
    </spb>
    <spb s="1">
      <v>20</v>
      <v>20</v>
      <v>1</v>
      <v>20</v>
      <v>20</v>
      <v>20</v>
      <v>21</v>
      <v>20</v>
      <v>1</v>
      <v>20</v>
      <v>1</v>
      <v>22</v>
      <v>20</v>
      <v>1</v>
      <v>1</v>
      <v>1</v>
      <v>1</v>
      <v>22</v>
      <v>1</v>
      <v>1</v>
      <v>1</v>
      <v>1</v>
      <v>1</v>
      <v>1</v>
      <v>1</v>
      <v>1</v>
      <v>1</v>
      <v>22</v>
      <v>1</v>
      <v>1</v>
      <v>1</v>
      <v>1</v>
    </spb>
    <spb s="0">
      <v xml:space="preserve">Wikipedia	</v>
      <v xml:space="preserve">CC BY-SA 3.0	</v>
      <v xml:space="preserve">https://en.wikipedia.org/wiki/Arizona	</v>
      <v xml:space="preserve">https://creativecommons.org/licenses/by-sa/3.0	</v>
    </spb>
    <spb s="0">
      <v xml:space="preserve">Wikipedia	</v>
      <v xml:space="preserve">CC-BY-SA	</v>
      <v xml:space="preserve">http://en.wikipedia.org/wiki/Arizona	</v>
      <v xml:space="preserve">http://creativecommons.org/licenses/by-sa/3.0/	</v>
    </spb>
    <spb s="0">
      <v xml:space="preserve">Wikipedia	US Census	US Census	</v>
      <v xml:space="preserve">CC-BY-SA			</v>
      <v xml:space="preserve">http://en.wikipedia.org/wiki/Arizona	https://www.census.gov/popest/data/state/asrh/2014/files/SC-EST2014-AGESEX-CIV.csv	http://www.census.gov/quickfacts/table/age775215/04	</v>
      <v xml:space="preserve">http://creativecommons.org/licenses/by-sa/3.0/			</v>
    </spb>
    <spb s="1">
      <v>24</v>
      <v>24</v>
      <v>1</v>
      <v>24</v>
      <v>24</v>
      <v>24</v>
      <v>25</v>
      <v>24</v>
      <v>1</v>
      <v>24</v>
      <v>1</v>
      <v>26</v>
      <v>24</v>
      <v>1</v>
      <v>1</v>
      <v>1</v>
      <v>1</v>
      <v>26</v>
      <v>1</v>
      <v>1</v>
      <v>1</v>
      <v>1</v>
      <v>1</v>
      <v>1</v>
      <v>1</v>
      <v>1</v>
      <v>1</v>
      <v>26</v>
      <v>1</v>
      <v>1</v>
      <v>1</v>
      <v>1</v>
    </spb>
    <spb s="2">
      <v>1</v>
      <v>Name</v>
      <v>LearnMoreOnLink</v>
    </spb>
    <spb s="0">
      <v xml:space="preserve">Wikipedia	</v>
      <v xml:space="preserve">CC BY-SA 3.0	</v>
      <v xml:space="preserve">https://en.wikipedia.org/wiki/California	</v>
      <v xml:space="preserve">https://creativecommons.org/licenses/by-sa/3.0	</v>
    </spb>
    <spb s="0">
      <v xml:space="preserve">Wikipedia	</v>
      <v xml:space="preserve">CC-BY-SA	</v>
      <v xml:space="preserve">http://en.wikipedia.org/wiki/California	</v>
      <v xml:space="preserve">http://creativecommons.org/licenses/by-sa/3.0/	</v>
    </spb>
    <spb s="0">
      <v xml:space="preserve">Wikipedia	US Census	US Census	</v>
      <v xml:space="preserve">CC-BY-SA			</v>
      <v xml:space="preserve">http://en.wikipedia.org/wiki/California	https://www.census.gov/popest/data/state/asrh/2014/files/SC-EST2014-AGESEX-CIV.csv	http://www.census.gov/quickfacts/table/VET605214/06	</v>
      <v xml:space="preserve">http://creativecommons.org/licenses/by-sa/3.0/			</v>
    </spb>
    <spb s="1">
      <v>29</v>
      <v>29</v>
      <v>1</v>
      <v>29</v>
      <v>29</v>
      <v>29</v>
      <v>30</v>
      <v>29</v>
      <v>1</v>
      <v>29</v>
      <v>1</v>
      <v>31</v>
      <v>29</v>
      <v>1</v>
      <v>1</v>
      <v>1</v>
      <v>1</v>
      <v>31</v>
      <v>1</v>
      <v>1</v>
      <v>1</v>
      <v>1</v>
      <v>1</v>
      <v>1</v>
      <v>1</v>
      <v>1</v>
      <v>1</v>
      <v>31</v>
      <v>1</v>
      <v>1</v>
      <v>1</v>
      <v>1</v>
    </spb>
    <spb s="0">
      <v xml:space="preserve">Wikipedia	</v>
      <v xml:space="preserve">CC BY-SA 3.0	</v>
      <v xml:space="preserve">https://en.wikipedia.org/wiki/Colorado	</v>
      <v xml:space="preserve">https://creativecommons.org/licenses/by-sa/3.0	</v>
    </spb>
    <spb s="0">
      <v xml:space="preserve">Wikipedia	</v>
      <v xml:space="preserve">CC-BY-SA	</v>
      <v xml:space="preserve">http://en.wikipedia.org/wiki/Colorado	</v>
      <v xml:space="preserve">http://creativecommons.org/licenses/by-sa/3.0/	</v>
    </spb>
    <spb s="0">
      <v xml:space="preserve">Wikipedia	US Census	US Census	</v>
      <v xml:space="preserve">CC-BY-SA			</v>
      <v xml:space="preserve">http://en.wikipedia.org/wiki/Colorado	https://www.census.gov/popest/data/state/asrh/2014/files/SC-EST2014-AGESEX-CIV.csv	http://www.census.gov/quickfacts/table/WTN220212/08	</v>
      <v xml:space="preserve">http://creativecommons.org/licenses/by-sa/3.0/			</v>
    </spb>
    <spb s="1">
      <v>33</v>
      <v>33</v>
      <v>1</v>
      <v>33</v>
      <v>33</v>
      <v>33</v>
      <v>34</v>
      <v>33</v>
      <v>1</v>
      <v>33</v>
      <v>1</v>
      <v>35</v>
      <v>33</v>
      <v>1</v>
      <v>1</v>
      <v>1</v>
      <v>1</v>
      <v>35</v>
      <v>1</v>
      <v>1</v>
      <v>1</v>
      <v>1</v>
      <v>1</v>
      <v>1</v>
      <v>1</v>
      <v>1</v>
      <v>1</v>
      <v>35</v>
      <v>1</v>
      <v>1</v>
      <v>1</v>
      <v>1</v>
    </spb>
    <spb s="0">
      <v xml:space="preserve">Wikipedia	</v>
      <v xml:space="preserve">CC BY-SA 3.0	</v>
      <v xml:space="preserve">https://en.wikipedia.org/wiki/Connecticut	</v>
      <v xml:space="preserve">https://creativecommons.org/licenses/by-sa/3.0	</v>
    </spb>
    <spb s="0">
      <v xml:space="preserve">Wikipedia	</v>
      <v xml:space="preserve">CC-BY-SA	</v>
      <v xml:space="preserve">http://en.wikipedia.org/wiki/Connecticut	</v>
      <v xml:space="preserve">http://creativecommons.org/licenses/by-sa/3.0/	</v>
    </spb>
    <spb s="0">
      <v xml:space="preserve">Wikipedia	US Census	Bookdepository	</v>
      <v xml:space="preserve">CC-BY-SA			</v>
      <v xml:space="preserve">http://en.wikipedia.org/wiki/Connecticut	https://www.census.gov/popest/data/state/asrh/2014/files/SC-EST2014-AGESEX-CIV.csv	https://www.bookdepository.com/author/Etc-Connecticut-Laws	</v>
      <v xml:space="preserve">http://creativecommons.org/licenses/by-sa/3.0/			</v>
    </spb>
    <spb s="1">
      <v>37</v>
      <v>37</v>
      <v>1</v>
      <v>37</v>
      <v>37</v>
      <v>37</v>
      <v>38</v>
      <v>37</v>
      <v>1</v>
      <v>37</v>
      <v>1</v>
      <v>39</v>
      <v>37</v>
      <v>1</v>
      <v>1</v>
      <v>1</v>
      <v>1</v>
      <v>39</v>
      <v>1</v>
      <v>1</v>
      <v>1</v>
      <v>1</v>
      <v>1</v>
      <v>1</v>
      <v>1</v>
      <v>1</v>
      <v>1</v>
      <v>39</v>
      <v>1</v>
      <v>1</v>
      <v>1</v>
      <v>1</v>
    </spb>
    <spb s="2">
      <v>2</v>
      <v>Name</v>
      <v>LearnMoreOnLink</v>
    </spb>
    <spb s="0">
      <v xml:space="preserve">Wikipedia	</v>
      <v xml:space="preserve">CC BY-SA 3.0	</v>
      <v xml:space="preserve">https://en.wikipedia.org/wiki/Delaware	</v>
      <v xml:space="preserve">https://creativecommons.org/licenses/by-sa/3.0	</v>
    </spb>
    <spb s="0">
      <v xml:space="preserve">Wikipedia	</v>
      <v xml:space="preserve">CC-BY-SA	</v>
      <v xml:space="preserve">http://en.wikipedia.org/wiki/Delaware	</v>
      <v xml:space="preserve">http://creativecommons.org/licenses/by-sa/3.0/	</v>
    </spb>
    <spb s="0">
      <v xml:space="preserve">Wikipedia	US Census	US Census	</v>
      <v xml:space="preserve">CC-BY-SA			</v>
      <v xml:space="preserve">http://en.wikipedia.org/wiki/Delaware	https://www.census.gov/popest/data/state/asrh/2014/files/SC-EST2014-AGESEX-CIV.csv	http://www.census.gov/quickfacts/table/WTN220212/10	</v>
      <v xml:space="preserve">http://creativecommons.org/licenses/by-sa/3.0/			</v>
    </spb>
    <spb s="1">
      <v>42</v>
      <v>42</v>
      <v>1</v>
      <v>42</v>
      <v>42</v>
      <v>42</v>
      <v>43</v>
      <v>42</v>
      <v>1</v>
      <v>42</v>
      <v>1</v>
      <v>44</v>
      <v>42</v>
      <v>1</v>
      <v>1</v>
      <v>1</v>
      <v>1</v>
      <v>44</v>
      <v>1</v>
      <v>1</v>
      <v>1</v>
      <v>1</v>
      <v>1</v>
      <v>1</v>
      <v>1</v>
      <v>1</v>
      <v>1</v>
      <v>44</v>
      <v>1</v>
      <v>1</v>
      <v>1</v>
      <v>1</v>
    </spb>
    <spb s="0">
      <v xml:space="preserve">Wikipedia	</v>
      <v xml:space="preserve">CC BY-SA 3.0	</v>
      <v xml:space="preserve">https://en.wikipedia.org/wiki/Florida	</v>
      <v xml:space="preserve">https://creativecommons.org/licenses/by-sa/3.0	</v>
    </spb>
    <spb s="0">
      <v xml:space="preserve">Wikipedia	</v>
      <v xml:space="preserve">CC-BY-SA	</v>
      <v xml:space="preserve">http://en.wikipedia.org/wiki/Florida	</v>
      <v xml:space="preserve">http://creativecommons.org/licenses/by-sa/3.0/	</v>
    </spb>
    <spb s="0">
      <v xml:space="preserve">Wikipedia	US Census	US Census	</v>
      <v xml:space="preserve">CC-BY-SA			</v>
      <v xml:space="preserve">http://en.wikipedia.org/wiki/Florida	https://www.census.gov/popest/data/state/asrh/2014/files/SC-EST2014-AGESEX-CIV.csv	http://www.census.gov/quickfacts/table/WTN220212/12	</v>
      <v xml:space="preserve">http://creativecommons.org/licenses/by-sa/3.0/			</v>
    </spb>
    <spb s="1">
      <v>46</v>
      <v>46</v>
      <v>1</v>
      <v>46</v>
      <v>46</v>
      <v>46</v>
      <v>47</v>
      <v>46</v>
      <v>1</v>
      <v>46</v>
      <v>1</v>
      <v>48</v>
      <v>46</v>
      <v>1</v>
      <v>1</v>
      <v>1</v>
      <v>1</v>
      <v>48</v>
      <v>1</v>
      <v>1</v>
      <v>1</v>
      <v>1</v>
      <v>1</v>
      <v>1</v>
      <v>1</v>
      <v>1</v>
      <v>1</v>
      <v>48</v>
      <v>1</v>
      <v>1</v>
      <v>1</v>
      <v>1</v>
    </spb>
    <spb s="0">
      <v xml:space="preserve">Wikipedia	</v>
      <v xml:space="preserve">CC BY-SA 3.0	</v>
      <v xml:space="preserve">https://en.wikipedia.org/wiki/Georgia_(U.S._state)	</v>
      <v xml:space="preserve">https://creativecommons.org/licenses/by-sa/3.0	</v>
    </spb>
    <spb s="0">
      <v xml:space="preserve">Wikipedia	</v>
      <v xml:space="preserve">CC-BY-SA	</v>
      <v xml:space="preserve">http://en.wikipedia.org/wiki/Georgia_(U.S._state)	</v>
      <v xml:space="preserve">http://creativecommons.org/licenses/by-sa/3.0/	</v>
    </spb>
    <spb s="0">
      <v xml:space="preserve">Wikipedia	US Census	US Census	</v>
      <v xml:space="preserve">CC-BY-SA			</v>
      <v xml:space="preserve">http://en.wikipedia.org/wiki/Georgia_(U.S._state)	https://www.census.gov/popest/data/state/asrh/2014/files/SC-EST2014-AGESEX-CIV.csv	http://www.census.gov/quickfacts/table/WTN220212/13	</v>
      <v xml:space="preserve">http://creativecommons.org/licenses/by-sa/3.0/			</v>
    </spb>
    <spb s="1">
      <v>50</v>
      <v>50</v>
      <v>1</v>
      <v>50</v>
      <v>50</v>
      <v>50</v>
      <v>51</v>
      <v>50</v>
      <v>1</v>
      <v>50</v>
      <v>1</v>
      <v>52</v>
      <v>50</v>
      <v>1</v>
      <v>1</v>
      <v>1</v>
      <v>1</v>
      <v>52</v>
      <v>1</v>
      <v>1</v>
      <v>1</v>
      <v>1</v>
      <v>1</v>
      <v>1</v>
      <v>1</v>
      <v>1</v>
      <v>1</v>
      <v>52</v>
      <v>1</v>
      <v>1</v>
      <v>1</v>
      <v>1</v>
    </spb>
    <spb s="0">
      <v xml:space="preserve">Wikipedia	</v>
      <v xml:space="preserve">CC BY-SA 3.0	</v>
      <v xml:space="preserve">https://en.wikipedia.org/wiki/Hawaii	</v>
      <v xml:space="preserve">https://creativecommons.org/licenses/by-sa/3.0	</v>
    </spb>
    <spb s="0">
      <v xml:space="preserve">Wikipedia	</v>
      <v xml:space="preserve">CC-BY-SA	</v>
      <v xml:space="preserve">http://en.wikipedia.org/wiki/Hawaii	</v>
      <v xml:space="preserve">http://creativecommons.org/licenses/by-sa/3.0/	</v>
    </spb>
    <spb s="0">
      <v xml:space="preserve">Wikipedia	US Census	Facebook	</v>
      <v xml:space="preserve">CC-BY-SA			</v>
      <v xml:space="preserve">http://en.wikipedia.org/wiki/Hawaii	https://www.census.gov/popest/data/state/asrh/2014/files/SC-EST2014-AGESEX-CIV.csv	https://www.facebook.com/StateOfHawaii	</v>
      <v xml:space="preserve">http://creativecommons.org/licenses/by-sa/3.0/			</v>
    </spb>
    <spb s="1">
      <v>54</v>
      <v>54</v>
      <v>1</v>
      <v>54</v>
      <v>54</v>
      <v>54</v>
      <v>55</v>
      <v>54</v>
      <v>1</v>
      <v>54</v>
      <v>1</v>
      <v>56</v>
      <v>54</v>
      <v>1</v>
      <v>1</v>
      <v>1</v>
      <v>1</v>
      <v>56</v>
      <v>1</v>
      <v>1</v>
      <v>1</v>
      <v>1</v>
      <v>1</v>
      <v>1</v>
      <v>1</v>
      <v>1</v>
      <v>1</v>
      <v>56</v>
      <v>1</v>
      <v>1</v>
      <v>1</v>
      <v>1</v>
    </spb>
    <spb s="0">
      <v xml:space="preserve">Wikipedia	</v>
      <v xml:space="preserve">CC BY-SA 3.0	</v>
      <v xml:space="preserve">https://en.wikipedia.org/wiki/Iowa	</v>
      <v xml:space="preserve">https://creativecommons.org/licenses/by-sa/3.0	</v>
    </spb>
    <spb s="0">
      <v xml:space="preserve">Wikipedia	</v>
      <v xml:space="preserve">CC-BY-SA	</v>
      <v xml:space="preserve">http://en.wikipedia.org/wiki/Iowa	</v>
      <v xml:space="preserve">http://creativecommons.org/licenses/by-sa/3.0/	</v>
    </spb>
    <spb s="0">
      <v xml:space="preserve">Wikipedia	US Census	US Census	</v>
      <v xml:space="preserve">CC-BY-SA			</v>
      <v xml:space="preserve">http://en.wikipedia.org/wiki/Iowa	https://www.census.gov/popest/data/state/asrh/2014/files/SC-EST2014-AGESEX-CIV.csv	http://www.census.gov/quickfacts/table/WTN220212/19	</v>
      <v xml:space="preserve">http://creativecommons.org/licenses/by-sa/3.0/			</v>
    </spb>
    <spb s="1">
      <v>58</v>
      <v>58</v>
      <v>1</v>
      <v>58</v>
      <v>58</v>
      <v>58</v>
      <v>59</v>
      <v>58</v>
      <v>1</v>
      <v>58</v>
      <v>1</v>
      <v>60</v>
      <v>58</v>
      <v>1</v>
      <v>1</v>
      <v>1</v>
      <v>1</v>
      <v>60</v>
      <v>1</v>
      <v>1</v>
      <v>1</v>
      <v>1</v>
      <v>1</v>
      <v>1</v>
      <v>1</v>
      <v>1</v>
      <v>1</v>
      <v>60</v>
      <v>1</v>
      <v>1</v>
      <v>1</v>
      <v>1</v>
    </spb>
    <spb s="0">
      <v xml:space="preserve">Wikipedia	</v>
      <v xml:space="preserve">CC BY-SA 3.0	</v>
      <v xml:space="preserve">https://en.wikipedia.org/wiki/Idaho	</v>
      <v xml:space="preserve">https://creativecommons.org/licenses/by-sa/3.0	</v>
    </spb>
    <spb s="0">
      <v xml:space="preserve">Wikipedia	</v>
      <v xml:space="preserve">CC-BY-SA	</v>
      <v xml:space="preserve">http://en.wikipedia.org/wiki/Idaho	</v>
      <v xml:space="preserve">http://creativecommons.org/licenses/by-sa/3.0/	</v>
    </spb>
    <spb s="0">
      <v xml:space="preserve">Wikipedia	US Census	US Census	</v>
      <v xml:space="preserve">CC-BY-SA			</v>
      <v xml:space="preserve">http://en.wikipedia.org/wiki/Idaho	https://www.census.gov/popest/data/state/asrh/2014/files/SC-EST2014-AGESEX-CIV.csv	http://www.census.gov/quickfacts/table/WTN220212/16	</v>
      <v xml:space="preserve">http://creativecommons.org/licenses/by-sa/3.0/			</v>
    </spb>
    <spb s="1">
      <v>62</v>
      <v>62</v>
      <v>1</v>
      <v>62</v>
      <v>62</v>
      <v>62</v>
      <v>63</v>
      <v>62</v>
      <v>1</v>
      <v>62</v>
      <v>1</v>
      <v>64</v>
      <v>62</v>
      <v>1</v>
      <v>1</v>
      <v>1</v>
      <v>1</v>
      <v>64</v>
      <v>1</v>
      <v>1</v>
      <v>1</v>
      <v>1</v>
      <v>1</v>
      <v>1</v>
      <v>1</v>
      <v>1</v>
      <v>1</v>
      <v>64</v>
      <v>1</v>
      <v>1</v>
      <v>1</v>
      <v>1</v>
    </spb>
    <spb s="0">
      <v xml:space="preserve">Wikipedia	</v>
      <v xml:space="preserve">CC BY-SA 3.0	</v>
      <v xml:space="preserve">https://en.wikipedia.org/wiki/Illinois	</v>
      <v xml:space="preserve">https://creativecommons.org/licenses/by-sa/3.0	</v>
    </spb>
    <spb s="0">
      <v xml:space="preserve">Wikipedia	</v>
      <v xml:space="preserve">CC-BY-SA	</v>
      <v xml:space="preserve">http://en.wikipedia.org/wiki/Illinois	</v>
      <v xml:space="preserve">http://creativecommons.org/licenses/by-sa/3.0/	</v>
    </spb>
    <spb s="0">
      <v xml:space="preserve">Wikipedia	US Census	US Census	</v>
      <v xml:space="preserve">CC-BY-SA			</v>
      <v xml:space="preserve">http://en.wikipedia.org/wiki/Illinois	https://www.census.gov/popest/data/state/asrh/2014/files/SC-EST2014-AGESEX-CIV.csv	http://www.census.gov/quickfacts/table/WTN220212/17	</v>
      <v xml:space="preserve">http://creativecommons.org/licenses/by-sa/3.0/			</v>
    </spb>
    <spb s="1">
      <v>66</v>
      <v>66</v>
      <v>1</v>
      <v>66</v>
      <v>66</v>
      <v>66</v>
      <v>67</v>
      <v>66</v>
      <v>1</v>
      <v>66</v>
      <v>1</v>
      <v>68</v>
      <v>66</v>
      <v>1</v>
      <v>1</v>
      <v>1</v>
      <v>1</v>
      <v>68</v>
      <v>1</v>
      <v>1</v>
      <v>1</v>
      <v>1</v>
      <v>1</v>
      <v>1</v>
      <v>1</v>
      <v>1</v>
      <v>1</v>
      <v>68</v>
      <v>1</v>
      <v>1</v>
      <v>1</v>
      <v>1</v>
    </spb>
    <spb s="0">
      <v xml:space="preserve">Wikipedia	</v>
      <v xml:space="preserve">CC BY-SA 3.0	</v>
      <v xml:space="preserve">https://en.wikipedia.org/wiki/Indiana	</v>
      <v xml:space="preserve">https://creativecommons.org/licenses/by-sa/3.0	</v>
    </spb>
    <spb s="0">
      <v xml:space="preserve">Wikipedia	</v>
      <v xml:space="preserve">CC-BY-SA	</v>
      <v xml:space="preserve">http://en.wikipedia.org/wiki/Indiana	</v>
      <v xml:space="preserve">http://creativecommons.org/licenses/by-sa/3.0/	</v>
    </spb>
    <spb s="0">
      <v xml:space="preserve">Wikipedia	US Census	US Census	</v>
      <v xml:space="preserve">CC-BY-SA			</v>
      <v xml:space="preserve">http://en.wikipedia.org/wiki/Indiana	https://www.census.gov/popest/data/state/asrh/2014/files/SC-EST2014-AGESEX-CIV.csv	http://www.census.gov/quickfacts/table/WTN220212/18	</v>
      <v xml:space="preserve">http://creativecommons.org/licenses/by-sa/3.0/			</v>
    </spb>
    <spb s="1">
      <v>70</v>
      <v>70</v>
      <v>1</v>
      <v>70</v>
      <v>70</v>
      <v>70</v>
      <v>71</v>
      <v>70</v>
      <v>1</v>
      <v>70</v>
      <v>1</v>
      <v>72</v>
      <v>70</v>
      <v>1</v>
      <v>1</v>
      <v>1</v>
      <v>1</v>
      <v>72</v>
      <v>1</v>
      <v>1</v>
      <v>1</v>
      <v>1</v>
      <v>1</v>
      <v>1</v>
      <v>1</v>
      <v>1</v>
      <v>1</v>
      <v>72</v>
      <v>1</v>
      <v>1</v>
      <v>1</v>
      <v>1</v>
    </spb>
    <spb s="0">
      <v xml:space="preserve">Wikipedia	</v>
      <v xml:space="preserve">CC BY-SA 3.0	</v>
      <v xml:space="preserve">https://en.wikipedia.org/wiki/Kansas	</v>
      <v xml:space="preserve">https://creativecommons.org/licenses/by-sa/3.0	</v>
    </spb>
    <spb s="0">
      <v xml:space="preserve">Wikipedia	</v>
      <v xml:space="preserve">CC-BY-SA	</v>
      <v xml:space="preserve">http://en.wikipedia.org/wiki/Kansas	</v>
      <v xml:space="preserve">http://creativecommons.org/licenses/by-sa/3.0/	</v>
    </spb>
    <spb s="0">
      <v xml:space="preserve">Wikipedia	US Census	US Census	</v>
      <v xml:space="preserve">CC-BY-SA			</v>
      <v xml:space="preserve">http://en.wikipedia.org/wiki/Kansas	https://www.census.gov/popest/data/state/asrh/2014/files/SC-EST2014-AGESEX-CIV.csv	http://www.census.gov/quickfacts/table/WTN220212/20	</v>
      <v xml:space="preserve">http://creativecommons.org/licenses/by-sa/3.0/			</v>
    </spb>
    <spb s="1">
      <v>74</v>
      <v>74</v>
      <v>1</v>
      <v>74</v>
      <v>74</v>
      <v>74</v>
      <v>75</v>
      <v>74</v>
      <v>1</v>
      <v>74</v>
      <v>1</v>
      <v>76</v>
      <v>74</v>
      <v>1</v>
      <v>1</v>
      <v>1</v>
      <v>1</v>
      <v>76</v>
      <v>1</v>
      <v>1</v>
      <v>1</v>
      <v>1</v>
      <v>1</v>
      <v>1</v>
      <v>1</v>
      <v>1</v>
      <v>1</v>
      <v>76</v>
      <v>1</v>
      <v>1</v>
      <v>1</v>
      <v>1</v>
    </spb>
    <spb s="0">
      <v xml:space="preserve">Wikipedia	</v>
      <v xml:space="preserve">CC BY-SA 3.0	</v>
      <v xml:space="preserve">https://en.wikipedia.org/wiki/Kentucky	</v>
      <v xml:space="preserve">https://creativecommons.org/licenses/by-sa/3.0	</v>
    </spb>
    <spb s="0">
      <v xml:space="preserve">Wikipedia	</v>
      <v xml:space="preserve">CC-BY-SA	</v>
      <v xml:space="preserve">http://en.wikipedia.org/wiki/Kentucky	</v>
      <v xml:space="preserve">http://creativecommons.org/licenses/by-sa/3.0/	</v>
    </spb>
    <spb s="0">
      <v xml:space="preserve">Wikipedia	US Census	US Census	</v>
      <v xml:space="preserve">CC-BY-SA			</v>
      <v xml:space="preserve">http://en.wikipedia.org/wiki/Kentucky	https://www.census.gov/popest/data/state/asrh/2014/files/SC-EST2014-AGESEX-CIV.csv	http://www.census.gov/quickfacts/table/WTN220212/21	</v>
      <v xml:space="preserve">http://creativecommons.org/licenses/by-sa/3.0/			</v>
    </spb>
    <spb s="1">
      <v>78</v>
      <v>78</v>
      <v>1</v>
      <v>78</v>
      <v>78</v>
      <v>78</v>
      <v>79</v>
      <v>78</v>
      <v>1</v>
      <v>78</v>
      <v>1</v>
      <v>80</v>
      <v>78</v>
      <v>1</v>
      <v>1</v>
      <v>1</v>
      <v>1</v>
      <v>80</v>
      <v>1</v>
      <v>1</v>
      <v>1</v>
      <v>1</v>
      <v>1</v>
      <v>1</v>
      <v>1</v>
      <v>1</v>
      <v>1</v>
      <v>80</v>
      <v>1</v>
      <v>1</v>
      <v>1</v>
      <v>1</v>
    </spb>
    <spb s="0">
      <v xml:space="preserve">Wikipedia	</v>
      <v xml:space="preserve">CC BY-SA 3.0	</v>
      <v xml:space="preserve">https://en.wikipedia.org/wiki/Louisiana	</v>
      <v xml:space="preserve">https://creativecommons.org/licenses/by-sa/3.0	</v>
    </spb>
    <spb s="0">
      <v xml:space="preserve">Wikipedia	</v>
      <v xml:space="preserve">CC-BY-SA	</v>
      <v xml:space="preserve">http://en.wikipedia.org/wiki/Louisiana	</v>
      <v xml:space="preserve">http://creativecommons.org/licenses/by-sa/3.0/	</v>
    </spb>
    <spb s="0">
      <v xml:space="preserve">Wikipedia	US Census	US Census	</v>
      <v xml:space="preserve">CC-BY-SA			</v>
      <v xml:space="preserve">http://en.wikipedia.org/wiki/Louisiana	https://www.census.gov/popest/data/state/asrh/2014/files/SC-EST2014-AGESEX-CIV.csv	http://www.census.gov/quickfacts/table/WTN220212/22	</v>
      <v xml:space="preserve">http://creativecommons.org/licenses/by-sa/3.0/			</v>
    </spb>
    <spb s="1">
      <v>82</v>
      <v>82</v>
      <v>1</v>
      <v>82</v>
      <v>82</v>
      <v>82</v>
      <v>83</v>
      <v>82</v>
      <v>1</v>
      <v>82</v>
      <v>1</v>
      <v>84</v>
      <v>82</v>
      <v>1</v>
      <v>1</v>
      <v>1</v>
      <v>1</v>
      <v>84</v>
      <v>1</v>
      <v>1</v>
      <v>1</v>
      <v>1</v>
      <v>1</v>
      <v>1</v>
      <v>1</v>
      <v>1</v>
      <v>1</v>
      <v>84</v>
      <v>1</v>
      <v>1</v>
      <v>1</v>
      <v>1</v>
    </spb>
    <spb s="0">
      <v xml:space="preserve">Wikipedia	</v>
      <v xml:space="preserve">CC BY-SA 3.0	</v>
      <v xml:space="preserve">https://en.wikipedia.org/wiki/Massachusetts	</v>
      <v xml:space="preserve">https://creativecommons.org/licenses/by-sa/3.0	</v>
    </spb>
    <spb s="0">
      <v xml:space="preserve">Wikipedia	</v>
      <v xml:space="preserve">CC-BY-SA	</v>
      <v xml:space="preserve">http://en.wikipedia.org/wiki/Massachusetts	</v>
      <v xml:space="preserve">http://creativecommons.org/licenses/by-sa/3.0/	</v>
    </spb>
    <spb s="0">
      <v xml:space="preserve">Wikipedia	US Census	US Census	</v>
      <v xml:space="preserve">CC-BY-SA			</v>
      <v xml:space="preserve">http://en.wikipedia.org/wiki/Massachusetts	https://www.census.gov/popest/data/state/asrh/2014/files/SC-EST2014-AGESEX-CIV.csv	http://www.census.gov/quickfacts/table/WTN220212/25	</v>
      <v xml:space="preserve">http://creativecommons.org/licenses/by-sa/3.0/			</v>
    </spb>
    <spb s="1">
      <v>86</v>
      <v>86</v>
      <v>1</v>
      <v>86</v>
      <v>86</v>
      <v>86</v>
      <v>87</v>
      <v>86</v>
      <v>1</v>
      <v>86</v>
      <v>1</v>
      <v>88</v>
      <v>86</v>
      <v>1</v>
      <v>1</v>
      <v>1</v>
      <v>1</v>
      <v>88</v>
      <v>1</v>
      <v>1</v>
      <v>1</v>
      <v>1</v>
      <v>1</v>
      <v>1</v>
      <v>1</v>
      <v>1</v>
      <v>1</v>
      <v>88</v>
      <v>1</v>
      <v>1</v>
      <v>1</v>
      <v>1</v>
    </spb>
    <spb s="0">
      <v xml:space="preserve">Wikipedia	</v>
      <v xml:space="preserve">CC BY-SA 3.0	</v>
      <v xml:space="preserve">https://en.wikipedia.org/wiki/Maryland	</v>
      <v xml:space="preserve">https://creativecommons.org/licenses/by-sa/3.0	</v>
    </spb>
    <spb s="0">
      <v xml:space="preserve">Wikipedia	</v>
      <v xml:space="preserve">CC-BY-SA	</v>
      <v xml:space="preserve">http://en.wikipedia.org/wiki/Maryland	</v>
      <v xml:space="preserve">http://creativecommons.org/licenses/by-sa/3.0/	</v>
    </spb>
    <spb s="0">
      <v xml:space="preserve">Wikipedia	US Census	US Census	</v>
      <v xml:space="preserve">CC-BY-SA			</v>
      <v xml:space="preserve">http://en.wikipedia.org/wiki/Maryland	https://www.census.gov/popest/data/state/asrh/2014/files/SC-EST2014-AGESEX-CIV.csv	http://www.census.gov/quickfacts/table/WTN220212/24	</v>
      <v xml:space="preserve">http://creativecommons.org/licenses/by-sa/3.0/			</v>
    </spb>
    <spb s="1">
      <v>90</v>
      <v>90</v>
      <v>1</v>
      <v>90</v>
      <v>90</v>
      <v>90</v>
      <v>91</v>
      <v>90</v>
      <v>1</v>
      <v>90</v>
      <v>1</v>
      <v>92</v>
      <v>90</v>
      <v>1</v>
      <v>1</v>
      <v>1</v>
      <v>1</v>
      <v>92</v>
      <v>1</v>
      <v>1</v>
      <v>1</v>
      <v>1</v>
      <v>1</v>
      <v>1</v>
      <v>1</v>
      <v>1</v>
      <v>1</v>
      <v>92</v>
      <v>1</v>
      <v>1</v>
      <v>1</v>
      <v>1</v>
    </spb>
    <spb s="7">
      <v>square km</v>
      <v>2015</v>
      <v>2021</v>
      <v>2016</v>
      <v>2016</v>
      <v>2015</v>
      <v>2015</v>
      <v>2010, 2016</v>
      <v>persons (2015)</v>
      <v>persons (2015)</v>
      <v>2015</v>
      <v>2015</v>
      <v>2015</v>
      <v>2015</v>
      <v>persons (2015)</v>
      <v>persons (2015)</v>
      <v>2015</v>
      <v>persons age 16+, 2015</v>
      <v>persons (2015)</v>
      <v>under age 65, 2015</v>
      <v>2015</v>
      <v>persons age 25+, 2015</v>
      <v>persons (2015)</v>
      <v>persons (2015)</v>
      <v>persons (2015)</v>
    </spb>
    <spb s="0">
      <v xml:space="preserve">Wikipedia	</v>
      <v xml:space="preserve">CC BY-SA 3.0	</v>
      <v xml:space="preserve">https://en.wikipedia.org/wiki/Maine	</v>
      <v xml:space="preserve">https://creativecommons.org/licenses/by-sa/3.0	</v>
    </spb>
    <spb s="0">
      <v xml:space="preserve">Wikipedia	</v>
      <v xml:space="preserve">CC-BY-SA	</v>
      <v xml:space="preserve">http://en.wikipedia.org/wiki/Maine	</v>
      <v xml:space="preserve">http://creativecommons.org/licenses/by-sa/3.0/	</v>
    </spb>
    <spb s="0">
      <v xml:space="preserve">Wikipedia	US Census	US Census	</v>
      <v xml:space="preserve">CC-BY-SA			</v>
      <v xml:space="preserve">http://en.wikipedia.org/wiki/Maine	https://www.census.gov/popest/data/state/asrh/2014/files/SC-EST2014-AGESEX-CIV.csv	http://www.census.gov/quickfacts/table/WTN220212/23	</v>
      <v xml:space="preserve">http://creativecommons.org/licenses/by-sa/3.0/			</v>
    </spb>
    <spb s="9">
      <v>95</v>
      <v>95</v>
      <v>1</v>
      <v>95</v>
      <v>95</v>
      <v>95</v>
      <v>96</v>
      <v>95</v>
      <v>1</v>
      <v>95</v>
      <v>1</v>
      <v>97</v>
      <v>95</v>
      <v>1</v>
      <v>1</v>
      <v>1</v>
      <v>1</v>
      <v>97</v>
      <v>1</v>
      <v>1</v>
      <v>1</v>
      <v>1</v>
      <v>1</v>
      <v>1</v>
      <v>1</v>
      <v>1</v>
      <v>1</v>
      <v>97</v>
      <v>1</v>
      <v>1</v>
      <v>1</v>
    </spb>
    <spb s="2">
      <v>3</v>
      <v>Name</v>
      <v>LearnMoreOnLink</v>
    </spb>
    <spb s="10">
      <v>square km</v>
      <v>2015</v>
      <v>2020</v>
      <v>2016</v>
      <v>2016</v>
      <v>2015</v>
      <v>2015</v>
      <v>2010, 2016</v>
      <v>persons (2015)</v>
      <v>persons (2015)</v>
      <v>2015</v>
      <v>2015</v>
      <v>2015</v>
      <v>2015</v>
      <v>persons (2015)</v>
      <v>persons (2015)</v>
      <v>2015</v>
      <v>persons age 16+, 2015</v>
      <v>persons (2015)</v>
      <v>under age 65, 2015</v>
      <v>2015</v>
      <v>persons age 25+, 2015</v>
      <v>persons (2015)</v>
      <v>persons (2015)</v>
    </spb>
    <spb s="0">
      <v xml:space="preserve">Wikipedia	</v>
      <v xml:space="preserve">CC BY-SA 3.0	</v>
      <v xml:space="preserve">https://en.wikipedia.org/wiki/Michigan	</v>
      <v xml:space="preserve">https://creativecommons.org/licenses/by-sa/3.0	</v>
    </spb>
    <spb s="0">
      <v xml:space="preserve">Wikipedia	</v>
      <v xml:space="preserve">CC-BY-SA	</v>
      <v xml:space="preserve">http://en.wikipedia.org/wiki/Michigan	</v>
      <v xml:space="preserve">http://creativecommons.org/licenses/by-sa/3.0/	</v>
    </spb>
    <spb s="0">
      <v xml:space="preserve">Wikipedia	US Census	US Census	</v>
      <v xml:space="preserve">CC-BY-SA			</v>
      <v xml:space="preserve">http://en.wikipedia.org/wiki/Michigan	https://www.census.gov/popest/data/state/asrh/2014/files/SC-EST2014-AGESEX-CIV.csv	http://www.census.gov/quickfacts/table/WTN220212/26	</v>
      <v xml:space="preserve">http://creativecommons.org/licenses/by-sa/3.0/			</v>
    </spb>
    <spb s="9">
      <v>101</v>
      <v>101</v>
      <v>1</v>
      <v>101</v>
      <v>101</v>
      <v>101</v>
      <v>102</v>
      <v>101</v>
      <v>1</v>
      <v>101</v>
      <v>1</v>
      <v>103</v>
      <v>101</v>
      <v>1</v>
      <v>1</v>
      <v>1</v>
      <v>1</v>
      <v>103</v>
      <v>1</v>
      <v>1</v>
      <v>1</v>
      <v>1</v>
      <v>1</v>
      <v>1</v>
      <v>1</v>
      <v>1</v>
      <v>1</v>
      <v>103</v>
      <v>1</v>
      <v>1</v>
      <v>1</v>
    </spb>
    <spb s="0">
      <v xml:space="preserve">Wikipedia	</v>
      <v xml:space="preserve">CC BY-SA 3.0	</v>
      <v xml:space="preserve">https://en.wikipedia.org/wiki/Minnesota	</v>
      <v xml:space="preserve">https://creativecommons.org/licenses/by-sa/3.0	</v>
    </spb>
    <spb s="0">
      <v xml:space="preserve">Wikipedia	</v>
      <v xml:space="preserve">CC-BY-SA	</v>
      <v xml:space="preserve">http://en.wikipedia.org/wiki/Minnesota	</v>
      <v xml:space="preserve">http://creativecommons.org/licenses/by-sa/3.0/	</v>
    </spb>
    <spb s="0">
      <v xml:space="preserve">Wikipedia	US Census	US Census	</v>
      <v xml:space="preserve">CC-BY-SA			</v>
      <v xml:space="preserve">http://en.wikipedia.org/wiki/Minnesota	https://www.census.gov/popest/data/state/asrh/2014/files/SC-EST2014-AGESEX-CIV.csv	http://www.census.gov/quickfacts/table/WTN220212/27	</v>
      <v xml:space="preserve">http://creativecommons.org/licenses/by-sa/3.0/			</v>
    </spb>
    <spb s="1">
      <v>105</v>
      <v>105</v>
      <v>1</v>
      <v>105</v>
      <v>105</v>
      <v>105</v>
      <v>106</v>
      <v>105</v>
      <v>1</v>
      <v>105</v>
      <v>1</v>
      <v>107</v>
      <v>105</v>
      <v>1</v>
      <v>1</v>
      <v>1</v>
      <v>1</v>
      <v>107</v>
      <v>1</v>
      <v>1</v>
      <v>1</v>
      <v>1</v>
      <v>1</v>
      <v>1</v>
      <v>1</v>
      <v>1</v>
      <v>1</v>
      <v>107</v>
      <v>1</v>
      <v>1</v>
      <v>1</v>
      <v>1</v>
    </spb>
    <spb s="0">
      <v xml:space="preserve">Wikipedia	</v>
      <v xml:space="preserve">CC BY-SA 3.0	</v>
      <v xml:space="preserve">https://en.wikipedia.org/wiki/Missouri	</v>
      <v xml:space="preserve">https://creativecommons.org/licenses/by-sa/3.0	</v>
    </spb>
    <spb s="0">
      <v xml:space="preserve">Wikipedia	</v>
      <v xml:space="preserve">CC-BY-SA	</v>
      <v xml:space="preserve">http://en.wikipedia.org/wiki/Missouri	</v>
      <v xml:space="preserve">http://creativecommons.org/licenses/by-sa/3.0/	</v>
    </spb>
    <spb s="0">
      <v xml:space="preserve">Wikipedia	US Census	US Census	</v>
      <v xml:space="preserve">CC-BY-SA			</v>
      <v xml:space="preserve">http://en.wikipedia.org/wiki/Missouri	https://www.census.gov/popest/data/state/asrh/2014/files/SC-EST2014-AGESEX-CIV.csv	http://www.census.gov/quickfacts/table/WTN220212/29	</v>
      <v xml:space="preserve">http://creativecommons.org/licenses/by-sa/3.0/			</v>
    </spb>
    <spb s="1">
      <v>109</v>
      <v>109</v>
      <v>1</v>
      <v>109</v>
      <v>109</v>
      <v>109</v>
      <v>110</v>
      <v>109</v>
      <v>1</v>
      <v>109</v>
      <v>1</v>
      <v>111</v>
      <v>109</v>
      <v>1</v>
      <v>1</v>
      <v>1</v>
      <v>1</v>
      <v>111</v>
      <v>1</v>
      <v>1</v>
      <v>1</v>
      <v>1</v>
      <v>1</v>
      <v>1</v>
      <v>1</v>
      <v>1</v>
      <v>1</v>
      <v>111</v>
      <v>1</v>
      <v>1</v>
      <v>1</v>
      <v>1</v>
    </spb>
    <spb s="0">
      <v xml:space="preserve">Wikipedia	</v>
      <v xml:space="preserve">CC BY-SA 3.0	</v>
      <v xml:space="preserve">https://en.wikipedia.org/wiki/Mississippi	</v>
      <v xml:space="preserve">https://creativecommons.org/licenses/by-sa/3.0	</v>
    </spb>
    <spb s="0">
      <v xml:space="preserve">Wikipedia	</v>
      <v xml:space="preserve">CC-BY-SA	</v>
      <v xml:space="preserve">http://en.wikipedia.org/wiki/Mississippi	</v>
      <v xml:space="preserve">http://creativecommons.org/licenses/by-sa/3.0/	</v>
    </spb>
    <spb s="0">
      <v xml:space="preserve">Wikipedia	US Census	US Census	</v>
      <v xml:space="preserve">CC-BY-SA			</v>
      <v xml:space="preserve">http://en.wikipedia.org/wiki/Mississippi	https://www.census.gov/popest/data/state/asrh/2014/files/SC-EST2014-AGESEX-CIV.csv	http://www.census.gov/quickfacts/table/WTN220212/28	</v>
      <v xml:space="preserve">http://creativecommons.org/licenses/by-sa/3.0/			</v>
    </spb>
    <spb s="1">
      <v>113</v>
      <v>113</v>
      <v>1</v>
      <v>113</v>
      <v>113</v>
      <v>113</v>
      <v>114</v>
      <v>113</v>
      <v>1</v>
      <v>113</v>
      <v>1</v>
      <v>115</v>
      <v>113</v>
      <v>1</v>
      <v>1</v>
      <v>1</v>
      <v>1</v>
      <v>115</v>
      <v>1</v>
      <v>1</v>
      <v>1</v>
      <v>1</v>
      <v>1</v>
      <v>1</v>
      <v>1</v>
      <v>1</v>
      <v>1</v>
      <v>115</v>
      <v>1</v>
      <v>1</v>
      <v>1</v>
      <v>1</v>
    </spb>
    <spb s="0">
      <v xml:space="preserve">Wikipedia	</v>
      <v xml:space="preserve">CC BY-SA 3.0	</v>
      <v xml:space="preserve">https://en.wikipedia.org/wiki/Montana	</v>
      <v xml:space="preserve">https://creativecommons.org/licenses/by-sa/3.0	</v>
    </spb>
    <spb s="0">
      <v xml:space="preserve">Wikipedia	</v>
      <v xml:space="preserve">CC-BY-SA	</v>
      <v xml:space="preserve">http://en.wikipedia.org/wiki/Montana	</v>
      <v xml:space="preserve">http://creativecommons.org/licenses/by-sa/3.0/	</v>
    </spb>
    <spb s="0">
      <v xml:space="preserve">Wikipedia	US Census	US Census	</v>
      <v xml:space="preserve">CC-BY-SA			</v>
      <v xml:space="preserve">http://en.wikipedia.org/wiki/Montana	https://www.census.gov/popest/data/state/asrh/2014/files/SC-EST2014-AGESEX-CIV.csv	http://www.census.gov/quickfacts/table/lnd110210/30	</v>
      <v xml:space="preserve">http://creativecommons.org/licenses/by-sa/3.0/			</v>
    </spb>
    <spb s="1">
      <v>117</v>
      <v>117</v>
      <v>1</v>
      <v>117</v>
      <v>117</v>
      <v>117</v>
      <v>118</v>
      <v>117</v>
      <v>1</v>
      <v>117</v>
      <v>1</v>
      <v>119</v>
      <v>117</v>
      <v>1</v>
      <v>1</v>
      <v>1</v>
      <v>1</v>
      <v>119</v>
      <v>1</v>
      <v>1</v>
      <v>1</v>
      <v>1</v>
      <v>1</v>
      <v>1</v>
      <v>1</v>
      <v>1</v>
      <v>1</v>
      <v>119</v>
      <v>1</v>
      <v>1</v>
      <v>1</v>
      <v>1</v>
    </spb>
    <spb s="0">
      <v xml:space="preserve">Wikipedia	</v>
      <v xml:space="preserve">CC BY-SA 3.0	</v>
      <v xml:space="preserve">https://en.wikipedia.org/wiki/North_Carolina	</v>
      <v xml:space="preserve">https://creativecommons.org/licenses/by-sa/3.0	</v>
    </spb>
    <spb s="0">
      <v xml:space="preserve">Wikipedia	</v>
      <v xml:space="preserve">CC-BY-SA	</v>
      <v xml:space="preserve">http://en.wikipedia.org/wiki/North_Carolina	</v>
      <v xml:space="preserve">http://creativecommons.org/licenses/by-sa/3.0/	</v>
    </spb>
    <spb s="0">
      <v xml:space="preserve">Wikipedia	US Census	US Census	</v>
      <v xml:space="preserve">CC-BY-SA			</v>
      <v xml:space="preserve">http://en.wikipedia.org/wiki/North_Carolina	https://www.census.gov/popest/data/state/asrh/2014/files/SC-EST2014-AGESEX-CIV.csv	http://www.census.gov/quickfacts/table/WTN220212/37	</v>
      <v xml:space="preserve">http://creativecommons.org/licenses/by-sa/3.0/			</v>
    </spb>
    <spb s="1">
      <v>121</v>
      <v>121</v>
      <v>1</v>
      <v>121</v>
      <v>121</v>
      <v>121</v>
      <v>122</v>
      <v>121</v>
      <v>1</v>
      <v>121</v>
      <v>1</v>
      <v>123</v>
      <v>121</v>
      <v>1</v>
      <v>1</v>
      <v>1</v>
      <v>1</v>
      <v>123</v>
      <v>1</v>
      <v>1</v>
      <v>1</v>
      <v>1</v>
      <v>1</v>
      <v>1</v>
      <v>1</v>
      <v>1</v>
      <v>1</v>
      <v>123</v>
      <v>1</v>
      <v>1</v>
      <v>1</v>
      <v>1</v>
    </spb>
    <spb s="0">
      <v xml:space="preserve">Wikipedia	</v>
      <v xml:space="preserve">CC BY-SA 3.0	</v>
      <v xml:space="preserve">https://en.wikipedia.org/wiki/North_Dakota	</v>
      <v xml:space="preserve">https://creativecommons.org/licenses/by-sa/3.0	</v>
    </spb>
    <spb s="0">
      <v xml:space="preserve">Wikipedia	</v>
      <v xml:space="preserve">CC-BY-SA	</v>
      <v xml:space="preserve">http://en.wikipedia.org/wiki/North_Dakota	</v>
      <v xml:space="preserve">http://creativecommons.org/licenses/by-sa/3.0/	</v>
    </spb>
    <spb s="0">
      <v xml:space="preserve">Wikipedia	US Census	US Census	</v>
      <v xml:space="preserve">CC-BY-SA			</v>
      <v xml:space="preserve">http://en.wikipedia.org/wiki/North_Dakota	https://www.census.gov/popest/data/state/asrh/2014/files/SC-EST2014-AGESEX-CIV.csv	http://www.census.gov/quickfacts/table/VET605214/38	</v>
      <v xml:space="preserve">http://creativecommons.org/licenses/by-sa/3.0/			</v>
    </spb>
    <spb s="1">
      <v>125</v>
      <v>125</v>
      <v>1</v>
      <v>125</v>
      <v>125</v>
      <v>125</v>
      <v>126</v>
      <v>125</v>
      <v>1</v>
      <v>125</v>
      <v>1</v>
      <v>127</v>
      <v>125</v>
      <v>1</v>
      <v>1</v>
      <v>1</v>
      <v>1</v>
      <v>127</v>
      <v>1</v>
      <v>1</v>
      <v>1</v>
      <v>1</v>
      <v>1</v>
      <v>1</v>
      <v>1</v>
      <v>1</v>
      <v>1</v>
      <v>127</v>
      <v>1</v>
      <v>1</v>
      <v>1</v>
      <v>1</v>
    </spb>
    <spb s="0">
      <v xml:space="preserve">Wikipedia	</v>
      <v xml:space="preserve">CC BY-SA 3.0	</v>
      <v xml:space="preserve">https://en.wikipedia.org/wiki/Nebraska	</v>
      <v xml:space="preserve">https://creativecommons.org/licenses/by-sa/3.0	</v>
    </spb>
    <spb s="0">
      <v xml:space="preserve">Wikipedia	</v>
      <v xml:space="preserve">CC-BY-SA	</v>
      <v xml:space="preserve">http://en.wikipedia.org/wiki/Nebraska	</v>
      <v xml:space="preserve">http://creativecommons.org/licenses/by-sa/3.0/	</v>
    </spb>
    <spb s="0">
      <v xml:space="preserve">Wikipedia	US Census	LinkedIn	</v>
      <v xml:space="preserve">CC-BY-SA			</v>
      <v xml:space="preserve">http://en.wikipedia.org/wiki/Nebraska	https://www.census.gov/popest/data/state/asrh/2014/files/SC-EST2014-AGESEX-CIV.csv	https://www.linkedin.com/company/audubon-nebraska	</v>
      <v xml:space="preserve">http://creativecommons.org/licenses/by-sa/3.0/			</v>
    </spb>
    <spb s="1">
      <v>129</v>
      <v>129</v>
      <v>1</v>
      <v>129</v>
      <v>129</v>
      <v>129</v>
      <v>130</v>
      <v>129</v>
      <v>1</v>
      <v>129</v>
      <v>1</v>
      <v>131</v>
      <v>129</v>
      <v>1</v>
      <v>1</v>
      <v>1</v>
      <v>1</v>
      <v>131</v>
      <v>1</v>
      <v>1</v>
      <v>1</v>
      <v>1</v>
      <v>1</v>
      <v>1</v>
      <v>1</v>
      <v>1</v>
      <v>1</v>
      <v>131</v>
      <v>1</v>
      <v>1</v>
      <v>1</v>
      <v>1</v>
    </spb>
    <spb s="0">
      <v xml:space="preserve">Wikipedia	</v>
      <v xml:space="preserve">CC BY-SA 3.0	</v>
      <v xml:space="preserve">https://en.wikipedia.org/wiki/New_Hampshire	</v>
      <v xml:space="preserve">https://creativecommons.org/licenses/by-sa/3.0	</v>
    </spb>
    <spb s="0">
      <v xml:space="preserve">Wikipedia	</v>
      <v xml:space="preserve">CC-BY-SA	</v>
      <v xml:space="preserve">http://en.wikipedia.org/wiki/New_Hampshire	</v>
      <v xml:space="preserve">http://creativecommons.org/licenses/by-sa/3.0/	</v>
    </spb>
    <spb s="0">
      <v xml:space="preserve">Wikipedia	US Census	Bookdepository	</v>
      <v xml:space="preserve">CC-BY-SA			</v>
      <v xml:space="preserve">http://en.wikipedia.org/wiki/New_Hampshire	https://www.census.gov/popest/data/state/asrh/2014/files/SC-EST2014-AGESEX-CIV.csv	https://www.bookdepository.com/author/New-Hampshire	</v>
      <v xml:space="preserve">http://creativecommons.org/licenses/by-sa/3.0/			</v>
    </spb>
    <spb s="9">
      <v>133</v>
      <v>133</v>
      <v>1</v>
      <v>133</v>
      <v>133</v>
      <v>133</v>
      <v>134</v>
      <v>133</v>
      <v>1</v>
      <v>133</v>
      <v>1</v>
      <v>135</v>
      <v>133</v>
      <v>1</v>
      <v>1</v>
      <v>1</v>
      <v>1</v>
      <v>135</v>
      <v>1</v>
      <v>1</v>
      <v>1</v>
      <v>1</v>
      <v>1</v>
      <v>1</v>
      <v>1</v>
      <v>1</v>
      <v>1</v>
      <v>135</v>
      <v>1</v>
      <v>1</v>
      <v>1</v>
    </spb>
    <spb s="2">
      <v>4</v>
      <v>Name</v>
      <v>LearnMoreOnLink</v>
    </spb>
    <spb s="0">
      <v xml:space="preserve">Wikipedia	</v>
      <v xml:space="preserve">CC BY-SA 3.0	</v>
      <v xml:space="preserve">https://en.wikipedia.org/wiki/New_Jersey	</v>
      <v xml:space="preserve">https://creativecommons.org/licenses/by-sa/3.0	</v>
    </spb>
    <spb s="0">
      <v xml:space="preserve">Wikipedia	</v>
      <v xml:space="preserve">CC-BY-SA	</v>
      <v xml:space="preserve">http://en.wikipedia.org/wiki/New_Jersey	</v>
      <v xml:space="preserve">http://creativecommons.org/licenses/by-sa/3.0/	</v>
    </spb>
    <spb s="0">
      <v xml:space="preserve">Wikipedia	US Census	US Census	</v>
      <v xml:space="preserve">CC-BY-SA			</v>
      <v xml:space="preserve">http://en.wikipedia.org/wiki/New_Jersey	https://www.census.gov/popest/data/state/asrh/2014/files/SC-EST2014-AGESEX-CIV.csv	http://www.census.gov/quickfacts/table/WTN220212/34	</v>
      <v xml:space="preserve">http://creativecommons.org/licenses/by-sa/3.0/			</v>
    </spb>
    <spb s="1">
      <v>138</v>
      <v>138</v>
      <v>1</v>
      <v>138</v>
      <v>138</v>
      <v>138</v>
      <v>139</v>
      <v>138</v>
      <v>1</v>
      <v>138</v>
      <v>1</v>
      <v>140</v>
      <v>138</v>
      <v>1</v>
      <v>1</v>
      <v>1</v>
      <v>1</v>
      <v>140</v>
      <v>1</v>
      <v>1</v>
      <v>1</v>
      <v>1</v>
      <v>1</v>
      <v>1</v>
      <v>1</v>
      <v>1</v>
      <v>1</v>
      <v>140</v>
      <v>1</v>
      <v>1</v>
      <v>1</v>
      <v>1</v>
    </spb>
    <spb s="0">
      <v xml:space="preserve">Wikipedia	</v>
      <v xml:space="preserve">CC BY-SA 3.0	</v>
      <v xml:space="preserve">https://en.wikipedia.org/wiki/New_Mexico	</v>
      <v xml:space="preserve">https://creativecommons.org/licenses/by-sa/3.0	</v>
    </spb>
    <spb s="0">
      <v xml:space="preserve">Wikipedia	</v>
      <v xml:space="preserve">CC-BY-SA	</v>
      <v xml:space="preserve">http://en.wikipedia.org/wiki/New_Mexico	</v>
      <v xml:space="preserve">http://creativecommons.org/licenses/by-sa/3.0/	</v>
    </spb>
    <spb s="0">
      <v xml:space="preserve">Wikipedia	US Census	US Census	</v>
      <v xml:space="preserve">CC-BY-SA			</v>
      <v xml:space="preserve">http://en.wikipedia.org/wiki/New_Mexico	https://www.census.gov/popest/data/state/asrh/2014/files/SC-EST2014-AGESEX-CIV.csv	http://www.census.gov/quickfacts/table/WTN220212/35	</v>
      <v xml:space="preserve">http://creativecommons.org/licenses/by-sa/3.0/			</v>
    </spb>
    <spb s="1">
      <v>142</v>
      <v>142</v>
      <v>1</v>
      <v>142</v>
      <v>142</v>
      <v>142</v>
      <v>143</v>
      <v>142</v>
      <v>1</v>
      <v>142</v>
      <v>1</v>
      <v>144</v>
      <v>142</v>
      <v>1</v>
      <v>1</v>
      <v>1</v>
      <v>1</v>
      <v>144</v>
      <v>1</v>
      <v>1</v>
      <v>1</v>
      <v>1</v>
      <v>1</v>
      <v>1</v>
      <v>1</v>
      <v>1</v>
      <v>1</v>
      <v>144</v>
      <v>1</v>
      <v>1</v>
      <v>1</v>
      <v>1</v>
    </spb>
    <spb s="2">
      <v>5</v>
      <v>Name</v>
      <v>LearnMoreOnLink</v>
    </spb>
    <spb s="0">
      <v xml:space="preserve">Wikipedia	</v>
      <v xml:space="preserve">CC BY-SA 3.0	</v>
      <v xml:space="preserve">https://en.wikipedia.org/wiki/Nevada	</v>
      <v xml:space="preserve">https://creativecommons.org/licenses/by-sa/3.0	</v>
    </spb>
    <spb s="0">
      <v xml:space="preserve">Wikipedia	</v>
      <v xml:space="preserve">CC-BY-SA	</v>
      <v xml:space="preserve">http://en.wikipedia.org/wiki/Nevada	</v>
      <v xml:space="preserve">http://creativecommons.org/licenses/by-sa/3.0/	</v>
    </spb>
    <spb s="0">
      <v xml:space="preserve">Wikipedia	US Census	US Census	</v>
      <v xml:space="preserve">CC-BY-SA			</v>
      <v xml:space="preserve">http://en.wikipedia.org/wiki/Nevada	https://www.census.gov/popest/data/state/asrh/2014/files/SC-EST2014-AGESEX-CIV.csv	http://www.census.gov/quickfacts/table/WTN220212/32	</v>
      <v xml:space="preserve">http://creativecommons.org/licenses/by-sa/3.0/			</v>
    </spb>
    <spb s="1">
      <v>147</v>
      <v>147</v>
      <v>1</v>
      <v>147</v>
      <v>147</v>
      <v>147</v>
      <v>148</v>
      <v>147</v>
      <v>1</v>
      <v>147</v>
      <v>1</v>
      <v>149</v>
      <v>147</v>
      <v>1</v>
      <v>1</v>
      <v>1</v>
      <v>1</v>
      <v>149</v>
      <v>1</v>
      <v>1</v>
      <v>1</v>
      <v>1</v>
      <v>1</v>
      <v>1</v>
      <v>1</v>
      <v>1</v>
      <v>1</v>
      <v>149</v>
      <v>1</v>
      <v>1</v>
      <v>1</v>
      <v>1</v>
    </spb>
    <spb s="0">
      <v xml:space="preserve">Wikipedia	</v>
      <v xml:space="preserve">CC BY-SA 3.0	</v>
      <v xml:space="preserve">https://en.wikipedia.org/wiki/New_York_(state)	</v>
      <v xml:space="preserve">https://creativecommons.org/licenses/by-sa/3.0	</v>
    </spb>
    <spb s="0">
      <v xml:space="preserve">Wikipedia	</v>
      <v xml:space="preserve">CC-BY-SA	</v>
      <v xml:space="preserve">http://en.wikipedia.org/wiki/New_York_(state)	</v>
      <v xml:space="preserve">http://creativecommons.org/licenses/by-sa/3.0/	</v>
    </spb>
    <spb s="0">
      <v xml:space="preserve">Wikipedia	Wikipedia	US Census	US Census	</v>
      <v xml:space="preserve">CC-BY-SA	CC-BY-SA			</v>
      <v xml:space="preserve">http://en.wikipedia.org/wiki/New_York_(state)	http://en.wikipedia.org/wiki/New_York	https://www.census.gov/popest/data/state/asrh/2014/files/SC-EST2014-AGESEX-CIV.csv	http://www.census.gov/quickfacts/table/WTN220212/36	</v>
      <v xml:space="preserve">http://creativecommons.org/licenses/by-sa/3.0/	http://creativecommons.org/licenses/by-sa/3.0/			</v>
    </spb>
    <spb s="1">
      <v>151</v>
      <v>151</v>
      <v>1</v>
      <v>151</v>
      <v>151</v>
      <v>151</v>
      <v>152</v>
      <v>151</v>
      <v>1</v>
      <v>151</v>
      <v>1</v>
      <v>153</v>
      <v>151</v>
      <v>1</v>
      <v>1</v>
      <v>1</v>
      <v>1</v>
      <v>153</v>
      <v>1</v>
      <v>1</v>
      <v>1</v>
      <v>1</v>
      <v>1</v>
      <v>1</v>
      <v>1</v>
      <v>1</v>
      <v>1</v>
      <v>153</v>
      <v>1</v>
      <v>1</v>
      <v>1</v>
      <v>1</v>
    </spb>
    <spb s="0">
      <v xml:space="preserve">Wikipedia	</v>
      <v xml:space="preserve">CC BY-SA 3.0	</v>
      <v xml:space="preserve">https://en.wikipedia.org/wiki/Ohio	</v>
      <v xml:space="preserve">https://creativecommons.org/licenses/by-sa/3.0	</v>
    </spb>
    <spb s="0">
      <v xml:space="preserve">Wikipedia	</v>
      <v xml:space="preserve">CC-BY-SA	</v>
      <v xml:space="preserve">http://en.wikipedia.org/wiki/Ohio	</v>
      <v xml:space="preserve">http://creativecommons.org/licenses/by-sa/3.0/	</v>
    </spb>
    <spb s="0">
      <v xml:space="preserve">Wikipedia	US Census	US Census	</v>
      <v xml:space="preserve">CC-BY-SA			</v>
      <v xml:space="preserve">http://en.wikipedia.org/wiki/Ohio	https://www.census.gov/popest/data/state/asrh/2014/files/SC-EST2014-AGESEX-CIV.csv	http://www.census.gov/quickfacts/table/WTN220212/39	</v>
      <v xml:space="preserve">http://creativecommons.org/licenses/by-sa/3.0/			</v>
    </spb>
    <spb s="1">
      <v>155</v>
      <v>155</v>
      <v>1</v>
      <v>155</v>
      <v>155</v>
      <v>155</v>
      <v>156</v>
      <v>155</v>
      <v>1</v>
      <v>155</v>
      <v>1</v>
      <v>157</v>
      <v>155</v>
      <v>1</v>
      <v>1</v>
      <v>1</v>
      <v>1</v>
      <v>157</v>
      <v>1</v>
      <v>1</v>
      <v>1</v>
      <v>1</v>
      <v>1</v>
      <v>1</v>
      <v>1</v>
      <v>1</v>
      <v>1</v>
      <v>157</v>
      <v>1</v>
      <v>1</v>
      <v>1</v>
      <v>1</v>
    </spb>
    <spb s="0">
      <v xml:space="preserve">Wikipedia	</v>
      <v xml:space="preserve">CC BY-SA 3.0	</v>
      <v xml:space="preserve">https://en.wikipedia.org/wiki/Oklahoma	</v>
      <v xml:space="preserve">https://creativecommons.org/licenses/by-sa/3.0	</v>
    </spb>
    <spb s="0">
      <v xml:space="preserve">Wikipedia	</v>
      <v xml:space="preserve">CC-BY-SA	</v>
      <v xml:space="preserve">http://en.wikipedia.org/wiki/Oklahoma	</v>
      <v xml:space="preserve">http://creativecommons.org/licenses/by-sa/3.0/	</v>
    </spb>
    <spb s="0">
      <v xml:space="preserve">Wikipedia	US Census	US Census	</v>
      <v xml:space="preserve">CC-BY-SA			</v>
      <v xml:space="preserve">http://en.wikipedia.org/wiki/Oklahoma	https://www.census.gov/popest/data/state/asrh/2014/files/SC-EST2014-AGESEX-CIV.csv	http://www.census.gov/quickfacts/table/WTN220212/40	</v>
      <v xml:space="preserve">http://creativecommons.org/licenses/by-sa/3.0/			</v>
    </spb>
    <spb s="1">
      <v>159</v>
      <v>159</v>
      <v>1</v>
      <v>159</v>
      <v>159</v>
      <v>159</v>
      <v>160</v>
      <v>159</v>
      <v>1</v>
      <v>159</v>
      <v>1</v>
      <v>161</v>
      <v>159</v>
      <v>1</v>
      <v>1</v>
      <v>1</v>
      <v>1</v>
      <v>161</v>
      <v>1</v>
      <v>1</v>
      <v>1</v>
      <v>1</v>
      <v>1</v>
      <v>1</v>
      <v>1</v>
      <v>1</v>
      <v>1</v>
      <v>161</v>
      <v>1</v>
      <v>1</v>
      <v>1</v>
      <v>1</v>
    </spb>
    <spb s="0">
      <v xml:space="preserve">Wikipedia	</v>
      <v xml:space="preserve">CC BY-SA 3.0	</v>
      <v xml:space="preserve">https://en.wikipedia.org/wiki/Oregon	</v>
      <v xml:space="preserve">https://creativecommons.org/licenses/by-sa/3.0	</v>
    </spb>
    <spb s="0">
      <v xml:space="preserve">Wikipedia	</v>
      <v xml:space="preserve">CC-BY-SA	</v>
      <v xml:space="preserve">http://en.wikipedia.org/wiki/Oregon	</v>
      <v xml:space="preserve">http://creativecommons.org/licenses/by-sa/3.0/	</v>
    </spb>
    <spb s="0">
      <v xml:space="preserve">Wikipedia	US Census	US Census	</v>
      <v xml:space="preserve">CC-BY-SA			</v>
      <v xml:space="preserve">http://en.wikipedia.org/wiki/Oregon	https://www.census.gov/popest/data/state/asrh/2014/files/SC-EST2014-AGESEX-CIV.csv	http://www.census.gov/quickfacts/table/WTN220212/41	</v>
      <v xml:space="preserve">http://creativecommons.org/licenses/by-sa/3.0/			</v>
    </spb>
    <spb s="1">
      <v>163</v>
      <v>163</v>
      <v>1</v>
      <v>163</v>
      <v>163</v>
      <v>163</v>
      <v>164</v>
      <v>163</v>
      <v>1</v>
      <v>163</v>
      <v>1</v>
      <v>165</v>
      <v>163</v>
      <v>1</v>
      <v>1</v>
      <v>1</v>
      <v>1</v>
      <v>165</v>
      <v>1</v>
      <v>1</v>
      <v>1</v>
      <v>1</v>
      <v>1</v>
      <v>1</v>
      <v>1</v>
      <v>1</v>
      <v>1</v>
      <v>165</v>
      <v>1</v>
      <v>1</v>
      <v>1</v>
      <v>1</v>
    </spb>
    <spb s="0">
      <v xml:space="preserve">Wikipedia	</v>
      <v xml:space="preserve">CC BY-SA 3.0	</v>
      <v xml:space="preserve">https://en.wikipedia.org/wiki/Pennsylvania	</v>
      <v xml:space="preserve">https://creativecommons.org/licenses/by-sa/3.0	</v>
    </spb>
    <spb s="0">
      <v xml:space="preserve">Wikipedia	</v>
      <v xml:space="preserve">CC-BY-SA	</v>
      <v xml:space="preserve">http://en.wikipedia.org/wiki/Pennsylvania	</v>
      <v xml:space="preserve">http://creativecommons.org/licenses/by-sa/3.0/	</v>
    </spb>
    <spb s="0">
      <v xml:space="preserve">Wikipedia	US Census	US Census	</v>
      <v xml:space="preserve">CC-BY-SA			</v>
      <v xml:space="preserve">http://en.wikipedia.org/wiki/Pennsylvania	https://www.census.gov/popest/data/state/asrh/2014/files/SC-EST2014-AGESEX-CIV.csv	http://www.census.gov/quickfacts/table/WTN220212/42	</v>
      <v xml:space="preserve">http://creativecommons.org/licenses/by-sa/3.0/			</v>
    </spb>
    <spb s="1">
      <v>167</v>
      <v>167</v>
      <v>1</v>
      <v>167</v>
      <v>167</v>
      <v>167</v>
      <v>168</v>
      <v>167</v>
      <v>1</v>
      <v>167</v>
      <v>1</v>
      <v>169</v>
      <v>167</v>
      <v>1</v>
      <v>1</v>
      <v>1</v>
      <v>1</v>
      <v>169</v>
      <v>1</v>
      <v>1</v>
      <v>1</v>
      <v>1</v>
      <v>1</v>
      <v>1</v>
      <v>1</v>
      <v>1</v>
      <v>1</v>
      <v>169</v>
      <v>1</v>
      <v>1</v>
      <v>1</v>
      <v>1</v>
    </spb>
    <spb s="0">
      <v xml:space="preserve">Wikipedia	</v>
      <v xml:space="preserve">CC BY-SA 3.0	</v>
      <v xml:space="preserve">https://en.wikipedia.org/wiki/Rhode_Island	</v>
      <v xml:space="preserve">https://creativecommons.org/licenses/by-sa/3.0	</v>
    </spb>
    <spb s="0">
      <v xml:space="preserve">Wikipedia	</v>
      <v xml:space="preserve">CC-BY-SA	</v>
      <v xml:space="preserve">http://en.wikipedia.org/wiki/Rhode_Island	</v>
      <v xml:space="preserve">http://creativecommons.org/licenses/by-sa/3.0/	</v>
    </spb>
    <spb s="0">
      <v xml:space="preserve">Wikipedia	US Census	US Census	</v>
      <v xml:space="preserve">CC-BY-SA			</v>
      <v xml:space="preserve">http://en.wikipedia.org/wiki/Rhode_Island	https://www.census.gov/popest/data/state/asrh/2014/files/SC-EST2014-AGESEX-CIV.csv	http://www.census.gov/quickfacts/table/WTN220212/44	</v>
      <v xml:space="preserve">http://creativecommons.org/licenses/by-sa/3.0/			</v>
    </spb>
    <spb s="1">
      <v>171</v>
      <v>171</v>
      <v>1</v>
      <v>171</v>
      <v>171</v>
      <v>171</v>
      <v>172</v>
      <v>171</v>
      <v>1</v>
      <v>171</v>
      <v>1</v>
      <v>173</v>
      <v>171</v>
      <v>1</v>
      <v>1</v>
      <v>1</v>
      <v>1</v>
      <v>173</v>
      <v>1</v>
      <v>1</v>
      <v>1</v>
      <v>1</v>
      <v>1</v>
      <v>1</v>
      <v>1</v>
      <v>1</v>
      <v>1</v>
      <v>173</v>
      <v>1</v>
      <v>1</v>
      <v>1</v>
      <v>1</v>
    </spb>
    <spb s="0">
      <v xml:space="preserve">Wikipedia	</v>
      <v xml:space="preserve">CC BY-SA 3.0	</v>
      <v xml:space="preserve">https://en.wikipedia.org/wiki/South_Carolina	</v>
      <v xml:space="preserve">https://creativecommons.org/licenses/by-sa/3.0	</v>
    </spb>
    <spb s="0">
      <v xml:space="preserve">Wikipedia	</v>
      <v xml:space="preserve">CC-BY-SA	</v>
      <v xml:space="preserve">http://en.wikipedia.org/wiki/South_Carolina	</v>
      <v xml:space="preserve">http://creativecommons.org/licenses/by-sa/3.0/	</v>
    </spb>
    <spb s="0">
      <v xml:space="preserve">Wikipedia	US Census	US Census	</v>
      <v xml:space="preserve">CC-BY-SA			</v>
      <v xml:space="preserve">http://en.wikipedia.org/wiki/South_Carolina	https://www.census.gov/popest/data/state/asrh/2014/files/SC-EST2014-AGESEX-CIV.csv	http://www.census.gov/quickfacts/table/WTN220212/45	</v>
      <v xml:space="preserve">http://creativecommons.org/licenses/by-sa/3.0/			</v>
    </spb>
    <spb s="1">
      <v>175</v>
      <v>175</v>
      <v>1</v>
      <v>175</v>
      <v>175</v>
      <v>175</v>
      <v>176</v>
      <v>175</v>
      <v>1</v>
      <v>175</v>
      <v>1</v>
      <v>177</v>
      <v>175</v>
      <v>1</v>
      <v>1</v>
      <v>1</v>
      <v>1</v>
      <v>177</v>
      <v>1</v>
      <v>1</v>
      <v>1</v>
      <v>1</v>
      <v>1</v>
      <v>1</v>
      <v>1</v>
      <v>1</v>
      <v>1</v>
      <v>177</v>
      <v>1</v>
      <v>1</v>
      <v>1</v>
      <v>1</v>
    </spb>
    <spb s="0">
      <v xml:space="preserve">Wikipedia	</v>
      <v xml:space="preserve">CC BY-SA 3.0	</v>
      <v xml:space="preserve">https://en.wikipedia.org/wiki/South_Dakota	</v>
      <v xml:space="preserve">https://creativecommons.org/licenses/by-sa/3.0	</v>
    </spb>
    <spb s="0">
      <v xml:space="preserve">Wikipedia	</v>
      <v xml:space="preserve">CC-BY-SA	</v>
      <v xml:space="preserve">http://en.wikipedia.org/wiki/South_Dakota	</v>
      <v xml:space="preserve">http://creativecommons.org/licenses/by-sa/3.0/	</v>
    </spb>
    <spb s="0">
      <v xml:space="preserve">Wikipedia	US Census	US Census	</v>
      <v xml:space="preserve">CC-BY-SA			</v>
      <v xml:space="preserve">http://en.wikipedia.org/wiki/South_Dakota	https://www.census.gov/popest/data/state/asrh/2014/files/SC-EST2014-AGESEX-CIV.csv	http://www.census.gov/quickfacts/table/WTN220212/46	</v>
      <v xml:space="preserve">http://creativecommons.org/licenses/by-sa/3.0/			</v>
    </spb>
    <spb s="1">
      <v>179</v>
      <v>179</v>
      <v>1</v>
      <v>179</v>
      <v>179</v>
      <v>179</v>
      <v>180</v>
      <v>179</v>
      <v>1</v>
      <v>179</v>
      <v>1</v>
      <v>181</v>
      <v>179</v>
      <v>1</v>
      <v>1</v>
      <v>1</v>
      <v>1</v>
      <v>181</v>
      <v>1</v>
      <v>1</v>
      <v>1</v>
      <v>1</v>
      <v>1</v>
      <v>1</v>
      <v>1</v>
      <v>1</v>
      <v>1</v>
      <v>181</v>
      <v>1</v>
      <v>1</v>
      <v>1</v>
      <v>1</v>
    </spb>
    <spb s="0">
      <v xml:space="preserve">Wikipedia	</v>
      <v xml:space="preserve">CC BY-SA 3.0	</v>
      <v xml:space="preserve">https://en.wikipedia.org/wiki/Tennessee	</v>
      <v xml:space="preserve">https://creativecommons.org/licenses/by-sa/3.0	</v>
    </spb>
    <spb s="0">
      <v xml:space="preserve">Wikipedia	</v>
      <v xml:space="preserve">CC-BY-SA	</v>
      <v xml:space="preserve">http://en.wikipedia.org/wiki/Tennessee	</v>
      <v xml:space="preserve">http://creativecommons.org/licenses/by-sa/3.0/	</v>
    </spb>
    <spb s="0">
      <v xml:space="preserve">Wikipedia	US Census	US Census	</v>
      <v xml:space="preserve">CC-BY-SA			</v>
      <v xml:space="preserve">http://en.wikipedia.org/wiki/Tennessee	https://www.census.gov/popest/data/state/asrh/2014/files/SC-EST2014-AGESEX-CIV.csv	http://www.census.gov/quickfacts/table/WTN220212/47	</v>
      <v xml:space="preserve">http://creativecommons.org/licenses/by-sa/3.0/			</v>
    </spb>
    <spb s="1">
      <v>183</v>
      <v>183</v>
      <v>1</v>
      <v>183</v>
      <v>183</v>
      <v>183</v>
      <v>184</v>
      <v>183</v>
      <v>1</v>
      <v>183</v>
      <v>1</v>
      <v>185</v>
      <v>183</v>
      <v>1</v>
      <v>1</v>
      <v>1</v>
      <v>1</v>
      <v>185</v>
      <v>1</v>
      <v>1</v>
      <v>1</v>
      <v>1</v>
      <v>1</v>
      <v>1</v>
      <v>1</v>
      <v>1</v>
      <v>1</v>
      <v>185</v>
      <v>1</v>
      <v>1</v>
      <v>1</v>
      <v>1</v>
    </spb>
    <spb s="0">
      <v xml:space="preserve">Wikipedia	</v>
      <v xml:space="preserve">CC BY-SA 3.0	</v>
      <v xml:space="preserve">https://en.wikipedia.org/wiki/Texas	</v>
      <v xml:space="preserve">https://creativecommons.org/licenses/by-sa/3.0	</v>
    </spb>
    <spb s="0">
      <v xml:space="preserve">Wikipedia	</v>
      <v xml:space="preserve">CC-BY-SA	</v>
      <v xml:space="preserve">http://en.wikipedia.org/wiki/Texas	</v>
      <v xml:space="preserve">http://creativecommons.org/licenses/by-sa/3.0/	</v>
    </spb>
    <spb s="0">
      <v xml:space="preserve">Wikipedia	US Census	US Census	</v>
      <v xml:space="preserve">CC-BY-SA			</v>
      <v xml:space="preserve">http://en.wikipedia.org/wiki/Texas	https://www.census.gov/popest/data/state/asrh/2014/files/SC-EST2014-AGESEX-CIV.csv	http://www.census.gov/quickfacts/table/WTN220212/48	</v>
      <v xml:space="preserve">http://creativecommons.org/licenses/by-sa/3.0/			</v>
    </spb>
    <spb s="1">
      <v>187</v>
      <v>187</v>
      <v>1</v>
      <v>187</v>
      <v>187</v>
      <v>187</v>
      <v>188</v>
      <v>187</v>
      <v>1</v>
      <v>187</v>
      <v>1</v>
      <v>189</v>
      <v>187</v>
      <v>1</v>
      <v>1</v>
      <v>1</v>
      <v>1</v>
      <v>189</v>
      <v>1</v>
      <v>1</v>
      <v>1</v>
      <v>1</v>
      <v>1</v>
      <v>1</v>
      <v>1</v>
      <v>1</v>
      <v>1</v>
      <v>189</v>
      <v>1</v>
      <v>1</v>
      <v>1</v>
      <v>1</v>
    </spb>
    <spb s="0">
      <v xml:space="preserve">Wikipedia	</v>
      <v xml:space="preserve">CC BY-SA 3.0	</v>
      <v xml:space="preserve">https://en.wikipedia.org/wiki/Utah	</v>
      <v xml:space="preserve">https://creativecommons.org/licenses/by-sa/3.0	</v>
    </spb>
    <spb s="0">
      <v xml:space="preserve">Wikipedia	</v>
      <v xml:space="preserve">CC-BY-SA	</v>
      <v xml:space="preserve">http://en.wikipedia.org/wiki/Utah	</v>
      <v xml:space="preserve">http://creativecommons.org/licenses/by-sa/3.0/	</v>
    </spb>
    <spb s="0">
      <v xml:space="preserve">Wikipedia	US Census	US Census	</v>
      <v xml:space="preserve">CC-BY-SA			</v>
      <v xml:space="preserve">http://en.wikipedia.org/wiki/Utah	https://www.census.gov/popest/data/state/asrh/2014/files/SC-EST2014-AGESEX-CIV.csv	http://www.census.gov/quickfacts/table/WTN220212/49	</v>
      <v xml:space="preserve">http://creativecommons.org/licenses/by-sa/3.0/			</v>
    </spb>
    <spb s="1">
      <v>191</v>
      <v>191</v>
      <v>1</v>
      <v>191</v>
      <v>191</v>
      <v>191</v>
      <v>192</v>
      <v>191</v>
      <v>1</v>
      <v>191</v>
      <v>1</v>
      <v>193</v>
      <v>191</v>
      <v>1</v>
      <v>1</v>
      <v>1</v>
      <v>1</v>
      <v>193</v>
      <v>1</v>
      <v>1</v>
      <v>1</v>
      <v>1</v>
      <v>1</v>
      <v>1</v>
      <v>1</v>
      <v>1</v>
      <v>1</v>
      <v>193</v>
      <v>1</v>
      <v>1</v>
      <v>1</v>
      <v>1</v>
    </spb>
    <spb s="0">
      <v xml:space="preserve">Wikipedia	</v>
      <v xml:space="preserve">CC BY-SA 3.0	</v>
      <v xml:space="preserve">https://en.wikipedia.org/wiki/Virginia	</v>
      <v xml:space="preserve">https://creativecommons.org/licenses/by-sa/3.0	</v>
    </spb>
    <spb s="0">
      <v xml:space="preserve">Wikipedia	</v>
      <v xml:space="preserve">CC-BY-SA	</v>
      <v xml:space="preserve">http://en.wikipedia.org/wiki/Virginia	</v>
      <v xml:space="preserve">http://creativecommons.org/licenses/by-sa/3.0/	</v>
    </spb>
    <spb s="0">
      <v xml:space="preserve">Wikipedia	US Census	US Census	</v>
      <v xml:space="preserve">CC-BY-SA			</v>
      <v xml:space="preserve">http://en.wikipedia.org/wiki/Virginia	https://www.census.gov/popest/data/state/asrh/2014/files/SC-EST2014-AGESEX-CIV.csv	http://www.census.gov/quickfacts/table/WTN220212/51	</v>
      <v xml:space="preserve">http://creativecommons.org/licenses/by-sa/3.0/			</v>
    </spb>
    <spb s="1">
      <v>195</v>
      <v>195</v>
      <v>1</v>
      <v>195</v>
      <v>195</v>
      <v>195</v>
      <v>196</v>
      <v>195</v>
      <v>1</v>
      <v>195</v>
      <v>1</v>
      <v>197</v>
      <v>195</v>
      <v>1</v>
      <v>1</v>
      <v>1</v>
      <v>1</v>
      <v>197</v>
      <v>1</v>
      <v>1</v>
      <v>1</v>
      <v>1</v>
      <v>1</v>
      <v>1</v>
      <v>1</v>
      <v>1</v>
      <v>1</v>
      <v>197</v>
      <v>1</v>
      <v>1</v>
      <v>1</v>
      <v>1</v>
    </spb>
    <spb s="0">
      <v xml:space="preserve">Wikipedia	</v>
      <v xml:space="preserve">CC BY-SA 3.0	</v>
      <v xml:space="preserve">https://en.wikipedia.org/wiki/Vermont	</v>
      <v xml:space="preserve">https://creativecommons.org/licenses/by-sa/3.0	</v>
    </spb>
    <spb s="0">
      <v xml:space="preserve">Wikipedia	</v>
      <v xml:space="preserve">CC-BY-SA	</v>
      <v xml:space="preserve">http://en.wikipedia.org/wiki/Vermont	</v>
      <v xml:space="preserve">http://creativecommons.org/licenses/by-sa/3.0/	</v>
    </spb>
    <spb s="0">
      <v xml:space="preserve">Wikipedia	US Census	US Census	</v>
      <v xml:space="preserve">CC-BY-SA			</v>
      <v xml:space="preserve">http://en.wikipedia.org/wiki/Vermont	https://www.census.gov/popest/data/state/asrh/2014/files/SC-EST2014-AGESEX-CIV.csv	http://www.census.gov/quickfacts/table/WTN220212/50	</v>
      <v xml:space="preserve">http://creativecommons.org/licenses/by-sa/3.0/			</v>
    </spb>
    <spb s="9">
      <v>199</v>
      <v>199</v>
      <v>1</v>
      <v>199</v>
      <v>199</v>
      <v>199</v>
      <v>200</v>
      <v>199</v>
      <v>1</v>
      <v>199</v>
      <v>1</v>
      <v>201</v>
      <v>199</v>
      <v>1</v>
      <v>1</v>
      <v>1</v>
      <v>1</v>
      <v>201</v>
      <v>1</v>
      <v>1</v>
      <v>1</v>
      <v>1</v>
      <v>1</v>
      <v>1</v>
      <v>1</v>
      <v>1</v>
      <v>1</v>
      <v>201</v>
      <v>1</v>
      <v>1</v>
      <v>1</v>
    </spb>
    <spb s="0">
      <v xml:space="preserve">Wikipedia	</v>
      <v xml:space="preserve">CC BY-SA 3.0	</v>
      <v xml:space="preserve">https://en.wikipedia.org/wiki/Washington_(state)	</v>
      <v xml:space="preserve">https://creativecommons.org/licenses/by-sa/3.0	</v>
    </spb>
    <spb s="0">
      <v xml:space="preserve">Wikipedia	</v>
      <v xml:space="preserve">CC-BY-SA	</v>
      <v xml:space="preserve">http://en.wikipedia.org/wiki/Washington_(state)	</v>
      <v xml:space="preserve">http://creativecommons.org/licenses/by-sa/3.0/	</v>
    </spb>
    <spb s="0">
      <v xml:space="preserve">Wikipedia	US Census	Crunchbase	</v>
      <v xml:space="preserve">CC-BY-SA			</v>
      <v xml:space="preserve">http://en.wikipedia.org/wiki/Washington_(state)	https://www.census.gov/popest/data/state/asrh/2014/files/SC-EST2014-AGESEX-CIV.csv	https://www.crunchbase.com/organization/access-washington	</v>
      <v xml:space="preserve">http://creativecommons.org/licenses/by-sa/3.0/			</v>
    </spb>
    <spb s="1">
      <v>203</v>
      <v>203</v>
      <v>1</v>
      <v>203</v>
      <v>203</v>
      <v>203</v>
      <v>204</v>
      <v>203</v>
      <v>1</v>
      <v>203</v>
      <v>1</v>
      <v>205</v>
      <v>203</v>
      <v>1</v>
      <v>1</v>
      <v>1</v>
      <v>1</v>
      <v>205</v>
      <v>1</v>
      <v>1</v>
      <v>1</v>
      <v>1</v>
      <v>1</v>
      <v>1</v>
      <v>1</v>
      <v>1</v>
      <v>1</v>
      <v>205</v>
      <v>1</v>
      <v>1</v>
      <v>1</v>
      <v>1</v>
    </spb>
    <spb s="0">
      <v xml:space="preserve">Wikipedia	</v>
      <v xml:space="preserve">CC BY-SA 3.0	</v>
      <v xml:space="preserve">https://en.wikipedia.org/wiki/Wisconsin	</v>
      <v xml:space="preserve">https://creativecommons.org/licenses/by-sa/3.0	</v>
    </spb>
    <spb s="0">
      <v xml:space="preserve">Wikipedia	</v>
      <v xml:space="preserve">CC-BY-SA	</v>
      <v xml:space="preserve">http://en.wikipedia.org/wiki/Wisconsin	</v>
      <v xml:space="preserve">http://creativecommons.org/licenses/by-sa/3.0/	</v>
    </spb>
    <spb s="0">
      <v xml:space="preserve">Wikipedia	US Census	US Census	</v>
      <v xml:space="preserve">CC-BY-SA			</v>
      <v xml:space="preserve">http://en.wikipedia.org/wiki/Wisconsin	https://www.census.gov/popest/data/state/asrh/2014/files/SC-EST2014-AGESEX-CIV.csv	http://www.census.gov/quickfacts/table/VET605214/55	</v>
      <v xml:space="preserve">http://creativecommons.org/licenses/by-sa/3.0/			</v>
    </spb>
    <spb s="1">
      <v>207</v>
      <v>207</v>
      <v>1</v>
      <v>207</v>
      <v>207</v>
      <v>207</v>
      <v>208</v>
      <v>207</v>
      <v>1</v>
      <v>207</v>
      <v>1</v>
      <v>209</v>
      <v>207</v>
      <v>1</v>
      <v>1</v>
      <v>1</v>
      <v>1</v>
      <v>209</v>
      <v>1</v>
      <v>1</v>
      <v>1</v>
      <v>1</v>
      <v>1</v>
      <v>1</v>
      <v>1</v>
      <v>1</v>
      <v>1</v>
      <v>209</v>
      <v>1</v>
      <v>1</v>
      <v>1</v>
      <v>1</v>
    </spb>
    <spb s="0">
      <v xml:space="preserve">Wikipedia	</v>
      <v xml:space="preserve">CC BY-SA 3.0	</v>
      <v xml:space="preserve">https://en.wikipedia.org/wiki/West_Virginia	</v>
      <v xml:space="preserve">https://creativecommons.org/licenses/by-sa/3.0	</v>
    </spb>
    <spb s="0">
      <v xml:space="preserve">Wikipedia	</v>
      <v xml:space="preserve">CC-BY-SA	</v>
      <v xml:space="preserve">http://en.wikipedia.org/wiki/West_Virginia	</v>
      <v xml:space="preserve">http://creativecommons.org/licenses/by-sa/3.0/	</v>
    </spb>
    <spb s="0">
      <v xml:space="preserve">Wikipedia	US Census	US Census	</v>
      <v xml:space="preserve">CC-BY-SA			</v>
      <v xml:space="preserve">http://en.wikipedia.org/wiki/West_Virginia	https://www.census.gov/popest/data/state/asrh/2014/files/SC-EST2014-AGESEX-CIV.csv	http://www.census.gov/quickfacts/table/WTN220212/54	</v>
      <v xml:space="preserve">http://creativecommons.org/licenses/by-sa/3.0/			</v>
    </spb>
    <spb s="9">
      <v>211</v>
      <v>211</v>
      <v>1</v>
      <v>211</v>
      <v>211</v>
      <v>211</v>
      <v>212</v>
      <v>211</v>
      <v>1</v>
      <v>211</v>
      <v>1</v>
      <v>213</v>
      <v>211</v>
      <v>1</v>
      <v>1</v>
      <v>1</v>
      <v>1</v>
      <v>213</v>
      <v>1</v>
      <v>1</v>
      <v>1</v>
      <v>1</v>
      <v>1</v>
      <v>1</v>
      <v>1</v>
      <v>1</v>
      <v>1</v>
      <v>213</v>
      <v>1</v>
      <v>1</v>
      <v>1</v>
    </spb>
    <spb s="0">
      <v xml:space="preserve">Wikipedia	</v>
      <v xml:space="preserve">CC BY-SA 3.0	</v>
      <v xml:space="preserve">https://en.wikipedia.org/wiki/Wyoming	</v>
      <v xml:space="preserve">https://creativecommons.org/licenses/by-sa/3.0	</v>
    </spb>
    <spb s="0">
      <v xml:space="preserve">Wikipedia	</v>
      <v xml:space="preserve">CC-BY-SA	</v>
      <v xml:space="preserve">http://en.wikipedia.org/wiki/Wyoming	</v>
      <v xml:space="preserve">http://creativecommons.org/licenses/by-sa/3.0/	</v>
    </spb>
    <spb s="0">
      <v xml:space="preserve">Wikipedia	US Census	US Census	</v>
      <v xml:space="preserve">CC-BY-SA			</v>
      <v xml:space="preserve">http://en.wikipedia.org/wiki/Wyoming	https://www.census.gov/popest/data/state/asrh/2014/files/SC-EST2014-AGESEX-CIV.csv	http://www.census.gov/quickfacts/table/WTN220212/56	</v>
      <v xml:space="preserve">http://creativecommons.org/licenses/by-sa/3.0/			</v>
    </spb>
    <spb s="1">
      <v>215</v>
      <v>215</v>
      <v>1</v>
      <v>215</v>
      <v>215</v>
      <v>215</v>
      <v>216</v>
      <v>215</v>
      <v>1</v>
      <v>215</v>
      <v>1</v>
      <v>217</v>
      <v>215</v>
      <v>1</v>
      <v>1</v>
      <v>1</v>
      <v>1</v>
      <v>217</v>
      <v>1</v>
      <v>1</v>
      <v>1</v>
      <v>1</v>
      <v>1</v>
      <v>1</v>
      <v>1</v>
      <v>1</v>
      <v>1</v>
      <v>217</v>
      <v>1</v>
      <v>1</v>
      <v>1</v>
      <v>1</v>
    </spb>
  </spbData>
</supportingPropertyBags>
</file>

<file path=xl/richData/rdsupportingpropertybagstructure.xml><?xml version="1.0" encoding="utf-8"?>
<spbStructures xmlns="http://schemas.microsoft.com/office/spreadsheetml/2017/richdata2" count="11">
  <s>
    <k n="SourceText" t="s"/>
    <k n="LicenseText" t="s"/>
    <k n="SourceAddress" t="s"/>
    <k n="LicenseAddress" t="s"/>
  </s>
  <s>
    <k n="Area" t="spb"/>
    <k n="Name" t="spb"/>
    <k n="Households" t="spb"/>
    <k n="Population" t="spb"/>
    <k n="UniqueName" t="spb"/>
    <k n="Description" t="spb"/>
    <k n="Abbreviation" t="spb"/>
    <k n="Largest city"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Order" t="spba"/>
    <k n="TitleProperty" t="s"/>
    <k n="SubTitleProperty" t="s"/>
  </s>
  <s>
    <k n="ShowInCardView" t="b"/>
    <k n="ShowInDotNotation" t="b"/>
    <k n="ShowInAutoComplete" t="b"/>
  </s>
  <s>
    <k n="UniqueName" t="spb"/>
    <k n="VDPID/VSID" t="spb"/>
    <k n="LearnMoreOnLink" t="spb"/>
  </s>
  <s>
    <k n="Name" t="i"/>
    <k n="Image" t="i"/>
  </s>
  <s>
    <k n="link" t="s"/>
    <k n="logo" t="s"/>
    <k n="name" t="s"/>
  </s>
  <s>
    <k n="Area" t="s"/>
    <k n="Households" t="s"/>
    <k n="Population" t="s"/>
    <k n="Housing units" t="s"/>
    <k n="Building permits" t="s"/>
    <k n="Median gross rent" t="s"/>
    <k n="Persons per household" t="s"/>
    <k n="Population change (%)" t="s"/>
    <k n="Population: Asian (%)" t="s"/>
    <k n="Population: White (%)" t="s"/>
    <k n="Median household income" t="s"/>
    <k n="Population: Age 65+ (%)" t="s"/>
    <k n="Population: Under age 5 (%)" t="s"/>
    <k n="Population: Under age 18 (%)" t="s"/>
    <k n="Population: Two or more races (%)" t="s"/>
    <k n="Population: Hispanic or Latino (%)" t="s"/>
    <k n="Population: Foreign born persons (%)" t="s"/>
    <k n="Population: In civilian labor force (%)" t="s"/>
    <k n="Population: Black or African American (%)" t="s"/>
    <k n="Population: Persons with a disability (%)" t="s"/>
    <k n="Median value, owner-occupied housing units" t="s"/>
    <k n="Population: Bachelor's degree or higher (%)" t="s"/>
    <k n="Population: High school graduate or higher (%)" t="s"/>
    <k n="Population: American Indian and Alaskan Native (%)" t="s"/>
    <k n="Population: Native Hawaiian and Other Pacific Islander (%)" t="s"/>
  </s>
  <s>
    <k n="_Self" t="i"/>
  </s>
  <s>
    <k n="Area" t="spb"/>
    <k n="Name" t="spb"/>
    <k n="Households" t="spb"/>
    <k n="Population" t="spb"/>
    <k n="UniqueName" t="spb"/>
    <k n="Description" t="spb"/>
    <k n="Abbreviation" t="spb"/>
    <k n="Largest city"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s>
  <s>
    <k n="Area" t="s"/>
    <k n="Households" t="s"/>
    <k n="Population" t="s"/>
    <k n="Housing units" t="s"/>
    <k n="Building permits" t="s"/>
    <k n="Median gross rent" t="s"/>
    <k n="Persons per household" t="s"/>
    <k n="Population change (%)" t="s"/>
    <k n="Population: Asian (%)" t="s"/>
    <k n="Population: White (%)" t="s"/>
    <k n="Median household income" t="s"/>
    <k n="Population: Age 65+ (%)" t="s"/>
    <k n="Population: Under age 5 (%)" t="s"/>
    <k n="Population: Under age 18 (%)" t="s"/>
    <k n="Population: Two or more races (%)" t="s"/>
    <k n="Population: Hispanic or Latino (%)" t="s"/>
    <k n="Population: Foreign born persons (%)" t="s"/>
    <k n="Population: In civilian labor force (%)" t="s"/>
    <k n="Population: Black or African American (%)" t="s"/>
    <k n="Population: Persons with a disability (%)" t="s"/>
    <k n="Median value, owner-occupied housing units" t="s"/>
    <k n="Population: Bachelor's degree or higher (%)" t="s"/>
    <k n="Population: High school graduate or higher (%)" t="s"/>
    <k n="Population: American Indian and Alaskan Native (%)" t="s"/>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5">
    <x:dxf>
      <x:numFmt numFmtId="3" formatCode="#,##0"/>
    </x:dxf>
    <x:dxf>
      <x:numFmt numFmtId="0" formatCode="General"/>
    </x:dxf>
    <x:dxf>
      <x:numFmt numFmtId="2" formatCode="0.00"/>
    </x:dxf>
    <x:dxf>
      <x:numFmt numFmtId="14" formatCode="0.00%"/>
    </x:dxf>
    <x:dxf>
      <x:numFmt numFmtId="13" formatCode="0%"/>
    </x:dxf>
  </dxfs>
  <richProperties>
    <rPr n="IsTitleField" t="b"/>
    <rPr n="IsHeroField" t="b"/>
    <rPr n="NumberFormat" t="s"/>
  </richProperties>
  <richStyles>
    <rSty>
      <rpv i="0">1</rpv>
    </rSty>
    <rSty>
      <rpv i="1">1</rpv>
    </rSty>
    <rSty dxfid="0">
      <rpv i="2">#,##0</rpv>
    </rSty>
    <rSty dxfid="1">
      <rpv i="2">_([$$-en-US]* #,##0_);_([$$-en-US]* (#,##0);_([$$-en-US]* "-"_);_(@_)</rpv>
    </rSty>
    <rSty dxfid="2">
      <rpv i="2">0.00</rpv>
    </rSty>
    <rSty dxfid="3">
      <rpv i="2">0.0%</rpv>
    </rSty>
    <rSty dxfid="4"/>
  </richStyles>
</richStyleShee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3BE6BC9-A3E9-484F-9A44-5FEDB1D4739D}" name="Table8" displayName="Table8" ref="B5:E35" totalsRowShown="0" headerRowDxfId="84" dataDxfId="82" headerRowBorderDxfId="83" tableBorderDxfId="81" totalsRowBorderDxfId="80">
  <autoFilter ref="B5:E35" xr:uid="{C3BE6BC9-A3E9-484F-9A44-5FEDB1D4739D}"/>
  <tableColumns count="4">
    <tableColumn id="1" xr3:uid="{EE6AFB6C-2C03-8248-95C2-13A89814E83A}" name="Section" dataDxfId="79"/>
    <tableColumn id="2" xr3:uid="{54DC3AFF-FD3C-6C4D-86F6-594A5098289E}" name="Category" dataDxfId="78"/>
    <tableColumn id="3" xr3:uid="{DCDBA027-78CF-2E4A-AA2C-1E85BECD5DED}" name="Parameter" dataDxfId="77"/>
    <tableColumn id="4" xr3:uid="{FF17B4D5-4E71-7240-87EA-979376E2992A}" name="Required Details" dataDxfId="76"/>
  </tableColumns>
  <tableStyleInfo name="Clarkson Table 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1E4BA39-AC2E-454A-92A0-7013FC45B9EE}" name="State_energy_table" displayName="State_energy_table" ref="B4:L55" totalsRowShown="0" headerRowDxfId="75" headerRowBorderDxfId="74" tableBorderDxfId="73" headerRowCellStyle="Normal 2">
  <autoFilter ref="B4:L55" xr:uid="{F1E4BA39-AC2E-454A-92A0-7013FC45B9E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00ED1196-9DB9-FD43-9478-17C52D1664CF}" name="State Abv" dataDxfId="72" dataCellStyle="Normal 2"/>
    <tableColumn id="2" xr3:uid="{0A220524-6CBA-C042-8272-BE497FC16857}" name="State" dataDxfId="71" dataCellStyle="Normal 2"/>
    <tableColumn id="3" xr3:uid="{1305F18E-7467-CF4B-A486-8F7AA869488B}" name="CO2(lb/MWh)" dataDxfId="70" dataCellStyle="Normal 2"/>
    <tableColumn id="4" xr3:uid="{B5450D9F-0810-FC43-98D8-52D113BBEEFC}" name="CH4(lb/MWh)" dataDxfId="69" dataCellStyle="Normal 2"/>
    <tableColumn id="5" xr3:uid="{4F893B3E-44C0-F14B-8F13-54256A808D23}" name="N2O(lb/MWh)" dataDxfId="68" dataCellStyle="Normal 2"/>
    <tableColumn id="6" xr3:uid="{0D0C4E6E-34C6-CD4A-ACD5-E97FBC342C65}" name="CO2e(lb/MWh)" dataDxfId="67" dataCellStyle="Normal 2"/>
    <tableColumn id="7" xr3:uid="{BECBAC39-F01A-C94C-B0AF-4891AAF13C1A}" name="CO2e(kg/MWh)" dataDxfId="66" dataCellStyle="Normal 2">
      <calculatedColumnFormula>G5*0.453592</calculatedColumnFormula>
    </tableColumn>
    <tableColumn id="8" xr3:uid="{4DC73F7B-47C5-8741-9362-59903575831F}" name="CO2e(kg/KWh)" dataDxfId="65" dataCellStyle="Normal 2">
      <calculatedColumnFormula>G5*0.453592/1000</calculatedColumnFormula>
    </tableColumn>
    <tableColumn id="9" xr3:uid="{E19A2663-CF38-9B43-B771-0558755C7FB4}" name="Annual NOX(lb/MWh)" dataDxfId="64" dataCellStyle="Normal 2"/>
    <tableColumn id="10" xr3:uid="{CADC68BC-FDB1-4646-818E-AA776BFF0BBF}" name="Ozone Season NOX(lb/MWh)" dataDxfId="63" dataCellStyle="Normal 2"/>
    <tableColumn id="11" xr3:uid="{D0BA8481-4D71-A541-9969-97CA936E50EE}" name="SO2(lb/MWh)" dataDxfId="62" dataCellStyle="Normal 2"/>
  </tableColumns>
  <tableStyleInfo name="Clarkson Table 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ADAE0D6-D8CF-8246-B5CF-454A876A9039}" name="Table1" displayName="Table1" ref="A1:B145">
  <tableColumns count="2">
    <tableColumn id="1" xr3:uid="{50B06F0C-DC6B-0649-95DC-2FF5F9C160DD}" name=" "/>
    <tableColumn id="2" xr3:uid="{C717E0B5-BEA3-9440-B820-0A9C4EAA657A}" name="Column1"/>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105A022-ED87-494D-83B2-32FA8E28CCEF}" name="Equipment_Database" displayName="Equipment_Database" ref="B2:P152" totalsRowShown="0" headerRowDxfId="61" dataDxfId="60">
  <autoFilter ref="B2:P152" xr:uid="{899DF402-813E-EF4F-98BE-9D6E32B87F2A}"/>
  <sortState xmlns:xlrd2="http://schemas.microsoft.com/office/spreadsheetml/2017/richdata2" ref="B3:P140">
    <sortCondition ref="B2:B140"/>
  </sortState>
  <tableColumns count="15">
    <tableColumn id="2" xr3:uid="{E3C0DFAC-5573-1040-94D6-951B249920DF}" name="Tool Used for process" dataDxfId="59"/>
    <tableColumn id="3" xr3:uid="{2D0A6B35-BF41-3E4D-8618-EEEC470BD75B}" name="Chamber Size H(inch)" dataDxfId="58"/>
    <tableColumn id="4" xr3:uid="{789AC4B5-419B-B84E-B76D-0E4D5932306D}" name="Chamber Size W(inch)" dataDxfId="57"/>
    <tableColumn id="5" xr3:uid="{2FE1A23B-B114-5A40-ADDE-AF7FE509951B}" name="Chamber Size D(inch)" dataDxfId="56"/>
    <tableColumn id="6" xr3:uid="{AC171943-22AE-5348-BB2B-1516345691B2}" name="Volume(L)" dataDxfId="55"/>
    <tableColumn id="7" xr3:uid="{2E0BAADE-92D2-BD43-ACEF-81CCD89DC6CD}" name="Operating Temperature" dataDxfId="54"/>
    <tableColumn id="8" xr3:uid="{7BD075E4-F9FC-6241-BEDB-00C01C7045A1}" name="Power Rating(kW)" dataDxfId="53"/>
    <tableColumn id="15" xr3:uid="{DD8F6546-1246-8149-A3F0-ABCAAD091F64}" name="RPM" dataDxfId="52"/>
    <tableColumn id="16" xr3:uid="{6136D125-B70A-2840-A0B2-42C7A113D4B6}" name="Permeate Flow Rate (GPD)" dataDxfId="51"/>
    <tableColumn id="17" xr3:uid="{BE30BD19-8C4A-4B45-9A16-60A02A08229C}" name="Permeate Flow Rate (Liters/day)" dataDxfId="50"/>
    <tableColumn id="9" xr3:uid="{E3E5C6D6-5604-F44E-AEB1-1926D4A76553}" name="Useful tool volume" dataDxfId="49" dataCellStyle="Normal">
      <calculatedColumnFormula>Equipment_Database[[#This Row],[Volume(L)]]*0.4</calculatedColumnFormula>
    </tableColumn>
    <tableColumn id="13" xr3:uid="{D3A3BDF8-1435-834C-BFE8-8AE6A76E60C5}" name="Manufacturer" dataDxfId="48"/>
    <tableColumn id="14" xr3:uid="{AD89A1B9-F55C-BB4C-9F85-E5E42B8A075D}" name="Model Name" dataDxfId="47"/>
    <tableColumn id="10" xr3:uid="{3DE97FD0-BC38-7C45-8416-0A5D3947556B}" name="Power rating/kg " dataDxfId="46">
      <calculatedColumnFormula>Equipment_Database[[#This Row],[Power Rating(kW)]]/Equipment_Database[[#This Row],[Useful tool volume]]</calculatedColumnFormula>
    </tableColumn>
    <tableColumn id="1" xr3:uid="{D9703159-B7B6-924D-AA7B-BB790A5A015D}" name="Reference" dataDxfId="45"/>
  </tableColumns>
  <tableStyleInfo name="Clarkson Table 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8864540-96A1-5A49-BBFC-41F09F8CA070}" name="Process_time_database" displayName="Process_time_database" ref="B2:P128" totalsRowShown="0" headerRowDxfId="44" dataDxfId="43">
  <autoFilter ref="B2:P128" xr:uid="{899DF402-813E-EF4F-98BE-9D6E32B87F2A}"/>
  <sortState xmlns:xlrd2="http://schemas.microsoft.com/office/spreadsheetml/2017/richdata2" ref="B3:P128">
    <sortCondition ref="B2:B128"/>
  </sortState>
  <tableColumns count="15">
    <tableColumn id="2" xr3:uid="{1082094A-3244-9F4A-AC55-04235D1D4237}" name="Process Name" dataDxfId="42"/>
    <tableColumn id="3" xr3:uid="{4388B3D4-3AE7-DF4D-BCD9-99EE6F6207F7}" name="Precursor Chemical Name" dataDxfId="41"/>
    <tableColumn id="4" xr3:uid="{3253B36F-26D1-B145-9866-1C7E0105842F}" name="Quantity" dataDxfId="40"/>
    <tableColumn id="5" xr3:uid="{B8E2A476-9756-E041-ADE4-4E920343305D}" name="process_id" dataDxfId="39"/>
    <tableColumn id="6" xr3:uid="{0025775A-3755-0E45-85C3-575AA66B82F0}" name="Synthesis_type" dataDxfId="38"/>
    <tableColumn id="7" xr3:uid="{4651C6F7-7C99-7B4E-9950-7A70627B6A22}" name="Operating Temperature" dataDxfId="37"/>
    <tableColumn id="8" xr3:uid="{A50DF2D3-9090-5A42-AB8F-8243A4D03AE4}" name="Process time(h)" dataDxfId="36"/>
    <tableColumn id="15" xr3:uid="{8AC445D2-7023-2548-A2D5-209B4499EDB0}" name="Units" dataDxfId="35"/>
    <tableColumn id="16" xr3:uid="{6F67930A-FE90-8549-950C-08C0C316A113}" name="Permeate Flow Rate (GPD)" dataDxfId="34"/>
    <tableColumn id="17" xr3:uid="{C32AC72A-1000-0F49-9789-8DEFAD0B2E96}" name="Permeate Flow Rate (Liters/day)" dataDxfId="33"/>
    <tableColumn id="9" xr3:uid="{8870158C-11CA-F841-B6E8-ADFEE28214C5}" name="Useful tool volume" dataDxfId="32" dataCellStyle="Normal">
      <calculatedColumnFormula>Process_time_database[[#This Row],[Synthesis_type]]*0.4</calculatedColumnFormula>
    </tableColumn>
    <tableColumn id="13" xr3:uid="{B1DC73EA-AA13-1F47-8457-AE62C5759758}" name="Manufacturer" dataDxfId="31"/>
    <tableColumn id="14" xr3:uid="{12DA995D-9F08-7748-AF12-3392D37B202A}" name="Model Name" dataDxfId="30"/>
    <tableColumn id="10" xr3:uid="{8BCBAE94-7DF7-334A-8EFB-35DF75578B01}" name="operating_conditions" dataDxfId="29"/>
    <tableColumn id="1" xr3:uid="{0ED36A57-1697-2742-AEB7-77B643B71E59}" name="Paper Reference" dataDxfId="28"/>
  </tableColumns>
  <tableStyleInfo name="Clarkson Table 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95E024C-E854-4445-9F38-319BE0B4AC17}" name="Common_Solvents" displayName="Common_Solvents" ref="B9:C18" totalsRowShown="0" headerRowDxfId="27" dataDxfId="26">
  <autoFilter ref="B9:C18" xr:uid="{A95E024C-E854-4445-9F38-319BE0B4AC17}">
    <filterColumn colId="0" hiddenButton="1"/>
    <filterColumn colId="1" hiddenButton="1"/>
  </autoFilter>
  <tableColumns count="2">
    <tableColumn id="1" xr3:uid="{E9407402-3AC3-3342-8BA5-296F9C6782D6}" name="Solvents" dataDxfId="25"/>
    <tableColumn id="2" xr3:uid="{B70127CC-E5A0-D244-A08C-594D42CC2FEB}" name="Purpose" dataDxfId="24"/>
  </tableColumns>
  <tableStyleInfo name="Clarkson Table 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3440B3A-E9A4-A049-BB27-1F1D0FD32A0A}" name="Cerium_precursor_table" displayName="Cerium_precursor_table" ref="B9:M27" totalsRowShown="0" headerRowDxfId="23" dataDxfId="22">
  <autoFilter ref="B9:M27" xr:uid="{A3440B3A-E9A4-A049-BB27-1F1D0FD32A0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135C8D0F-B140-F64F-A6B2-87847C4C9BC2}" name="Name" dataDxfId="21"/>
    <tableColumn id="2" xr3:uid="{83238471-D102-2142-8E70-D98872E370C4}" name="Chemical formula" dataDxfId="20"/>
    <tableColumn id="3" xr3:uid="{0E51A311-47E1-A041-A92B-04D5A82D9831}" name="Reference" dataDxfId="19"/>
    <tableColumn id="4" xr3:uid="{719A02E4-B7CA-A24B-A18A-EAE2AD77A97B}" name="Mining impact (kg CO2 e/kg)" dataDxfId="18"/>
    <tableColumn id="20" xr3:uid="{01E952DA-C13E-B946-862A-84E64B900C8D}" name="Weighing Factor" dataDxfId="17"/>
    <tableColumn id="5" xr3:uid="{B16FCBB1-4315-A44B-B76F-986C6F5FA1F0}" name="GWP kgCO2e/kg GHG" dataDxfId="16"/>
    <tableColumn id="6" xr3:uid="{136F92B3-D962-7B42-B56E-F5483F865AFF}" name="Precursor Molar Mass(g/mol)" dataDxfId="15"/>
    <tableColumn id="7" xr3:uid="{E769844B-0BF5-E14B-9117-3A5247FF3367}" name="Precursor Amount(g)" dataDxfId="14"/>
    <tableColumn id="8" xr3:uid="{2BE34730-C2F6-D04C-9A31-B40B7BA58D17}" name="Final Chemical formula" dataDxfId="13"/>
    <tableColumn id="9" xr3:uid="{3551BE45-CAEB-8041-A8AB-5C6A46C567E5}" name="CeO2 Molar Mass (g/mol)" dataDxfId="12"/>
    <tableColumn id="17" xr3:uid="{90A1EFCA-39A4-EF4C-A40C-3B8511C5CAF3}" name="Stoichiometric Ratio (Final:Initial)" dataDxfId="11"/>
    <tableColumn id="18" xr3:uid="{D7AFD10A-7041-1247-B27F-21C38583EB66}" name="Theoretical Mass (g)" dataDxfId="10">
      <calculatedColumnFormula>I10 * (K10 * L10 / H10)</calculatedColumnFormula>
    </tableColumn>
  </tableColumns>
  <tableStyleInfo name="Clarkson Table 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41BE8C6-972B-0944-B026-D47DDE0DD5B6}" name="GHG_Table" displayName="GHG_Table" ref="B4:D1214" totalsRowShown="0" headerRowDxfId="9" headerRowCellStyle="Normal 2" dataCellStyle="Normal 2">
  <autoFilter ref="B4:D1214" xr:uid="{341BE8C6-972B-0944-B026-D47DDE0DD5B6}">
    <filterColumn colId="0" hiddenButton="1"/>
    <filterColumn colId="1" hiddenButton="1"/>
    <filterColumn colId="2" hiddenButton="1"/>
  </autoFilter>
  <tableColumns count="3">
    <tableColumn id="2" xr3:uid="{119C1D58-7FEE-EC40-99CF-9B3FCCA32C98}" name="GHG" dataCellStyle="Normal 2"/>
    <tableColumn id="4" xr3:uid="{2930CF49-A001-0449-B10B-326497F59738}" name="Indicator" dataCellStyle="Normal 2"/>
    <tableColumn id="3" xr3:uid="{97B0033C-553D-FB48-9968-EBE7E5D8C6C4}" name="GWP kgCO2e/kg GHG" dataDxfId="8" dataCellStyle="Normal 2"/>
  </tableColumns>
  <tableStyleInfo name="Clarkson Table 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3.xml"/><Relationship Id="rId1" Type="http://schemas.openxmlformats.org/officeDocument/2006/relationships/printerSettings" Target="../printerSettings/printerSettings2.bin"/><Relationship Id="rId5" Type="http://schemas.openxmlformats.org/officeDocument/2006/relationships/comments" Target="../comments8.xml"/><Relationship Id="rId4" Type="http://schemas.openxmlformats.org/officeDocument/2006/relationships/table" Target="../tables/table2.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14.xml"/><Relationship Id="rId1" Type="http://schemas.openxmlformats.org/officeDocument/2006/relationships/printerSettings" Target="../printerSettings/printerSettings3.bin"/></Relationships>
</file>

<file path=xl/worksheets/_rels/sheet16.xml.rels><?xml version="1.0" encoding="UTF-8" standalone="yes"?>
<Relationships xmlns="http://schemas.openxmlformats.org/package/2006/relationships"><Relationship Id="rId8" Type="http://schemas.openxmlformats.org/officeDocument/2006/relationships/hyperlink" Target="https://grinding.netzsch.com/_Resources/Persistent/8/8/5/0/8850995966983e5d6a22ba5976981d199112bf0c/NETZSCH_NanoMill_ZETA_RS_EN.pdf" TargetMode="External"/><Relationship Id="rId3" Type="http://schemas.openxmlformats.org/officeDocument/2006/relationships/hyperlink" Target="https://www.rpmhardware.com/index.php?route=product/product&amp;product_id=37356&amp;gad_source=1&amp;gclid=Cj0KCQjwjY64BhCaARIsAIfc7YYDtQlAwDPTr4t61H9HD1nvgQ7em_iZ9djfGS46A81oeBhS89tb3VEaAqZ9EALw_wcB" TargetMode="External"/><Relationship Id="rId7" Type="http://schemas.openxmlformats.org/officeDocument/2006/relationships/hyperlink" Target="https://www.tobmachine.com/lab-scale-double-layer-jacketed-glass-chemical-reactor-vessel_p996.html" TargetMode="External"/><Relationship Id="rId2" Type="http://schemas.openxmlformats.org/officeDocument/2006/relationships/hyperlink" Target="https://www.valuenlab.com/product/300l500ljacketed-stainless-steel-reactor" TargetMode="External"/><Relationship Id="rId1" Type="http://schemas.openxmlformats.org/officeDocument/2006/relationships/hyperlink" Target="https://www.linbel.com/glass-reactor/200l-glass-reactor.html" TargetMode="External"/><Relationship Id="rId6" Type="http://schemas.openxmlformats.org/officeDocument/2006/relationships/hyperlink" Target="https://www.rpmhardware.com/index.php?route=product/product&amp;product_id=37356&amp;gad_source=1&amp;gclid=Cj0KCQjwjY64BhCaARIsAIfc7YYDtQlAwDPTr4t61H9HD1nvgQ7em_iZ9djfGS46A81oeBhS89tb3VEaAqZ9EALw_wcB" TargetMode="External"/><Relationship Id="rId5" Type="http://schemas.openxmlformats.org/officeDocument/2006/relationships/hyperlink" Target="https://www.buchiglas.com/fileadmin/buchiglas_international/download/dvs/Brochures_and_Flyers/G_Minipilot_Glass_Pilot_Reactor.pdf" TargetMode="External"/><Relationship Id="rId4" Type="http://schemas.openxmlformats.org/officeDocument/2006/relationships/hyperlink" Target="https://www.buchiglas.com/en-us/glass-reactors-process-equipment/minipilot.html" TargetMode="External"/><Relationship Id="rId9" Type="http://schemas.openxmlformats.org/officeDocument/2006/relationships/table" Target="../tables/table4.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8.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drawing" Target="../drawings/drawing15.xml"/></Relationships>
</file>

<file path=xl/worksheets/_rels/sheet19.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vmlDrawing" Target="../drawings/vmlDrawing9.vml"/><Relationship Id="rId1" Type="http://schemas.openxmlformats.org/officeDocument/2006/relationships/drawing" Target="../drawings/drawing16.xml"/><Relationship Id="rId4" Type="http://schemas.openxmlformats.org/officeDocument/2006/relationships/comments" Target="../comments9.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8.xml"/></Relationships>
</file>

<file path=xl/worksheets/_rels/sheet21.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0.vml"/><Relationship Id="rId1" Type="http://schemas.openxmlformats.org/officeDocument/2006/relationships/drawing" Target="../drawings/drawing17.xml"/><Relationship Id="rId4" Type="http://schemas.openxmlformats.org/officeDocument/2006/relationships/ctrlProp" Target="../ctrlProps/ctrlProp2.x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5E522-96FC-6E47-B7C9-50D156C0C36B}">
  <sheetPr codeName="Sheet1">
    <tabColor rgb="FF4DA72E"/>
  </sheetPr>
  <dimension ref="A1:B2"/>
  <sheetViews>
    <sheetView zoomScale="116" zoomScaleNormal="100" workbookViewId="0">
      <selection activeCell="B2" sqref="B2"/>
    </sheetView>
  </sheetViews>
  <sheetFormatPr baseColWidth="10" defaultColWidth="10.83203125" defaultRowHeight="16"/>
  <cols>
    <col min="1" max="1" width="5" style="11" customWidth="1"/>
    <col min="2" max="2" width="234.33203125" style="11" customWidth="1"/>
    <col min="3" max="16384" width="10.83203125" style="11"/>
  </cols>
  <sheetData>
    <row r="1" spans="1:2" ht="324" customHeight="1">
      <c r="A1" s="6"/>
      <c r="B1" s="7" t="s">
        <v>41</v>
      </c>
    </row>
    <row r="2" spans="1:2" ht="409" customHeight="1">
      <c r="A2"/>
      <c r="B2" s="8" t="s">
        <v>1183</v>
      </c>
    </row>
  </sheetData>
  <pageMargins left="0.7" right="0.7" top="0.75" bottom="0.75" header="0.3" footer="0.3"/>
  <pageSetup orientation="portrait" horizontalDpi="0" verticalDpi="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8C6EFD-3501-5043-8240-A1BB760249C1}">
  <sheetPr codeName="Sheet2">
    <tabColor rgb="FFF3A987"/>
  </sheetPr>
  <dimension ref="A1:AF46"/>
  <sheetViews>
    <sheetView zoomScale="125" zoomScaleNormal="287" workbookViewId="0">
      <selection activeCell="C35" sqref="C35"/>
    </sheetView>
  </sheetViews>
  <sheetFormatPr baseColWidth="10" defaultColWidth="10.83203125" defaultRowHeight="16"/>
  <cols>
    <col min="1" max="16384" width="10.83203125" style="11"/>
  </cols>
  <sheetData>
    <row r="1" spans="1:32" customFormat="1">
      <c r="A1" s="9"/>
      <c r="B1" s="9"/>
      <c r="C1" s="9"/>
      <c r="D1" s="9"/>
      <c r="E1" s="9"/>
      <c r="F1" s="9"/>
      <c r="G1" s="9"/>
      <c r="H1" s="9"/>
      <c r="I1" s="9"/>
      <c r="J1" s="9"/>
      <c r="K1" s="9"/>
      <c r="L1" s="9"/>
      <c r="M1" s="9"/>
      <c r="N1" s="9"/>
      <c r="O1" s="9"/>
      <c r="W1" s="11"/>
      <c r="X1" s="11"/>
      <c r="Y1" s="11"/>
      <c r="Z1" s="11"/>
      <c r="AA1" s="11"/>
      <c r="AB1" s="11"/>
      <c r="AC1" s="11"/>
      <c r="AD1" s="11"/>
      <c r="AE1" s="11"/>
      <c r="AF1" s="11"/>
    </row>
    <row r="2" spans="1:32" customFormat="1">
      <c r="A2" s="9"/>
      <c r="B2" s="9"/>
      <c r="C2" s="9"/>
      <c r="D2" s="9"/>
      <c r="E2" s="9"/>
      <c r="F2" s="9"/>
      <c r="G2" s="9"/>
      <c r="H2" s="9"/>
      <c r="I2" s="9"/>
      <c r="J2" s="9"/>
      <c r="K2" s="9"/>
      <c r="L2" s="9"/>
      <c r="M2" s="9"/>
      <c r="N2" s="9"/>
      <c r="O2" s="9"/>
      <c r="W2" s="11"/>
      <c r="X2" s="11"/>
      <c r="Y2" s="11"/>
      <c r="Z2" s="11"/>
      <c r="AA2" s="11"/>
      <c r="AB2" s="11"/>
      <c r="AC2" s="11"/>
      <c r="AD2" s="11"/>
      <c r="AE2" s="11"/>
      <c r="AF2" s="11"/>
    </row>
    <row r="3" spans="1:32" customFormat="1">
      <c r="A3" s="9"/>
      <c r="B3" s="9"/>
      <c r="C3" s="9"/>
      <c r="D3" s="9"/>
      <c r="E3" s="9"/>
      <c r="F3" s="9"/>
      <c r="G3" s="9"/>
      <c r="H3" s="9"/>
      <c r="I3" s="9"/>
      <c r="J3" s="9"/>
      <c r="K3" s="9"/>
      <c r="L3" s="9"/>
      <c r="M3" s="9"/>
      <c r="N3" s="9"/>
      <c r="O3" s="9"/>
      <c r="W3" s="11"/>
      <c r="X3" s="11"/>
      <c r="Y3" s="11"/>
      <c r="Z3" s="11"/>
      <c r="AA3" s="11"/>
      <c r="AB3" s="11"/>
      <c r="AC3" s="11"/>
      <c r="AD3" s="11"/>
      <c r="AE3" s="11"/>
      <c r="AF3" s="11"/>
    </row>
    <row r="4" spans="1:32" customFormat="1">
      <c r="A4" s="9"/>
      <c r="B4" s="9"/>
      <c r="C4" s="9"/>
      <c r="D4" s="9"/>
      <c r="E4" s="9"/>
      <c r="F4" s="9"/>
      <c r="G4" s="9"/>
      <c r="H4" s="9"/>
      <c r="I4" s="9"/>
      <c r="J4" s="9"/>
      <c r="K4" s="9"/>
      <c r="L4" s="9"/>
      <c r="M4" s="9"/>
      <c r="N4" s="9"/>
      <c r="O4" s="9"/>
      <c r="W4" s="11"/>
      <c r="X4" s="11"/>
      <c r="Y4" s="11"/>
      <c r="Z4" s="11"/>
      <c r="AA4" s="11"/>
      <c r="AB4" s="11"/>
      <c r="AC4" s="11"/>
      <c r="AD4" s="11"/>
      <c r="AE4" s="11"/>
      <c r="AF4" s="11"/>
    </row>
    <row r="5" spans="1:32" customFormat="1">
      <c r="A5" s="9"/>
      <c r="B5" s="9"/>
      <c r="C5" s="9"/>
      <c r="D5" s="9"/>
      <c r="E5" s="9"/>
      <c r="F5" s="9"/>
      <c r="G5" s="9"/>
      <c r="H5" s="9"/>
      <c r="I5" s="9"/>
      <c r="J5" s="9"/>
      <c r="K5" s="9"/>
      <c r="L5" s="9"/>
      <c r="M5" s="9"/>
      <c r="N5" s="9"/>
      <c r="O5" s="9"/>
      <c r="W5" s="11"/>
      <c r="X5" s="11"/>
      <c r="Y5" s="11"/>
      <c r="Z5" s="11"/>
      <c r="AA5" s="11"/>
      <c r="AB5" s="11"/>
      <c r="AC5" s="11"/>
      <c r="AD5" s="11"/>
      <c r="AE5" s="11"/>
      <c r="AF5" s="11"/>
    </row>
    <row r="6" spans="1:32" customFormat="1">
      <c r="A6" s="9"/>
      <c r="B6" s="9"/>
      <c r="C6" s="9"/>
      <c r="D6" s="9"/>
      <c r="E6" s="9"/>
      <c r="F6" s="9"/>
      <c r="G6" s="9"/>
      <c r="H6" s="9"/>
      <c r="I6" s="9"/>
      <c r="J6" s="9"/>
      <c r="K6" s="9"/>
      <c r="L6" s="9"/>
      <c r="M6" s="9"/>
      <c r="N6" s="9"/>
      <c r="O6" s="9"/>
      <c r="W6" s="11"/>
      <c r="X6" s="11"/>
      <c r="Y6" s="11"/>
      <c r="Z6" s="11"/>
      <c r="AA6" s="11"/>
      <c r="AB6" s="11"/>
      <c r="AC6" s="11"/>
      <c r="AD6" s="11"/>
      <c r="AE6" s="11"/>
      <c r="AF6" s="11"/>
    </row>
    <row r="7" spans="1:32" customFormat="1">
      <c r="A7" s="9"/>
      <c r="B7" s="9"/>
      <c r="C7" s="9"/>
      <c r="D7" s="9"/>
      <c r="E7" s="9"/>
      <c r="F7" s="9"/>
      <c r="G7" s="9"/>
      <c r="H7" s="9"/>
      <c r="I7" s="9"/>
      <c r="J7" s="9"/>
      <c r="K7" s="9"/>
      <c r="L7" s="9"/>
      <c r="M7" s="9"/>
      <c r="N7" s="9"/>
      <c r="O7" s="9"/>
      <c r="W7" s="11"/>
      <c r="X7" s="11"/>
      <c r="Y7" s="11"/>
      <c r="Z7" s="11"/>
      <c r="AA7" s="11"/>
      <c r="AB7" s="11"/>
      <c r="AC7" s="11"/>
      <c r="AD7" s="11"/>
      <c r="AE7" s="11"/>
      <c r="AF7" s="11"/>
    </row>
    <row r="8" spans="1:32" customFormat="1">
      <c r="A8" s="9"/>
      <c r="B8" s="9"/>
      <c r="C8" s="9"/>
      <c r="D8" s="9"/>
      <c r="E8" s="9"/>
      <c r="F8" s="9"/>
      <c r="G8" s="9"/>
      <c r="H8" s="9"/>
      <c r="I8" s="9"/>
      <c r="J8" s="9"/>
      <c r="K8" s="9"/>
      <c r="L8" s="9"/>
      <c r="M8" s="9"/>
      <c r="N8" s="9"/>
      <c r="O8" s="9"/>
      <c r="P8" s="9"/>
      <c r="Q8" s="9"/>
      <c r="R8" s="9"/>
      <c r="S8" s="9"/>
      <c r="T8" s="9"/>
      <c r="U8" s="9"/>
      <c r="V8" s="9"/>
      <c r="W8" s="11"/>
      <c r="X8" s="11"/>
      <c r="Y8" s="11"/>
      <c r="Z8" s="11"/>
      <c r="AA8" s="11"/>
      <c r="AB8" s="11"/>
      <c r="AC8" s="11"/>
      <c r="AD8" s="11"/>
      <c r="AE8" s="11"/>
      <c r="AF8" s="11"/>
    </row>
    <row r="9" spans="1:32" customFormat="1">
      <c r="A9" s="9"/>
      <c r="B9" s="9"/>
      <c r="C9" s="9"/>
      <c r="D9" s="9"/>
      <c r="E9" s="9"/>
      <c r="F9" s="9"/>
      <c r="G9" s="9"/>
      <c r="H9" s="9"/>
      <c r="I9" s="9"/>
      <c r="J9" s="9"/>
      <c r="K9" s="9"/>
      <c r="L9" s="9"/>
      <c r="M9" s="9"/>
      <c r="N9" s="9"/>
      <c r="O9" s="9"/>
      <c r="P9" s="9"/>
      <c r="Q9" s="9"/>
      <c r="R9" s="9"/>
      <c r="S9" s="9"/>
      <c r="T9" s="9"/>
      <c r="U9" s="9"/>
      <c r="V9" s="9"/>
      <c r="W9" s="11"/>
      <c r="X9" s="11"/>
      <c r="Y9" s="11"/>
      <c r="Z9" s="11"/>
      <c r="AA9" s="11"/>
      <c r="AB9" s="11"/>
      <c r="AC9" s="11"/>
      <c r="AD9" s="11"/>
      <c r="AE9" s="11"/>
      <c r="AF9" s="11"/>
    </row>
    <row r="10" spans="1:32" customFormat="1">
      <c r="A10" s="9"/>
      <c r="B10" s="9"/>
      <c r="C10" s="9"/>
      <c r="D10" s="9"/>
      <c r="E10" s="9"/>
      <c r="F10" s="9"/>
      <c r="G10" s="9"/>
      <c r="H10" s="9"/>
      <c r="I10" s="9"/>
      <c r="J10" s="9"/>
      <c r="K10" s="9"/>
      <c r="L10" s="9"/>
      <c r="M10" s="9"/>
      <c r="N10" s="9"/>
      <c r="O10" s="9"/>
      <c r="P10" s="9"/>
      <c r="Q10" s="9"/>
      <c r="R10" s="9"/>
      <c r="S10" s="9"/>
      <c r="T10" s="9"/>
      <c r="U10" s="9"/>
      <c r="V10" s="9"/>
      <c r="W10" s="11"/>
      <c r="X10" s="11"/>
      <c r="Y10" s="11"/>
      <c r="Z10" s="11"/>
      <c r="AA10" s="11"/>
      <c r="AB10" s="11"/>
      <c r="AC10" s="11"/>
      <c r="AD10" s="11"/>
      <c r="AE10" s="11"/>
      <c r="AF10" s="11"/>
    </row>
    <row r="11" spans="1:32" customFormat="1">
      <c r="A11" s="9"/>
      <c r="B11" s="9"/>
      <c r="C11" s="9"/>
      <c r="D11" s="9"/>
      <c r="E11" s="9"/>
      <c r="F11" s="9"/>
      <c r="G11" s="9"/>
      <c r="H11" s="9"/>
      <c r="I11" s="9"/>
      <c r="J11" s="9"/>
      <c r="K11" s="9"/>
      <c r="L11" s="9"/>
      <c r="M11" s="9"/>
      <c r="N11" s="9"/>
      <c r="O11" s="9"/>
      <c r="P11" s="9"/>
      <c r="Q11" s="9"/>
      <c r="R11" s="9"/>
      <c r="S11" s="9"/>
      <c r="T11" s="9"/>
      <c r="U11" s="9"/>
      <c r="V11" s="9"/>
      <c r="W11" s="11"/>
      <c r="X11" s="11"/>
      <c r="Y11" s="11"/>
      <c r="Z11" s="11"/>
      <c r="AA11" s="11"/>
      <c r="AB11" s="11"/>
      <c r="AC11" s="11"/>
      <c r="AD11" s="11"/>
      <c r="AE11" s="11"/>
      <c r="AF11" s="11"/>
    </row>
    <row r="12" spans="1:32" customFormat="1">
      <c r="A12" s="9"/>
      <c r="B12" s="9"/>
      <c r="C12" s="9"/>
      <c r="D12" s="9"/>
      <c r="E12" s="9"/>
      <c r="F12" s="9"/>
      <c r="G12" s="9"/>
      <c r="H12" s="9"/>
      <c r="I12" s="9"/>
      <c r="J12" s="9"/>
      <c r="K12" s="9"/>
      <c r="L12" s="9"/>
      <c r="M12" s="9"/>
      <c r="N12" s="9"/>
      <c r="O12" s="9"/>
      <c r="P12" s="9"/>
      <c r="Q12" s="9"/>
      <c r="R12" s="9"/>
      <c r="S12" s="9"/>
      <c r="T12" s="9"/>
      <c r="U12" s="9"/>
      <c r="V12" s="9"/>
      <c r="W12" s="11"/>
      <c r="X12" s="11"/>
      <c r="Y12" s="11"/>
      <c r="Z12" s="11"/>
      <c r="AA12" s="11"/>
      <c r="AB12" s="11"/>
      <c r="AC12" s="11"/>
      <c r="AD12" s="11"/>
      <c r="AE12" s="11"/>
      <c r="AF12" s="11"/>
    </row>
    <row r="13" spans="1:32" customFormat="1">
      <c r="A13" s="9"/>
      <c r="B13" s="9"/>
      <c r="C13" s="9"/>
      <c r="D13" s="9"/>
      <c r="E13" s="9"/>
      <c r="F13" s="9"/>
      <c r="G13" s="9"/>
      <c r="H13" s="9"/>
      <c r="I13" s="9"/>
      <c r="J13" s="9"/>
      <c r="K13" s="9"/>
      <c r="L13" s="9"/>
      <c r="M13" s="9"/>
      <c r="N13" s="9"/>
      <c r="O13" s="9"/>
      <c r="P13" s="9"/>
      <c r="Q13" s="9"/>
      <c r="R13" s="9"/>
      <c r="S13" s="9"/>
      <c r="T13" s="9"/>
      <c r="U13" s="9"/>
      <c r="V13" s="9"/>
      <c r="W13" s="11"/>
      <c r="X13" s="11"/>
      <c r="Y13" s="11"/>
      <c r="Z13" s="11"/>
      <c r="AA13" s="11"/>
      <c r="AB13" s="11"/>
      <c r="AC13" s="11"/>
      <c r="AD13" s="11"/>
      <c r="AE13" s="11"/>
      <c r="AF13" s="11"/>
    </row>
    <row r="14" spans="1:32" customFormat="1">
      <c r="A14" s="9"/>
      <c r="B14" s="9"/>
      <c r="C14" s="9"/>
      <c r="D14" s="9"/>
      <c r="E14" s="9"/>
      <c r="F14" s="9"/>
      <c r="G14" s="9"/>
      <c r="H14" s="9"/>
      <c r="I14" s="9"/>
      <c r="J14" s="9"/>
      <c r="K14" s="9"/>
      <c r="L14" s="9"/>
      <c r="M14" s="9"/>
      <c r="N14" s="9"/>
      <c r="O14" s="9"/>
      <c r="P14" s="9"/>
      <c r="Q14" s="9"/>
      <c r="R14" s="9"/>
      <c r="S14" s="9"/>
      <c r="T14" s="9"/>
      <c r="U14" s="9"/>
      <c r="V14" s="9"/>
      <c r="W14" s="11"/>
      <c r="X14" s="11"/>
      <c r="Y14" s="11"/>
      <c r="Z14" s="11"/>
      <c r="AA14" s="11"/>
      <c r="AB14" s="11"/>
      <c r="AC14" s="11"/>
      <c r="AD14" s="11"/>
      <c r="AE14" s="11"/>
      <c r="AF14" s="11"/>
    </row>
    <row r="15" spans="1:32" customFormat="1">
      <c r="A15" s="9"/>
      <c r="B15" s="9"/>
      <c r="C15" s="9"/>
      <c r="D15" s="9"/>
      <c r="E15" s="9"/>
      <c r="F15" s="9"/>
      <c r="G15" s="9"/>
      <c r="H15" s="9"/>
      <c r="I15" s="9"/>
      <c r="J15" s="9"/>
      <c r="K15" s="9"/>
      <c r="L15" s="9"/>
      <c r="M15" s="9"/>
      <c r="N15" s="9"/>
      <c r="O15" s="9"/>
      <c r="P15" s="9"/>
      <c r="Q15" s="9"/>
      <c r="R15" s="9"/>
      <c r="S15" s="9"/>
      <c r="T15" s="9"/>
      <c r="U15" s="9"/>
      <c r="V15" s="9"/>
      <c r="W15" s="11"/>
      <c r="X15" s="11"/>
      <c r="Y15" s="11"/>
      <c r="Z15" s="11"/>
      <c r="AA15" s="11"/>
      <c r="AB15" s="11"/>
      <c r="AC15" s="11"/>
      <c r="AD15" s="11"/>
      <c r="AE15" s="11"/>
      <c r="AF15" s="11"/>
    </row>
    <row r="16" spans="1:32" customFormat="1">
      <c r="A16" s="9"/>
      <c r="B16" s="9"/>
      <c r="C16" s="9"/>
      <c r="D16" s="9"/>
      <c r="E16" s="9"/>
      <c r="F16" s="9"/>
      <c r="G16" s="9"/>
      <c r="H16" s="9"/>
      <c r="I16" s="9"/>
      <c r="J16" s="9"/>
      <c r="K16" s="9"/>
      <c r="L16" s="9"/>
      <c r="M16" s="9"/>
      <c r="N16" s="9"/>
      <c r="O16" s="9"/>
      <c r="P16" s="9"/>
      <c r="Q16" s="9"/>
      <c r="R16" s="9"/>
      <c r="S16" s="9"/>
      <c r="T16" s="9"/>
      <c r="U16" s="9"/>
      <c r="V16" s="9"/>
      <c r="W16" s="11"/>
      <c r="X16" s="11"/>
      <c r="Y16" s="11"/>
      <c r="Z16" s="11"/>
      <c r="AA16" s="11"/>
      <c r="AB16" s="11"/>
      <c r="AC16" s="11"/>
      <c r="AD16" s="11"/>
      <c r="AE16" s="11"/>
      <c r="AF16" s="11"/>
    </row>
    <row r="17" spans="1:32" customFormat="1">
      <c r="A17" s="9"/>
      <c r="B17" s="9"/>
      <c r="C17" s="9"/>
      <c r="D17" s="9"/>
      <c r="E17" s="9"/>
      <c r="F17" s="9"/>
      <c r="G17" s="9"/>
      <c r="H17" s="9"/>
      <c r="I17" s="9"/>
      <c r="J17" s="9"/>
      <c r="K17" s="9"/>
      <c r="L17" s="9"/>
      <c r="M17" s="9"/>
      <c r="N17" s="9"/>
      <c r="O17" s="9"/>
      <c r="P17" s="9"/>
      <c r="Q17" s="9"/>
      <c r="R17" s="9"/>
      <c r="S17" s="9"/>
      <c r="T17" s="9"/>
      <c r="U17" s="9"/>
      <c r="V17" s="9"/>
      <c r="W17" s="11"/>
      <c r="X17" s="11"/>
      <c r="Y17" s="11"/>
      <c r="Z17" s="11"/>
      <c r="AA17" s="11"/>
      <c r="AB17" s="11"/>
      <c r="AC17" s="11"/>
      <c r="AD17" s="11"/>
      <c r="AE17" s="11"/>
      <c r="AF17" s="11"/>
    </row>
    <row r="18" spans="1:32" customFormat="1">
      <c r="A18" s="9"/>
      <c r="B18" s="9"/>
      <c r="C18" s="9"/>
      <c r="D18" s="9"/>
      <c r="E18" s="9"/>
      <c r="F18" s="9"/>
      <c r="G18" s="9"/>
      <c r="H18" s="9"/>
      <c r="I18" s="9"/>
      <c r="J18" s="9"/>
      <c r="K18" s="9"/>
      <c r="L18" s="9"/>
      <c r="M18" s="9"/>
      <c r="N18" s="9"/>
      <c r="O18" s="9"/>
      <c r="P18" s="9"/>
      <c r="Q18" s="9"/>
      <c r="R18" s="9"/>
      <c r="S18" s="9"/>
      <c r="T18" s="9"/>
      <c r="U18" s="9"/>
      <c r="V18" s="9"/>
      <c r="W18" s="11"/>
      <c r="X18" s="11"/>
      <c r="Y18" s="11"/>
      <c r="Z18" s="11"/>
      <c r="AA18" s="11"/>
      <c r="AB18" s="11"/>
      <c r="AC18" s="11"/>
      <c r="AD18" s="11"/>
      <c r="AE18" s="11"/>
      <c r="AF18" s="11"/>
    </row>
    <row r="19" spans="1:32" customFormat="1">
      <c r="A19" s="9"/>
      <c r="B19" s="9"/>
      <c r="C19" s="9"/>
      <c r="D19" s="9"/>
      <c r="E19" s="9"/>
      <c r="F19" s="9"/>
      <c r="G19" s="9"/>
      <c r="H19" s="9"/>
      <c r="I19" s="9"/>
      <c r="J19" s="9"/>
      <c r="K19" s="9"/>
      <c r="L19" s="9"/>
      <c r="M19" s="9"/>
      <c r="N19" s="9"/>
      <c r="O19" s="9"/>
      <c r="P19" s="9"/>
      <c r="Q19" s="9"/>
      <c r="R19" s="9"/>
      <c r="S19" s="9"/>
      <c r="T19" s="9"/>
      <c r="U19" s="9"/>
      <c r="V19" s="9"/>
      <c r="W19" s="11"/>
      <c r="X19" s="11"/>
      <c r="Y19" s="11"/>
      <c r="Z19" s="11"/>
      <c r="AA19" s="11"/>
      <c r="AB19" s="11"/>
      <c r="AC19" s="11"/>
      <c r="AD19" s="11"/>
      <c r="AE19" s="11"/>
      <c r="AF19" s="11"/>
    </row>
    <row r="20" spans="1:32" customFormat="1">
      <c r="A20" s="9"/>
      <c r="B20" s="9"/>
      <c r="C20" s="9"/>
      <c r="D20" s="9"/>
      <c r="E20" s="9"/>
      <c r="F20" s="9"/>
      <c r="G20" s="9"/>
      <c r="H20" s="9"/>
      <c r="I20" s="9"/>
      <c r="J20" s="9"/>
      <c r="K20" s="9"/>
      <c r="L20" s="9"/>
      <c r="M20" s="9"/>
      <c r="N20" s="9"/>
      <c r="O20" s="9"/>
      <c r="P20" s="9"/>
      <c r="Q20" s="9"/>
      <c r="R20" s="9"/>
      <c r="S20" s="9"/>
      <c r="T20" s="9"/>
      <c r="U20" s="9"/>
      <c r="V20" s="9"/>
      <c r="W20" s="11"/>
      <c r="X20" s="11"/>
      <c r="Y20" s="11"/>
      <c r="Z20" s="11"/>
      <c r="AA20" s="11"/>
      <c r="AB20" s="11"/>
      <c r="AC20" s="11"/>
      <c r="AD20" s="11"/>
      <c r="AE20" s="11"/>
      <c r="AF20" s="11"/>
    </row>
    <row r="21" spans="1:32" customFormat="1">
      <c r="A21" s="9"/>
      <c r="B21" s="9"/>
      <c r="C21" s="9"/>
      <c r="D21" s="9"/>
      <c r="E21" s="9"/>
      <c r="F21" s="9"/>
      <c r="G21" s="9"/>
      <c r="H21" s="9"/>
      <c r="I21" s="9"/>
      <c r="J21" s="9"/>
      <c r="K21" s="9"/>
      <c r="L21" s="9"/>
      <c r="M21" s="9"/>
      <c r="N21" s="9"/>
      <c r="O21" s="9"/>
      <c r="P21" s="9"/>
      <c r="Q21" s="9"/>
      <c r="R21" s="9"/>
      <c r="S21" s="9"/>
      <c r="T21" s="9"/>
      <c r="U21" s="9"/>
      <c r="V21" s="9"/>
      <c r="W21" s="11"/>
      <c r="X21" s="11"/>
      <c r="Y21" s="11"/>
      <c r="Z21" s="11"/>
      <c r="AA21" s="11"/>
      <c r="AB21" s="11"/>
      <c r="AC21" s="11"/>
      <c r="AD21" s="11"/>
      <c r="AE21" s="11"/>
      <c r="AF21" s="11"/>
    </row>
    <row r="22" spans="1:32" customFormat="1">
      <c r="A22" s="9"/>
      <c r="B22" s="9"/>
      <c r="C22" s="9"/>
      <c r="D22" s="9"/>
      <c r="E22" s="9"/>
      <c r="F22" s="9"/>
      <c r="G22" s="9"/>
      <c r="H22" s="9"/>
      <c r="I22" s="9"/>
      <c r="J22" s="9"/>
      <c r="K22" s="9"/>
      <c r="L22" s="9"/>
      <c r="M22" s="9"/>
      <c r="N22" s="9"/>
      <c r="O22" s="9"/>
      <c r="P22" s="9"/>
      <c r="Q22" s="9"/>
      <c r="R22" s="9"/>
      <c r="S22" s="9"/>
      <c r="T22" s="9"/>
      <c r="U22" s="9"/>
      <c r="V22" s="9"/>
      <c r="W22" s="11"/>
      <c r="X22" s="11"/>
      <c r="Y22" s="11"/>
      <c r="Z22" s="11"/>
      <c r="AA22" s="11"/>
      <c r="AB22" s="11"/>
      <c r="AC22" s="11"/>
      <c r="AD22" s="11"/>
      <c r="AE22" s="11"/>
      <c r="AF22" s="11"/>
    </row>
    <row r="23" spans="1:32" customFormat="1">
      <c r="A23" s="9"/>
      <c r="B23" s="9"/>
      <c r="C23" s="9"/>
      <c r="D23" s="9"/>
      <c r="E23" s="9"/>
      <c r="F23" s="9"/>
      <c r="G23" s="9"/>
      <c r="H23" s="9"/>
      <c r="I23" s="9"/>
      <c r="J23" s="9"/>
      <c r="K23" s="9"/>
      <c r="L23" s="9"/>
      <c r="M23" s="9"/>
      <c r="N23" s="9"/>
      <c r="O23" s="9"/>
      <c r="P23" s="9"/>
      <c r="Q23" s="9"/>
      <c r="R23" s="9"/>
      <c r="S23" s="9"/>
      <c r="T23" s="9"/>
      <c r="U23" s="9"/>
      <c r="V23" s="9"/>
      <c r="W23" s="11"/>
      <c r="X23" s="11"/>
      <c r="Y23" s="11"/>
      <c r="Z23" s="11"/>
      <c r="AA23" s="11"/>
      <c r="AB23" s="11"/>
      <c r="AC23" s="11"/>
      <c r="AD23" s="11"/>
      <c r="AE23" s="11"/>
      <c r="AF23" s="11"/>
    </row>
    <row r="24" spans="1:32" customFormat="1">
      <c r="A24" s="9"/>
      <c r="B24" s="9"/>
      <c r="C24" s="9"/>
      <c r="D24" s="9"/>
      <c r="E24" s="9"/>
      <c r="F24" s="9"/>
      <c r="G24" s="9"/>
      <c r="H24" s="9"/>
      <c r="I24" s="9"/>
      <c r="J24" s="9"/>
      <c r="K24" s="9"/>
      <c r="L24" s="9"/>
      <c r="M24" s="9"/>
      <c r="N24" s="9"/>
      <c r="O24" s="9"/>
      <c r="P24" s="9"/>
      <c r="Q24" s="9"/>
      <c r="R24" s="9"/>
      <c r="S24" s="9"/>
      <c r="T24" s="9"/>
      <c r="U24" s="9"/>
      <c r="V24" s="9"/>
      <c r="W24" s="11"/>
      <c r="X24" s="11"/>
      <c r="Y24" s="11"/>
      <c r="Z24" s="11"/>
      <c r="AA24" s="11"/>
      <c r="AB24" s="11"/>
      <c r="AC24" s="11"/>
      <c r="AD24" s="11"/>
      <c r="AE24" s="11"/>
      <c r="AF24" s="11"/>
    </row>
    <row r="25" spans="1:32" customFormat="1">
      <c r="A25" s="9"/>
      <c r="B25" s="9"/>
      <c r="C25" s="9"/>
      <c r="D25" s="9"/>
      <c r="E25" s="9"/>
      <c r="F25" s="9"/>
      <c r="G25" s="9"/>
      <c r="H25" s="9"/>
      <c r="I25" s="9"/>
      <c r="J25" s="9"/>
      <c r="K25" s="9"/>
      <c r="L25" s="9"/>
      <c r="M25" s="9"/>
      <c r="N25" s="9"/>
      <c r="O25" s="9"/>
      <c r="P25" s="9"/>
      <c r="Q25" s="9"/>
      <c r="R25" s="9"/>
      <c r="S25" s="9"/>
      <c r="T25" s="9"/>
      <c r="U25" s="9"/>
      <c r="V25" s="9"/>
      <c r="W25" s="11"/>
      <c r="X25" s="11"/>
      <c r="Y25" s="11"/>
      <c r="Z25" s="11"/>
      <c r="AA25" s="11"/>
      <c r="AB25" s="11"/>
      <c r="AC25" s="11"/>
      <c r="AD25" s="11"/>
      <c r="AE25" s="11"/>
      <c r="AF25" s="11"/>
    </row>
    <row r="26" spans="1:32" customFormat="1">
      <c r="A26" s="9"/>
      <c r="B26" s="9"/>
      <c r="C26" s="9"/>
      <c r="D26" s="9"/>
      <c r="E26" s="9"/>
      <c r="F26" s="9"/>
      <c r="G26" s="9"/>
      <c r="H26" s="9"/>
      <c r="I26" s="9"/>
      <c r="J26" s="9"/>
      <c r="K26" s="9"/>
      <c r="L26" s="9"/>
      <c r="M26" s="9"/>
      <c r="N26" s="9"/>
      <c r="O26" s="9"/>
      <c r="P26" s="9"/>
      <c r="Q26" s="9"/>
      <c r="R26" s="9"/>
      <c r="S26" s="9"/>
      <c r="T26" s="9"/>
      <c r="U26" s="9"/>
      <c r="V26" s="9"/>
      <c r="W26" s="11"/>
      <c r="X26" s="11"/>
      <c r="Y26" s="11"/>
      <c r="Z26" s="11"/>
      <c r="AA26" s="11"/>
      <c r="AB26" s="11"/>
      <c r="AC26" s="11"/>
      <c r="AD26" s="11"/>
      <c r="AE26" s="11"/>
      <c r="AF26" s="11"/>
    </row>
    <row r="27" spans="1:32" customFormat="1">
      <c r="A27" s="9"/>
      <c r="B27" s="9"/>
      <c r="C27" s="9"/>
      <c r="D27" s="9"/>
      <c r="E27" s="9"/>
      <c r="F27" s="9"/>
      <c r="G27" s="9"/>
      <c r="H27" s="9"/>
      <c r="I27" s="9"/>
      <c r="J27" s="9"/>
      <c r="K27" s="9"/>
      <c r="L27" s="9"/>
      <c r="M27" s="9"/>
      <c r="N27" s="9"/>
      <c r="O27" s="9"/>
      <c r="P27" s="9"/>
      <c r="Q27" s="9"/>
      <c r="R27" s="9"/>
      <c r="S27" s="9"/>
      <c r="T27" s="9"/>
      <c r="U27" s="9"/>
      <c r="V27" s="9"/>
      <c r="W27" s="11"/>
      <c r="X27" s="11"/>
      <c r="Y27" s="11"/>
      <c r="Z27" s="11"/>
      <c r="AA27" s="11"/>
      <c r="AB27" s="11"/>
      <c r="AC27" s="11"/>
      <c r="AD27" s="11"/>
      <c r="AE27" s="11"/>
      <c r="AF27" s="11"/>
    </row>
    <row r="28" spans="1:32" customFormat="1">
      <c r="A28" s="9"/>
      <c r="B28" s="9"/>
      <c r="C28" s="9"/>
      <c r="D28" s="9"/>
      <c r="E28" s="9"/>
      <c r="F28" s="9"/>
      <c r="G28" s="9"/>
      <c r="H28" s="9"/>
      <c r="I28" s="9"/>
      <c r="J28" s="9"/>
      <c r="K28" s="9"/>
      <c r="L28" s="9"/>
      <c r="M28" s="9"/>
      <c r="N28" s="9"/>
      <c r="O28" s="9"/>
      <c r="P28" s="9"/>
      <c r="Q28" s="9"/>
      <c r="R28" s="9"/>
      <c r="S28" s="9"/>
      <c r="T28" s="9"/>
      <c r="U28" s="9"/>
      <c r="V28" s="9"/>
      <c r="W28" s="11"/>
      <c r="X28" s="11"/>
      <c r="Y28" s="11"/>
      <c r="Z28" s="11"/>
      <c r="AA28" s="11"/>
      <c r="AB28" s="11"/>
      <c r="AC28" s="11"/>
      <c r="AD28" s="11"/>
      <c r="AE28" s="11"/>
      <c r="AF28" s="11"/>
    </row>
    <row r="29" spans="1:32" customFormat="1">
      <c r="A29" s="9"/>
      <c r="B29" s="9"/>
      <c r="C29" s="9"/>
      <c r="D29" s="9"/>
      <c r="E29" s="9"/>
      <c r="F29" s="9"/>
      <c r="G29" s="9"/>
      <c r="H29" s="9"/>
      <c r="I29" s="9"/>
      <c r="J29" s="9"/>
      <c r="K29" s="9"/>
      <c r="L29" s="9"/>
      <c r="M29" s="9"/>
      <c r="N29" s="9"/>
      <c r="O29" s="9"/>
      <c r="P29" s="9"/>
      <c r="Q29" s="9"/>
      <c r="R29" s="9"/>
      <c r="S29" s="9"/>
      <c r="T29" s="9"/>
      <c r="U29" s="9"/>
      <c r="V29" s="9"/>
      <c r="W29" s="11"/>
      <c r="X29" s="11"/>
      <c r="Y29" s="11"/>
      <c r="Z29" s="11"/>
      <c r="AA29" s="11"/>
      <c r="AB29" s="11"/>
      <c r="AC29" s="11"/>
      <c r="AD29" s="11"/>
      <c r="AE29" s="11"/>
      <c r="AF29" s="11"/>
    </row>
    <row r="30" spans="1:32" customFormat="1">
      <c r="A30" s="9"/>
      <c r="B30" s="9"/>
      <c r="C30" s="9"/>
      <c r="D30" s="9"/>
      <c r="E30" s="9"/>
      <c r="F30" s="9"/>
      <c r="G30" s="9"/>
      <c r="H30" s="9"/>
      <c r="I30" s="9"/>
      <c r="J30" s="9"/>
      <c r="K30" s="9"/>
      <c r="L30" s="9"/>
      <c r="M30" s="9"/>
      <c r="N30" s="9"/>
      <c r="O30" s="9"/>
      <c r="P30" s="9"/>
      <c r="Q30" s="9"/>
      <c r="R30" s="9"/>
      <c r="S30" s="9"/>
      <c r="T30" s="9"/>
      <c r="U30" s="9"/>
      <c r="V30" s="9"/>
      <c r="W30" s="11"/>
      <c r="X30" s="11"/>
      <c r="Y30" s="11"/>
      <c r="Z30" s="11"/>
      <c r="AA30" s="11"/>
      <c r="AB30" s="11"/>
      <c r="AC30" s="11"/>
      <c r="AD30" s="11"/>
      <c r="AE30" s="11"/>
      <c r="AF30" s="11"/>
    </row>
    <row r="31" spans="1:32" customFormat="1">
      <c r="A31" s="9"/>
      <c r="B31" s="9"/>
      <c r="C31" s="9"/>
      <c r="D31" s="9"/>
      <c r="E31" s="9"/>
      <c r="F31" s="9"/>
      <c r="G31" s="9"/>
      <c r="H31" s="9"/>
      <c r="I31" s="9"/>
      <c r="J31" s="9"/>
      <c r="K31" s="9"/>
      <c r="L31" s="9"/>
      <c r="M31" s="9"/>
      <c r="N31" s="9"/>
      <c r="O31" s="9"/>
      <c r="P31" s="9"/>
      <c r="Q31" s="9"/>
      <c r="R31" s="9"/>
      <c r="S31" s="9"/>
      <c r="T31" s="9"/>
      <c r="U31" s="9"/>
      <c r="V31" s="9"/>
      <c r="W31" s="11"/>
      <c r="X31" s="11"/>
      <c r="Y31" s="11"/>
      <c r="Z31" s="11"/>
      <c r="AA31" s="11"/>
      <c r="AB31" s="11"/>
      <c r="AC31" s="11"/>
      <c r="AD31" s="11"/>
      <c r="AE31" s="11"/>
      <c r="AF31" s="11"/>
    </row>
    <row r="32" spans="1:32" customFormat="1">
      <c r="A32" s="9"/>
      <c r="B32" s="9"/>
      <c r="C32" s="9"/>
      <c r="D32" s="9"/>
      <c r="E32" s="9"/>
      <c r="F32" s="9"/>
      <c r="G32" s="9"/>
      <c r="H32" s="9"/>
      <c r="I32" s="9"/>
      <c r="J32" s="9"/>
      <c r="K32" s="9"/>
      <c r="L32" s="9"/>
      <c r="M32" s="9"/>
      <c r="N32" s="9"/>
      <c r="O32" s="9"/>
      <c r="P32" s="9"/>
      <c r="Q32" s="9"/>
      <c r="R32" s="9"/>
      <c r="S32" s="9"/>
      <c r="T32" s="9"/>
      <c r="U32" s="9"/>
      <c r="V32" s="9"/>
      <c r="W32" s="11"/>
      <c r="X32" s="11"/>
      <c r="Y32" s="11"/>
      <c r="Z32" s="11"/>
      <c r="AA32" s="11"/>
      <c r="AB32" s="11"/>
      <c r="AC32" s="11"/>
      <c r="AD32" s="11"/>
      <c r="AE32" s="11"/>
      <c r="AF32" s="11"/>
    </row>
    <row r="33" spans="1:32" customFormat="1">
      <c r="A33" s="9"/>
      <c r="B33" s="9"/>
      <c r="C33" s="9"/>
      <c r="D33" s="9"/>
      <c r="E33" s="9"/>
      <c r="F33" s="9"/>
      <c r="G33" s="9"/>
      <c r="H33" s="9"/>
      <c r="I33" s="9"/>
      <c r="J33" s="9"/>
      <c r="K33" s="9"/>
      <c r="L33" s="9"/>
      <c r="M33" s="9"/>
      <c r="N33" s="9"/>
      <c r="O33" s="9"/>
      <c r="P33" s="9"/>
      <c r="Q33" s="9"/>
      <c r="R33" s="9"/>
      <c r="S33" s="9"/>
      <c r="T33" s="9"/>
      <c r="U33" s="9"/>
      <c r="V33" s="9"/>
      <c r="W33" s="11"/>
      <c r="X33" s="11"/>
      <c r="Y33" s="11"/>
      <c r="Z33" s="11"/>
      <c r="AA33" s="11"/>
      <c r="AB33" s="11"/>
      <c r="AC33" s="11"/>
      <c r="AD33" s="11"/>
      <c r="AE33" s="11"/>
      <c r="AF33" s="11"/>
    </row>
    <row r="34" spans="1:32" customFormat="1" ht="17" thickBot="1">
      <c r="A34" s="9"/>
      <c r="B34" s="9"/>
      <c r="C34" s="9"/>
      <c r="D34" s="9"/>
      <c r="E34" s="9"/>
      <c r="F34" s="9"/>
      <c r="G34" s="9"/>
      <c r="H34" s="9"/>
      <c r="I34" s="9"/>
      <c r="J34" s="9"/>
      <c r="K34" s="9"/>
      <c r="L34" s="9"/>
      <c r="M34" s="9"/>
      <c r="N34" s="9"/>
      <c r="O34" s="9"/>
      <c r="P34" s="9"/>
      <c r="Q34" s="9"/>
      <c r="R34" s="9"/>
      <c r="S34" s="9"/>
      <c r="T34" s="9"/>
      <c r="U34" s="9"/>
      <c r="V34" s="9"/>
      <c r="W34" s="11"/>
      <c r="X34" s="11"/>
      <c r="Y34" s="11"/>
      <c r="Z34" s="11"/>
      <c r="AA34" s="11"/>
      <c r="AB34" s="11"/>
      <c r="AC34" s="11"/>
      <c r="AD34" s="11"/>
      <c r="AE34" s="11"/>
      <c r="AF34" s="11"/>
    </row>
    <row r="35" spans="1:32" customFormat="1" ht="17" thickBot="1">
      <c r="A35" s="9"/>
      <c r="B35" s="9"/>
      <c r="C35" s="9"/>
      <c r="D35" s="9"/>
      <c r="E35" s="9"/>
      <c r="F35" s="9"/>
      <c r="G35" s="38" t="s">
        <v>94</v>
      </c>
      <c r="H35" s="39"/>
      <c r="I35" s="39"/>
      <c r="J35" s="40"/>
      <c r="K35" s="9"/>
      <c r="L35" s="9"/>
      <c r="M35" s="9"/>
      <c r="N35" s="9"/>
      <c r="O35" s="9"/>
      <c r="P35" s="9"/>
      <c r="Q35" s="9"/>
      <c r="R35" s="9"/>
      <c r="S35" s="9"/>
      <c r="T35" s="9"/>
      <c r="U35" s="9"/>
      <c r="V35" s="9"/>
      <c r="W35" s="11"/>
      <c r="X35" s="11"/>
      <c r="Y35" s="11"/>
      <c r="Z35" s="11"/>
      <c r="AA35" s="11"/>
      <c r="AB35" s="11"/>
      <c r="AC35" s="11"/>
      <c r="AD35" s="11"/>
      <c r="AE35" s="11"/>
      <c r="AF35" s="11"/>
    </row>
    <row r="36" spans="1:32" customFormat="1" ht="16" customHeight="1">
      <c r="A36" s="9"/>
      <c r="B36" s="9"/>
      <c r="C36" s="9"/>
      <c r="D36" s="9"/>
      <c r="E36" s="9"/>
      <c r="F36" s="9"/>
      <c r="G36" s="312" t="s">
        <v>42</v>
      </c>
      <c r="H36" s="313"/>
      <c r="I36" s="313"/>
      <c r="J36" s="314"/>
      <c r="K36" s="9"/>
      <c r="L36" s="9"/>
      <c r="M36" s="9"/>
      <c r="N36" s="9"/>
      <c r="O36" s="9"/>
      <c r="P36" s="9"/>
      <c r="Q36" s="9"/>
      <c r="R36" s="9"/>
      <c r="S36" s="9"/>
      <c r="T36" s="9"/>
      <c r="U36" s="9"/>
      <c r="V36" s="9"/>
      <c r="W36" s="11"/>
      <c r="X36" s="11"/>
      <c r="Y36" s="11"/>
      <c r="Z36" s="11"/>
      <c r="AA36" s="11"/>
      <c r="AB36" s="11"/>
      <c r="AC36" s="11"/>
      <c r="AD36" s="11"/>
      <c r="AE36" s="11"/>
      <c r="AF36" s="11"/>
    </row>
    <row r="37" spans="1:32" customFormat="1">
      <c r="A37" s="9"/>
      <c r="B37" s="9"/>
      <c r="C37" s="9"/>
      <c r="D37" s="9"/>
      <c r="E37" s="9"/>
      <c r="F37" s="9"/>
      <c r="G37" s="315"/>
      <c r="H37" s="316"/>
      <c r="I37" s="316"/>
      <c r="J37" s="317"/>
      <c r="K37" s="9"/>
      <c r="L37" s="9"/>
      <c r="M37" s="9"/>
      <c r="N37" s="9"/>
      <c r="O37" s="9"/>
      <c r="P37" s="9"/>
      <c r="Q37" s="9"/>
      <c r="R37" s="9"/>
      <c r="S37" s="9"/>
      <c r="T37" s="9"/>
      <c r="U37" s="9"/>
      <c r="V37" s="9"/>
      <c r="W37" s="11"/>
      <c r="X37" s="11"/>
      <c r="Y37" s="11"/>
      <c r="Z37" s="11"/>
      <c r="AA37" s="11"/>
      <c r="AB37" s="11"/>
      <c r="AC37" s="11"/>
      <c r="AD37" s="11"/>
      <c r="AE37" s="11"/>
      <c r="AF37" s="11"/>
    </row>
    <row r="38" spans="1:32" customFormat="1">
      <c r="A38" s="9"/>
      <c r="B38" s="9"/>
      <c r="C38" s="9"/>
      <c r="D38" s="9"/>
      <c r="E38" s="9"/>
      <c r="F38" s="9"/>
      <c r="G38" s="315"/>
      <c r="H38" s="316"/>
      <c r="I38" s="316"/>
      <c r="J38" s="317"/>
      <c r="K38" s="9"/>
      <c r="L38" s="9"/>
      <c r="M38" s="9"/>
      <c r="N38" s="9"/>
      <c r="O38" s="9"/>
      <c r="P38" s="9"/>
      <c r="Q38" s="9"/>
      <c r="R38" s="9"/>
      <c r="S38" s="9"/>
      <c r="T38" s="9"/>
      <c r="U38" s="9"/>
      <c r="V38" s="9"/>
      <c r="W38" s="11"/>
      <c r="X38" s="11"/>
      <c r="Y38" s="11"/>
      <c r="Z38" s="11"/>
      <c r="AA38" s="11"/>
      <c r="AB38" s="11"/>
      <c r="AC38" s="11"/>
      <c r="AD38" s="11"/>
      <c r="AE38" s="11"/>
      <c r="AF38" s="11"/>
    </row>
    <row r="39" spans="1:32" customFormat="1" ht="17" thickBot="1">
      <c r="A39" s="9"/>
      <c r="B39" s="9"/>
      <c r="C39" s="9"/>
      <c r="D39" s="9"/>
      <c r="E39" s="9"/>
      <c r="F39" s="9"/>
      <c r="G39" s="318"/>
      <c r="H39" s="319"/>
      <c r="I39" s="319"/>
      <c r="J39" s="320"/>
      <c r="K39" s="9"/>
      <c r="L39" s="9"/>
      <c r="M39" s="9"/>
      <c r="N39" s="9"/>
      <c r="O39" s="9"/>
      <c r="P39" s="9"/>
      <c r="Q39" s="9"/>
      <c r="R39" s="9"/>
      <c r="S39" s="9"/>
      <c r="T39" s="9"/>
      <c r="U39" s="9"/>
      <c r="V39" s="9"/>
      <c r="W39" s="11"/>
      <c r="X39" s="11"/>
      <c r="Y39" s="11"/>
      <c r="Z39" s="11"/>
      <c r="AA39" s="11"/>
      <c r="AB39" s="11"/>
      <c r="AC39" s="11"/>
      <c r="AD39" s="11"/>
      <c r="AE39" s="11"/>
      <c r="AF39" s="11"/>
    </row>
    <row r="40" spans="1:32" customFormat="1">
      <c r="A40" s="9"/>
      <c r="B40" s="9"/>
      <c r="C40" s="9"/>
      <c r="D40" s="9"/>
      <c r="E40" s="9"/>
      <c r="F40" s="9"/>
      <c r="G40" s="9"/>
      <c r="H40" s="9"/>
      <c r="I40" s="9"/>
      <c r="J40" s="9"/>
      <c r="K40" s="9"/>
      <c r="L40" s="9"/>
      <c r="M40" s="9"/>
      <c r="N40" s="9"/>
      <c r="O40" s="9"/>
      <c r="P40" s="9"/>
      <c r="Q40" s="9"/>
      <c r="R40" s="9"/>
      <c r="S40" s="9"/>
      <c r="T40" s="9"/>
      <c r="U40" s="9"/>
      <c r="V40" s="9"/>
      <c r="W40" s="11"/>
      <c r="X40" s="11"/>
      <c r="Y40" s="11"/>
      <c r="Z40" s="11"/>
      <c r="AA40" s="11"/>
      <c r="AB40" s="11"/>
      <c r="AC40" s="11"/>
      <c r="AD40" s="11"/>
      <c r="AE40" s="11"/>
      <c r="AF40" s="11"/>
    </row>
    <row r="41" spans="1:32" customFormat="1">
      <c r="A41" s="9"/>
      <c r="B41" s="9"/>
      <c r="C41" s="9"/>
      <c r="D41" s="9"/>
      <c r="E41" s="9"/>
      <c r="F41" s="9"/>
      <c r="G41" s="9"/>
      <c r="H41" s="9"/>
      <c r="I41" s="9"/>
      <c r="J41" s="9"/>
      <c r="K41" s="9"/>
      <c r="L41" s="9"/>
      <c r="M41" s="9"/>
      <c r="N41" s="9"/>
      <c r="O41" s="9"/>
      <c r="P41" s="9"/>
      <c r="Q41" s="9"/>
      <c r="R41" s="9"/>
      <c r="S41" s="9"/>
      <c r="T41" s="9"/>
      <c r="U41" s="9"/>
      <c r="V41" s="9"/>
      <c r="W41" s="11"/>
      <c r="X41" s="11"/>
      <c r="Y41" s="11"/>
      <c r="Z41" s="11"/>
      <c r="AA41" s="11"/>
      <c r="AB41" s="11"/>
      <c r="AC41" s="11"/>
      <c r="AD41" s="11"/>
      <c r="AE41" s="11"/>
      <c r="AF41" s="11"/>
    </row>
    <row r="42" spans="1:32" customFormat="1">
      <c r="A42" s="9"/>
      <c r="B42" s="9"/>
      <c r="C42" s="9"/>
      <c r="D42" s="9"/>
      <c r="E42" s="9"/>
      <c r="F42" s="9"/>
      <c r="G42" s="9"/>
      <c r="H42" s="9"/>
      <c r="I42" s="9"/>
      <c r="J42" s="9"/>
      <c r="K42" s="9"/>
      <c r="L42" s="9"/>
      <c r="M42" s="9"/>
      <c r="N42" s="9"/>
      <c r="O42" s="9"/>
      <c r="P42" s="9"/>
      <c r="Q42" s="9"/>
      <c r="R42" s="9"/>
      <c r="S42" s="9"/>
      <c r="T42" s="9"/>
      <c r="U42" s="9"/>
      <c r="V42" s="9"/>
      <c r="W42" s="11"/>
      <c r="X42" s="11"/>
      <c r="Y42" s="11"/>
      <c r="Z42" s="11"/>
      <c r="AA42" s="11"/>
      <c r="AB42" s="11"/>
      <c r="AC42" s="11"/>
      <c r="AD42" s="11"/>
      <c r="AE42" s="11"/>
      <c r="AF42" s="11"/>
    </row>
    <row r="43" spans="1:32" customFormat="1">
      <c r="A43" s="9"/>
      <c r="B43" s="9"/>
      <c r="C43" s="9"/>
      <c r="D43" s="9"/>
      <c r="E43" s="9"/>
      <c r="F43" s="9"/>
      <c r="G43" s="9"/>
      <c r="H43" s="9"/>
      <c r="I43" s="9"/>
      <c r="J43" s="9"/>
      <c r="K43" s="9"/>
      <c r="L43" s="9"/>
      <c r="M43" s="9"/>
      <c r="N43" s="9"/>
      <c r="O43" s="9"/>
      <c r="P43" s="9"/>
      <c r="Q43" s="9"/>
      <c r="R43" s="9"/>
      <c r="S43" s="9"/>
      <c r="T43" s="9"/>
      <c r="U43" s="9"/>
      <c r="V43" s="9"/>
      <c r="W43" s="11"/>
      <c r="X43" s="11"/>
      <c r="Y43" s="11"/>
      <c r="Z43" s="11"/>
      <c r="AA43" s="11"/>
      <c r="AB43" s="11"/>
      <c r="AC43" s="11"/>
      <c r="AD43" s="11"/>
      <c r="AE43" s="11"/>
      <c r="AF43" s="11"/>
    </row>
    <row r="44" spans="1:32" customFormat="1">
      <c r="A44" s="9"/>
      <c r="B44" s="9"/>
      <c r="C44" s="9"/>
      <c r="D44" s="9"/>
      <c r="E44" s="9"/>
      <c r="F44" s="9"/>
      <c r="G44" s="9"/>
      <c r="H44" s="9"/>
      <c r="I44" s="9"/>
      <c r="J44" s="9"/>
      <c r="K44" s="9"/>
      <c r="L44" s="9"/>
      <c r="M44" s="9"/>
      <c r="N44" s="9"/>
      <c r="O44" s="9"/>
      <c r="P44" s="9"/>
      <c r="Q44" s="9"/>
      <c r="R44" s="9"/>
      <c r="S44" s="9"/>
      <c r="T44" s="9"/>
      <c r="U44" s="9"/>
      <c r="V44" s="9"/>
      <c r="W44" s="11"/>
      <c r="X44" s="11"/>
      <c r="Y44" s="11"/>
      <c r="Z44" s="11"/>
      <c r="AA44" s="11"/>
      <c r="AB44" s="11"/>
      <c r="AC44" s="11"/>
      <c r="AD44" s="11"/>
      <c r="AE44" s="11"/>
      <c r="AF44" s="11"/>
    </row>
    <row r="45" spans="1:32" customFormat="1">
      <c r="A45" s="9"/>
      <c r="B45" s="9"/>
      <c r="C45" s="9"/>
      <c r="D45" s="9"/>
      <c r="E45" s="9"/>
      <c r="F45" s="9"/>
      <c r="G45" s="9"/>
      <c r="H45" s="9"/>
      <c r="I45" s="9"/>
      <c r="J45" s="9"/>
      <c r="K45" s="9"/>
      <c r="L45" s="9"/>
      <c r="M45" s="9"/>
      <c r="N45" s="9"/>
      <c r="O45" s="9"/>
      <c r="P45" s="9"/>
      <c r="Q45" s="9"/>
      <c r="R45" s="9"/>
      <c r="S45" s="9"/>
      <c r="T45" s="9"/>
      <c r="U45" s="9"/>
      <c r="V45" s="9"/>
      <c r="W45" s="11"/>
      <c r="X45" s="11"/>
      <c r="Y45" s="11"/>
      <c r="Z45" s="11"/>
      <c r="AA45" s="11"/>
      <c r="AB45" s="11"/>
      <c r="AC45" s="11"/>
      <c r="AD45" s="11"/>
      <c r="AE45" s="11"/>
      <c r="AF45" s="11"/>
    </row>
    <row r="46" spans="1:32" customFormat="1">
      <c r="A46" s="9"/>
      <c r="B46" s="9"/>
      <c r="C46" s="9"/>
      <c r="D46" s="9"/>
      <c r="E46" s="9"/>
      <c r="F46" s="9"/>
      <c r="G46" s="9"/>
      <c r="H46" s="9"/>
      <c r="I46" s="9"/>
      <c r="J46" s="9"/>
      <c r="K46" s="9"/>
      <c r="L46" s="9"/>
      <c r="M46" s="9"/>
      <c r="N46" s="9"/>
      <c r="O46" s="9"/>
      <c r="P46" s="9"/>
      <c r="Q46" s="9"/>
      <c r="R46" s="9"/>
      <c r="S46" s="9"/>
      <c r="T46" s="9"/>
      <c r="U46" s="9"/>
      <c r="V46" s="9"/>
      <c r="W46" s="11"/>
      <c r="X46" s="11"/>
      <c r="Y46" s="11"/>
      <c r="Z46" s="11"/>
      <c r="AA46" s="11"/>
      <c r="AB46" s="11"/>
      <c r="AC46" s="11"/>
      <c r="AD46" s="11"/>
      <c r="AE46" s="11"/>
      <c r="AF46" s="11"/>
    </row>
  </sheetData>
  <mergeCells count="1">
    <mergeCell ref="G36:J39"/>
  </mergeCells>
  <pageMargins left="0.7" right="0.7" top="0.75" bottom="0.75" header="0.3" footer="0.3"/>
  <pageSetup orientation="portrait" horizontalDpi="0" verticalDpi="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1AB27-6FB2-AA4A-B75D-C5241CC2E468}">
  <sheetPr codeName="Sheet18">
    <tabColor rgb="FFFF0000"/>
  </sheetPr>
  <dimension ref="B1:L35"/>
  <sheetViews>
    <sheetView zoomScale="140" workbookViewId="0">
      <selection activeCell="D8" sqref="D8"/>
    </sheetView>
  </sheetViews>
  <sheetFormatPr baseColWidth="10" defaultColWidth="11.1640625" defaultRowHeight="16"/>
  <cols>
    <col min="2" max="2" width="34.33203125" bestFit="1" customWidth="1"/>
    <col min="3" max="3" width="25.33203125" bestFit="1" customWidth="1"/>
    <col min="4" max="4" width="34.83203125" bestFit="1" customWidth="1"/>
    <col min="5" max="5" width="103" customWidth="1"/>
  </cols>
  <sheetData>
    <row r="1" spans="2:12" ht="17" thickBot="1"/>
    <row r="2" spans="2:12" ht="16" customHeight="1">
      <c r="B2" s="321" t="s">
        <v>1173</v>
      </c>
      <c r="C2" s="322"/>
      <c r="D2" s="322"/>
      <c r="E2" s="323"/>
      <c r="F2" s="244"/>
      <c r="G2" s="244"/>
      <c r="H2" s="244"/>
      <c r="I2" s="244"/>
      <c r="J2" s="244"/>
      <c r="K2" s="244"/>
      <c r="L2" s="244"/>
    </row>
    <row r="3" spans="2:12" ht="17" customHeight="1" thickBot="1">
      <c r="B3" s="324"/>
      <c r="C3" s="325"/>
      <c r="D3" s="325"/>
      <c r="E3" s="326"/>
      <c r="F3" s="244"/>
      <c r="G3" s="244"/>
      <c r="H3" s="244"/>
      <c r="I3" s="244"/>
      <c r="J3" s="244"/>
      <c r="K3" s="244"/>
      <c r="L3" s="244"/>
    </row>
    <row r="5" spans="2:12" ht="24">
      <c r="B5" s="241" t="s">
        <v>914</v>
      </c>
      <c r="C5" s="242" t="s">
        <v>915</v>
      </c>
      <c r="D5" s="242" t="s">
        <v>916</v>
      </c>
      <c r="E5" s="243" t="s">
        <v>946</v>
      </c>
    </row>
    <row r="6" spans="2:12" ht="24">
      <c r="B6" s="235"/>
      <c r="C6" s="236"/>
      <c r="D6" s="236"/>
      <c r="E6" s="237"/>
    </row>
    <row r="7" spans="2:12" ht="24">
      <c r="B7" s="235" t="s">
        <v>917</v>
      </c>
      <c r="C7" s="236" t="s">
        <v>918</v>
      </c>
      <c r="D7" s="123" t="s">
        <v>919</v>
      </c>
      <c r="E7" s="123" t="s">
        <v>952</v>
      </c>
    </row>
    <row r="8" spans="2:12" ht="24">
      <c r="B8" s="235"/>
      <c r="C8" s="236"/>
      <c r="D8" s="123" t="s">
        <v>920</v>
      </c>
      <c r="E8" s="123" t="s">
        <v>949</v>
      </c>
    </row>
    <row r="9" spans="2:12" ht="24">
      <c r="B9" s="235"/>
      <c r="C9" s="236"/>
      <c r="D9" s="123" t="s">
        <v>937</v>
      </c>
      <c r="E9" s="123" t="s">
        <v>951</v>
      </c>
    </row>
    <row r="10" spans="2:12" ht="24">
      <c r="B10" s="235"/>
      <c r="C10" s="236"/>
      <c r="D10" s="236"/>
      <c r="E10" s="237"/>
    </row>
    <row r="11" spans="2:12" ht="24">
      <c r="B11" s="235"/>
      <c r="C11" s="236"/>
      <c r="D11" s="236"/>
      <c r="E11" s="237"/>
    </row>
    <row r="12" spans="2:12" ht="24">
      <c r="B12" s="235" t="s">
        <v>921</v>
      </c>
      <c r="C12" s="236" t="s">
        <v>922</v>
      </c>
      <c r="D12" s="123" t="s">
        <v>923</v>
      </c>
      <c r="E12" s="123" t="s">
        <v>924</v>
      </c>
    </row>
    <row r="13" spans="2:12" ht="24">
      <c r="B13" s="235"/>
      <c r="C13" s="236"/>
      <c r="D13" s="236" t="s">
        <v>925</v>
      </c>
      <c r="E13" s="245" t="s">
        <v>954</v>
      </c>
    </row>
    <row r="14" spans="2:12" ht="24">
      <c r="B14" s="235"/>
      <c r="C14" s="236"/>
      <c r="D14" s="236" t="s">
        <v>926</v>
      </c>
      <c r="E14" s="237" t="s">
        <v>927</v>
      </c>
    </row>
    <row r="15" spans="2:12" ht="24">
      <c r="B15" s="235"/>
      <c r="C15" s="236"/>
      <c r="D15" s="236" t="s">
        <v>928</v>
      </c>
      <c r="E15" s="245" t="s">
        <v>953</v>
      </c>
    </row>
    <row r="16" spans="2:12" ht="24">
      <c r="B16" s="235"/>
      <c r="C16" s="236" t="s">
        <v>594</v>
      </c>
      <c r="D16" s="123" t="s">
        <v>929</v>
      </c>
      <c r="E16" s="123" t="s">
        <v>950</v>
      </c>
    </row>
    <row r="17" spans="2:5" ht="24">
      <c r="B17" s="235"/>
      <c r="C17" s="236"/>
      <c r="D17" s="236" t="s">
        <v>930</v>
      </c>
      <c r="E17" s="245" t="s">
        <v>950</v>
      </c>
    </row>
    <row r="18" spans="2:5" ht="24">
      <c r="B18" s="235"/>
      <c r="C18" s="236"/>
      <c r="D18" s="236" t="s">
        <v>931</v>
      </c>
      <c r="E18" s="245" t="s">
        <v>950</v>
      </c>
    </row>
    <row r="19" spans="2:5" ht="24">
      <c r="B19" s="235"/>
      <c r="C19" s="236"/>
      <c r="D19" s="236"/>
      <c r="E19" s="237"/>
    </row>
    <row r="20" spans="2:5" ht="24">
      <c r="B20" s="235" t="s">
        <v>932</v>
      </c>
      <c r="C20" s="236" t="s">
        <v>933</v>
      </c>
      <c r="D20" s="236" t="s">
        <v>934</v>
      </c>
      <c r="E20" s="237" t="s">
        <v>935</v>
      </c>
    </row>
    <row r="21" spans="2:5" ht="24">
      <c r="B21" s="246" t="s">
        <v>947</v>
      </c>
      <c r="C21" s="236"/>
      <c r="D21" s="236" t="s">
        <v>657</v>
      </c>
      <c r="E21" s="237" t="s">
        <v>927</v>
      </c>
    </row>
    <row r="22" spans="2:5" ht="24">
      <c r="B22" s="235"/>
      <c r="C22" s="236"/>
      <c r="D22" s="236"/>
      <c r="E22" s="237"/>
    </row>
    <row r="23" spans="2:5" ht="24">
      <c r="B23" s="235"/>
      <c r="C23" s="236"/>
      <c r="D23" s="236"/>
      <c r="E23" s="237"/>
    </row>
    <row r="24" spans="2:5" ht="24">
      <c r="B24" s="235"/>
      <c r="C24" s="236"/>
      <c r="D24" s="236"/>
      <c r="E24" s="237"/>
    </row>
    <row r="25" spans="2:5" ht="24">
      <c r="B25" s="235" t="s">
        <v>936</v>
      </c>
      <c r="C25" s="247" t="s">
        <v>948</v>
      </c>
      <c r="D25" s="236" t="s">
        <v>939</v>
      </c>
      <c r="E25" s="245" t="s">
        <v>938</v>
      </c>
    </row>
    <row r="26" spans="2:5" ht="24">
      <c r="B26" s="246" t="s">
        <v>947</v>
      </c>
      <c r="C26" s="236"/>
      <c r="D26" s="236"/>
      <c r="E26" s="237"/>
    </row>
    <row r="27" spans="2:5" ht="24">
      <c r="B27" s="235"/>
      <c r="C27" s="236" t="s">
        <v>940</v>
      </c>
      <c r="D27" s="236" t="s">
        <v>941</v>
      </c>
      <c r="E27" s="237" t="s">
        <v>942</v>
      </c>
    </row>
    <row r="28" spans="2:5" ht="24">
      <c r="B28" s="235"/>
      <c r="C28" s="236"/>
      <c r="D28" s="236" t="s">
        <v>943</v>
      </c>
      <c r="E28" s="237" t="s">
        <v>944</v>
      </c>
    </row>
    <row r="29" spans="2:5" ht="24">
      <c r="B29" s="235"/>
      <c r="C29" s="236"/>
      <c r="D29" s="236"/>
      <c r="E29" s="237"/>
    </row>
    <row r="30" spans="2:5" ht="24">
      <c r="B30" s="235"/>
      <c r="C30" s="236"/>
      <c r="D30" s="236"/>
      <c r="E30" s="237"/>
    </row>
    <row r="31" spans="2:5" ht="24">
      <c r="B31" s="235"/>
      <c r="C31" s="236"/>
      <c r="D31" s="236"/>
      <c r="E31" s="237"/>
    </row>
    <row r="32" spans="2:5" ht="24">
      <c r="B32" s="235"/>
      <c r="C32" s="236"/>
      <c r="D32" s="236"/>
      <c r="E32" s="237"/>
    </row>
    <row r="33" spans="2:5" ht="24">
      <c r="B33" s="235"/>
      <c r="C33" s="236"/>
      <c r="D33" s="236"/>
      <c r="E33" s="237"/>
    </row>
    <row r="34" spans="2:5" ht="24">
      <c r="B34" s="235"/>
      <c r="C34" s="236"/>
      <c r="D34" s="236"/>
      <c r="E34" s="237"/>
    </row>
    <row r="35" spans="2:5" ht="24">
      <c r="B35" s="238"/>
      <c r="C35" s="239"/>
      <c r="D35" s="239"/>
      <c r="E35" s="240"/>
    </row>
  </sheetData>
  <mergeCells count="1">
    <mergeCell ref="B2:E3"/>
  </mergeCells>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32848-545B-844A-ACC8-70D1F9E38595}">
  <sheetPr codeName="Sheet3">
    <tabColor theme="8" tint="0.59999389629810485"/>
  </sheetPr>
  <dimension ref="A1:AF93"/>
  <sheetViews>
    <sheetView showGridLines="0" zoomScale="48" workbookViewId="0">
      <selection activeCell="D102" sqref="D102"/>
    </sheetView>
  </sheetViews>
  <sheetFormatPr baseColWidth="10" defaultColWidth="10.83203125" defaultRowHeight="20"/>
  <cols>
    <col min="1" max="1" width="3.83203125" style="1" customWidth="1"/>
    <col min="2" max="2" width="42.83203125" style="1" customWidth="1"/>
    <col min="3" max="3" width="12.6640625" style="1" customWidth="1"/>
    <col min="4" max="4" width="50" style="1" customWidth="1"/>
    <col min="5" max="5" width="23" style="126" customWidth="1"/>
    <col min="6" max="6" width="17.5" style="126" customWidth="1"/>
    <col min="7" max="7" width="12.33203125" style="126" customWidth="1"/>
    <col min="8" max="8" width="31" style="1" customWidth="1"/>
    <col min="9" max="16384" width="10.83203125" style="1"/>
  </cols>
  <sheetData>
    <row r="1" spans="1:22">
      <c r="A1" s="105"/>
      <c r="B1" s="105"/>
      <c r="C1" s="105"/>
      <c r="D1" s="105"/>
      <c r="E1" s="136"/>
      <c r="F1" s="136"/>
      <c r="G1" s="136"/>
      <c r="H1" s="105"/>
      <c r="I1" s="105"/>
      <c r="J1" s="105"/>
      <c r="K1" s="105"/>
      <c r="L1" s="105"/>
      <c r="M1" s="105"/>
      <c r="N1" s="105"/>
      <c r="O1" s="105"/>
    </row>
    <row r="2" spans="1:22">
      <c r="A2" s="105"/>
      <c r="B2" s="105"/>
      <c r="C2" s="105"/>
      <c r="D2" s="105"/>
      <c r="E2" s="136"/>
      <c r="F2" s="136"/>
      <c r="G2" s="136"/>
      <c r="H2" s="105"/>
      <c r="I2" s="105"/>
      <c r="J2" s="105"/>
      <c r="K2" s="105"/>
      <c r="L2" s="105"/>
      <c r="M2" s="105"/>
      <c r="N2" s="105"/>
      <c r="O2" s="105"/>
    </row>
    <row r="3" spans="1:22">
      <c r="A3" s="105"/>
      <c r="B3" s="105"/>
      <c r="C3" s="105"/>
      <c r="D3" s="105"/>
      <c r="E3" s="136"/>
      <c r="F3" s="136"/>
      <c r="G3" s="136"/>
      <c r="H3" s="105"/>
      <c r="I3" s="105"/>
      <c r="J3" s="105"/>
      <c r="K3" s="105"/>
      <c r="L3" s="105"/>
      <c r="M3" s="105"/>
      <c r="N3" s="105"/>
      <c r="O3" s="105"/>
    </row>
    <row r="4" spans="1:22">
      <c r="A4" s="105"/>
      <c r="B4" s="105"/>
      <c r="C4" s="105"/>
      <c r="D4" s="105"/>
      <c r="E4" s="136"/>
      <c r="F4" s="136"/>
      <c r="G4" s="136"/>
      <c r="H4" s="105"/>
      <c r="I4" s="105"/>
      <c r="J4" s="105"/>
      <c r="K4" s="105"/>
      <c r="L4" s="105"/>
      <c r="M4" s="105"/>
      <c r="N4" s="105"/>
      <c r="O4" s="105"/>
    </row>
    <row r="5" spans="1:22">
      <c r="A5" s="105"/>
      <c r="B5" s="105"/>
      <c r="C5" s="105"/>
      <c r="D5" s="105"/>
      <c r="E5" s="136"/>
      <c r="F5" s="136"/>
      <c r="G5" s="136"/>
      <c r="H5" s="105"/>
      <c r="I5" s="105"/>
      <c r="J5" s="105"/>
      <c r="K5" s="105"/>
      <c r="L5" s="105"/>
      <c r="M5" s="105"/>
      <c r="N5" s="105"/>
      <c r="O5" s="105"/>
    </row>
    <row r="6" spans="1:22">
      <c r="A6" s="105"/>
      <c r="B6" s="105"/>
      <c r="C6" s="105"/>
      <c r="D6" s="105"/>
      <c r="E6" s="136"/>
      <c r="F6" s="136"/>
      <c r="G6" s="136"/>
      <c r="H6" s="105"/>
      <c r="I6" s="105"/>
      <c r="J6" s="105"/>
      <c r="K6" s="105"/>
      <c r="L6" s="105"/>
      <c r="M6" s="105"/>
      <c r="N6" s="105"/>
      <c r="O6" s="105"/>
    </row>
    <row r="7" spans="1:22">
      <c r="A7" s="105"/>
      <c r="B7" s="105"/>
      <c r="C7" s="105"/>
      <c r="E7" s="136"/>
      <c r="F7" s="136"/>
      <c r="H7" s="105"/>
      <c r="I7" s="105"/>
      <c r="J7" s="105"/>
      <c r="K7" s="105"/>
      <c r="L7" s="105"/>
      <c r="M7" s="105"/>
      <c r="N7" s="105"/>
      <c r="O7" s="105"/>
    </row>
    <row r="8" spans="1:22">
      <c r="A8" s="105"/>
      <c r="B8" s="105"/>
      <c r="C8" s="105"/>
      <c r="E8" s="136"/>
      <c r="F8" s="136"/>
      <c r="H8" s="105"/>
      <c r="I8" s="105"/>
      <c r="J8" s="105"/>
      <c r="K8" s="105"/>
      <c r="L8" s="105"/>
      <c r="M8" s="105"/>
      <c r="N8" s="105"/>
      <c r="O8" s="105"/>
      <c r="P8" s="105"/>
      <c r="Q8" s="105"/>
      <c r="R8" s="105"/>
      <c r="S8" s="105"/>
      <c r="T8" s="105"/>
      <c r="U8" s="105"/>
      <c r="V8" s="105"/>
    </row>
    <row r="9" spans="1:22">
      <c r="A9" s="105"/>
      <c r="B9" s="105"/>
      <c r="C9" s="105"/>
      <c r="E9" s="136"/>
      <c r="F9" s="136"/>
      <c r="H9" s="105"/>
      <c r="I9" s="105"/>
      <c r="J9" s="105"/>
      <c r="K9" s="105"/>
      <c r="L9" s="105"/>
      <c r="M9" s="105"/>
      <c r="N9" s="105"/>
      <c r="O9" s="105"/>
      <c r="P9" s="105"/>
      <c r="Q9" s="105"/>
      <c r="R9" s="105"/>
      <c r="S9" s="105"/>
      <c r="T9" s="105"/>
      <c r="U9" s="105"/>
      <c r="V9" s="105"/>
    </row>
    <row r="10" spans="1:22">
      <c r="A10" s="105"/>
      <c r="B10" s="105"/>
      <c r="C10" s="105"/>
      <c r="E10" s="136"/>
      <c r="F10" s="136"/>
      <c r="H10" s="105"/>
      <c r="I10" s="105"/>
      <c r="J10" s="105"/>
      <c r="K10" s="105"/>
      <c r="L10" s="105"/>
      <c r="M10" s="105"/>
      <c r="N10" s="105"/>
      <c r="O10" s="105"/>
      <c r="P10" s="105"/>
      <c r="Q10" s="105"/>
      <c r="R10" s="105"/>
      <c r="S10" s="105"/>
      <c r="T10" s="105"/>
      <c r="U10" s="105"/>
      <c r="V10" s="105"/>
    </row>
    <row r="11" spans="1:22">
      <c r="A11" s="105"/>
      <c r="B11" s="105"/>
      <c r="C11" s="105"/>
      <c r="E11" s="136"/>
      <c r="F11" s="136"/>
      <c r="H11" s="105"/>
      <c r="I11" s="105"/>
      <c r="J11" s="105"/>
      <c r="K11" s="105"/>
      <c r="L11" s="105"/>
      <c r="M11" s="105"/>
      <c r="N11" s="105"/>
      <c r="O11" s="105"/>
      <c r="P11" s="105"/>
      <c r="Q11" s="105"/>
      <c r="R11" s="105"/>
      <c r="S11" s="105"/>
      <c r="T11" s="105"/>
      <c r="U11" s="105"/>
      <c r="V11" s="105"/>
    </row>
    <row r="12" spans="1:22">
      <c r="A12" s="105"/>
      <c r="B12" s="105"/>
      <c r="C12" s="105"/>
      <c r="E12" s="136"/>
      <c r="F12" s="136"/>
      <c r="H12" s="105"/>
      <c r="I12" s="105"/>
      <c r="J12" s="105"/>
      <c r="K12" s="105"/>
      <c r="L12" s="105"/>
      <c r="M12" s="105"/>
      <c r="N12" s="105"/>
      <c r="O12" s="105"/>
      <c r="P12" s="105"/>
      <c r="Q12" s="105"/>
      <c r="R12" s="105"/>
      <c r="S12" s="105"/>
      <c r="T12" s="105"/>
      <c r="U12" s="105"/>
      <c r="V12" s="105"/>
    </row>
    <row r="13" spans="1:22">
      <c r="A13" s="105"/>
      <c r="B13" s="105"/>
      <c r="C13" s="105"/>
      <c r="E13" s="136"/>
      <c r="F13" s="136"/>
      <c r="H13" s="105"/>
      <c r="I13" s="105"/>
      <c r="J13" s="105"/>
      <c r="K13" s="105"/>
      <c r="L13" s="105"/>
      <c r="M13" s="105"/>
      <c r="N13" s="105"/>
      <c r="O13" s="105"/>
      <c r="P13" s="105"/>
      <c r="Q13" s="105"/>
      <c r="R13" s="105"/>
      <c r="S13" s="105"/>
      <c r="T13" s="105"/>
      <c r="U13" s="105"/>
      <c r="V13" s="105"/>
    </row>
    <row r="14" spans="1:22">
      <c r="A14" s="105"/>
      <c r="B14" s="105"/>
      <c r="C14" s="105"/>
      <c r="E14" s="136"/>
      <c r="F14" s="136"/>
      <c r="H14" s="105"/>
      <c r="I14" s="105"/>
      <c r="J14" s="105"/>
      <c r="K14" s="105"/>
      <c r="L14" s="105"/>
      <c r="M14" s="105"/>
      <c r="N14" s="105"/>
      <c r="O14" s="105"/>
      <c r="P14" s="105"/>
      <c r="Q14" s="105"/>
      <c r="R14" s="105"/>
      <c r="S14" s="105"/>
      <c r="T14" s="105"/>
      <c r="U14" s="105"/>
      <c r="V14" s="105"/>
    </row>
    <row r="15" spans="1:22">
      <c r="A15" s="105"/>
      <c r="B15" s="105"/>
      <c r="C15" s="105"/>
      <c r="D15" s="148"/>
      <c r="E15" s="136"/>
      <c r="H15" s="105"/>
      <c r="I15" s="105"/>
      <c r="J15" s="105"/>
      <c r="K15" s="105"/>
      <c r="L15" s="105"/>
      <c r="M15" s="105"/>
      <c r="N15" s="105"/>
      <c r="O15" s="105"/>
      <c r="P15" s="105"/>
      <c r="Q15" s="105"/>
      <c r="R15" s="105"/>
      <c r="S15" s="105"/>
      <c r="T15" s="105"/>
      <c r="U15" s="105"/>
      <c r="V15" s="105"/>
    </row>
    <row r="16" spans="1:22">
      <c r="A16" s="105"/>
      <c r="B16" s="105"/>
      <c r="C16" s="105"/>
      <c r="E16" s="136"/>
      <c r="F16" s="136"/>
      <c r="H16" s="105"/>
      <c r="I16" s="105"/>
      <c r="J16" s="105"/>
      <c r="K16" s="105"/>
      <c r="L16" s="105"/>
      <c r="M16" s="105"/>
      <c r="N16" s="105"/>
      <c r="O16" s="105"/>
      <c r="P16" s="105"/>
      <c r="Q16" s="105"/>
      <c r="R16" s="105"/>
      <c r="S16" s="105"/>
      <c r="T16" s="105"/>
      <c r="U16" s="105"/>
      <c r="V16" s="105"/>
    </row>
    <row r="17" spans="1:28">
      <c r="A17" s="105"/>
      <c r="B17" s="105"/>
      <c r="C17" s="105"/>
      <c r="E17" s="136"/>
      <c r="F17" s="136"/>
      <c r="H17" s="105"/>
      <c r="I17" s="105"/>
      <c r="J17" s="105"/>
      <c r="K17" s="105"/>
      <c r="L17" s="105"/>
      <c r="M17" s="105"/>
      <c r="N17" s="105"/>
      <c r="O17" s="105"/>
      <c r="P17" s="105"/>
      <c r="Q17" s="105"/>
      <c r="R17" s="105"/>
      <c r="S17" s="105"/>
      <c r="T17" s="105"/>
      <c r="U17" s="105"/>
      <c r="V17" s="105"/>
    </row>
    <row r="18" spans="1:28">
      <c r="A18" s="105"/>
      <c r="B18" s="105"/>
      <c r="C18" s="105"/>
      <c r="E18" s="136"/>
      <c r="F18" s="136"/>
      <c r="H18" s="105"/>
      <c r="I18" s="105"/>
      <c r="J18" s="105"/>
      <c r="K18" s="105"/>
      <c r="L18" s="105"/>
      <c r="M18" s="105"/>
      <c r="N18" s="105"/>
      <c r="O18" s="105"/>
      <c r="P18" s="105"/>
      <c r="Q18" s="105"/>
      <c r="R18" s="105"/>
      <c r="S18" s="105"/>
      <c r="T18" s="105"/>
      <c r="U18" s="105"/>
      <c r="V18" s="105"/>
    </row>
    <row r="19" spans="1:28" s="144" customFormat="1" ht="26">
      <c r="A19" s="142"/>
      <c r="B19" s="143" t="s">
        <v>600</v>
      </c>
      <c r="D19" s="149"/>
      <c r="E19" s="145" t="s">
        <v>3</v>
      </c>
      <c r="F19" s="146"/>
      <c r="G19" s="147"/>
      <c r="I19" s="142"/>
      <c r="J19" s="142"/>
      <c r="K19" s="142"/>
      <c r="R19" s="142"/>
      <c r="S19" s="142"/>
      <c r="T19" s="142"/>
      <c r="U19" s="142"/>
      <c r="V19" s="142"/>
    </row>
    <row r="20" spans="1:28">
      <c r="A20" s="105"/>
      <c r="B20" s="51" t="str" cm="1">
        <f t="array" ref="B20:B27">_xlfn.UNIQUE(Equipment_Database[Tool Used for process])</f>
        <v>Calcination</v>
      </c>
      <c r="D20" s="51"/>
      <c r="E20" s="137" t="s">
        <v>590</v>
      </c>
      <c r="F20" s="137" t="s">
        <v>8</v>
      </c>
      <c r="G20" s="137" t="s">
        <v>1</v>
      </c>
      <c r="R20" s="105"/>
      <c r="S20" s="105"/>
      <c r="T20" s="105"/>
      <c r="U20" s="105"/>
      <c r="V20" s="105"/>
    </row>
    <row r="21" spans="1:28">
      <c r="A21" s="105"/>
      <c r="B21" s="51" t="str">
        <v>Centrifuge</v>
      </c>
      <c r="C21" s="105"/>
      <c r="D21" s="51" t="s">
        <v>592</v>
      </c>
      <c r="E21" s="138">
        <f>ROUND(AVERAGE(INDEX(_xlfn.ANCHORARRAY(B48),0,7)),2)</f>
        <v>35.51</v>
      </c>
      <c r="F21" s="138">
        <f>ROUND(MIN(INDEX(_xlfn.ANCHORARRAY(B48),0,7)),2)</f>
        <v>1.1000000000000001</v>
      </c>
      <c r="G21" s="138">
        <f>ROUND(MAX(INDEX(_xlfn.ANCHORARRAY(B48),0,7)),2)</f>
        <v>120</v>
      </c>
      <c r="H21" s="105"/>
      <c r="I21" s="105"/>
      <c r="J21" s="105"/>
      <c r="K21" s="105"/>
      <c r="L21" s="105"/>
      <c r="M21" s="105"/>
      <c r="N21" s="105"/>
      <c r="O21" s="105"/>
      <c r="P21" s="105"/>
      <c r="Q21" s="105"/>
      <c r="R21" s="105"/>
      <c r="S21" s="105"/>
      <c r="T21" s="105"/>
      <c r="U21" s="105"/>
      <c r="V21" s="105"/>
      <c r="X21" s="1" t="s">
        <v>595</v>
      </c>
      <c r="AA21" s="230">
        <f>ROUND(_xlfn.PERCENTRANK.INC(INDEX(_xlfn.ANCHORARRAY(B48),0,7), E26),4)</f>
        <v>0.66300000000000003</v>
      </c>
      <c r="AB21" s="230">
        <f>ROUND(_xlfn.PERCENTRANK.INC(AB24:AB28, E26),4)</f>
        <v>0.48799999999999999</v>
      </c>
    </row>
    <row r="22" spans="1:28">
      <c r="A22" s="105"/>
      <c r="B22" s="51" t="str">
        <v>Filtration</v>
      </c>
      <c r="C22" s="105"/>
      <c r="D22" s="51" t="s">
        <v>591</v>
      </c>
      <c r="E22" s="138">
        <f>ROUND(AVERAGE(INDEX(_xlfn.ANCHORARRAY(B48),0,5)),2)</f>
        <v>231.2</v>
      </c>
      <c r="F22" s="138">
        <f>ROUND(MIN(INDEX(_xlfn.ANCHORARRAY(B48),0,5)),2)</f>
        <v>1.5</v>
      </c>
      <c r="G22" s="138">
        <f>ROUND(MAX(INDEX(_xlfn.ANCHORARRAY(B48),0,5)),2)</f>
        <v>1300</v>
      </c>
      <c r="H22" s="105"/>
      <c r="I22" s="105"/>
      <c r="J22" s="105"/>
      <c r="K22" s="105"/>
      <c r="L22" s="105"/>
      <c r="M22" s="105"/>
      <c r="N22" s="105"/>
      <c r="O22" s="105"/>
      <c r="P22" s="105"/>
      <c r="Q22" s="105"/>
      <c r="R22" s="105"/>
      <c r="S22" s="105"/>
      <c r="T22" s="105"/>
      <c r="U22" s="105"/>
      <c r="V22" s="105"/>
      <c r="Y22" s="1" t="s">
        <v>598</v>
      </c>
      <c r="Z22" s="1" t="s">
        <v>599</v>
      </c>
    </row>
    <row r="23" spans="1:28">
      <c r="A23" s="105"/>
      <c r="B23" s="51" t="str">
        <v>Hydrothermal</v>
      </c>
      <c r="C23" s="105"/>
      <c r="D23" s="51" t="s">
        <v>647</v>
      </c>
      <c r="E23" s="138">
        <f>ROUND(AVERAGE(INDEX(_xlfn.ANCHORARRAY(R48),0,7)),2)</f>
        <v>3.39</v>
      </c>
      <c r="F23" s="138">
        <f>ROUND(MIN(INDEX(_xlfn.ANCHORARRAY(R48),0,7)),2)</f>
        <v>0</v>
      </c>
      <c r="G23" s="138">
        <f>ROUND(MAX(INDEX(_xlfn.ANCHORARRAY(R48),0,7)),2)</f>
        <v>12</v>
      </c>
      <c r="H23" s="105"/>
      <c r="I23" s="105"/>
      <c r="J23" s="105"/>
      <c r="K23" s="105"/>
      <c r="L23" s="105"/>
      <c r="M23" s="105"/>
      <c r="N23" s="105"/>
      <c r="O23" s="105"/>
      <c r="P23" s="105"/>
      <c r="Q23" s="105"/>
      <c r="R23" s="105"/>
      <c r="S23" s="105"/>
      <c r="T23" s="105"/>
      <c r="U23" s="105"/>
      <c r="V23" s="105"/>
      <c r="Y23" s="1">
        <v>0</v>
      </c>
      <c r="Z23" s="231">
        <f>AB21</f>
        <v>0.48799999999999999</v>
      </c>
    </row>
    <row r="24" spans="1:28">
      <c r="A24" s="105"/>
      <c r="B24" s="51" t="str">
        <v>Milling</v>
      </c>
      <c r="C24" s="105"/>
      <c r="D24" s="51"/>
      <c r="E24" s="138"/>
      <c r="G24" s="138"/>
      <c r="H24" s="105"/>
      <c r="I24" s="105"/>
      <c r="K24" s="105"/>
      <c r="L24" s="105"/>
      <c r="M24" s="105"/>
      <c r="N24" s="105"/>
      <c r="O24" s="105"/>
      <c r="P24" s="105"/>
      <c r="Q24" s="105"/>
      <c r="R24" s="105"/>
      <c r="S24" s="105"/>
      <c r="T24" s="105"/>
      <c r="U24" s="105"/>
      <c r="V24" s="105"/>
      <c r="X24" s="1" t="s">
        <v>596</v>
      </c>
      <c r="Y24" s="230">
        <v>0.25</v>
      </c>
      <c r="Z24" s="230">
        <v>0.02</v>
      </c>
      <c r="AB24" s="1">
        <f>ROUND(MIN(INDEX(_xlfn.ANCHORARRAY(B48),0,7)),2)</f>
        <v>1.1000000000000001</v>
      </c>
    </row>
    <row r="25" spans="1:28">
      <c r="A25" s="105"/>
      <c r="B25" s="51" t="str">
        <v>Sonication</v>
      </c>
      <c r="C25" s="105"/>
      <c r="D25" s="51"/>
      <c r="E25" s="138"/>
      <c r="G25" s="138"/>
      <c r="H25" s="105"/>
      <c r="I25" s="105"/>
      <c r="K25" s="105"/>
      <c r="L25" s="105"/>
      <c r="M25" s="105"/>
      <c r="N25" s="105"/>
      <c r="O25" s="105"/>
      <c r="P25" s="105"/>
      <c r="Q25" s="105"/>
      <c r="R25" s="105"/>
      <c r="S25" s="105"/>
      <c r="T25" s="105"/>
      <c r="U25" s="105"/>
      <c r="V25" s="105"/>
      <c r="X25" s="1" t="s">
        <v>2</v>
      </c>
      <c r="Y25" s="230">
        <v>0.5</v>
      </c>
      <c r="Z25" s="230">
        <v>1.38</v>
      </c>
      <c r="AB25" s="1">
        <f>ROUND(PERCENTILE(INDEX(_xlfn.ANCHORARRAY(B48),0,7),0.25),2)</f>
        <v>3.19</v>
      </c>
    </row>
    <row r="26" spans="1:28">
      <c r="A26" s="105"/>
      <c r="B26" s="51" t="str">
        <v>Mixing</v>
      </c>
      <c r="C26" s="105"/>
      <c r="D26" s="51" t="s">
        <v>648</v>
      </c>
      <c r="E26" s="139">
        <v>34</v>
      </c>
      <c r="G26" s="138"/>
      <c r="H26" s="105"/>
      <c r="I26" s="105"/>
      <c r="K26" s="105"/>
      <c r="L26" s="105"/>
      <c r="M26" s="105"/>
      <c r="N26" s="105"/>
      <c r="O26" s="105"/>
      <c r="P26" s="105"/>
      <c r="Q26" s="105"/>
      <c r="R26" s="105"/>
      <c r="S26" s="105"/>
      <c r="T26" s="105"/>
      <c r="U26" s="105"/>
      <c r="V26" s="105"/>
      <c r="X26" s="1" t="s">
        <v>597</v>
      </c>
      <c r="Y26" s="230">
        <v>0.25</v>
      </c>
      <c r="AB26" s="1">
        <f>ROUND(AVERAGE(INDEX(_xlfn.ANCHORARRAY(B48),0,7)),2)</f>
        <v>35.51</v>
      </c>
    </row>
    <row r="27" spans="1:28">
      <c r="A27" s="105"/>
      <c r="B27" s="51" t="str">
        <v>Annealing</v>
      </c>
      <c r="C27" s="105"/>
      <c r="E27" s="1"/>
      <c r="G27" s="138"/>
      <c r="H27" s="105"/>
      <c r="I27" s="105"/>
      <c r="O27" s="105"/>
      <c r="P27" s="105"/>
      <c r="Q27" s="105"/>
      <c r="R27" s="105"/>
      <c r="S27" s="105"/>
      <c r="T27" s="105"/>
      <c r="U27" s="105"/>
      <c r="V27" s="105"/>
      <c r="X27" s="1" t="s">
        <v>1</v>
      </c>
      <c r="Y27" s="230">
        <v>1</v>
      </c>
      <c r="AB27" s="1">
        <f>ROUND(PERCENTILE(INDEX(_xlfn.ANCHORARRAY(B48),0,7),0.75),2)</f>
        <v>72.5</v>
      </c>
    </row>
    <row r="28" spans="1:28">
      <c r="A28" s="105"/>
      <c r="B28" s="51"/>
      <c r="C28" s="105"/>
      <c r="E28" s="1"/>
      <c r="G28" s="138"/>
      <c r="H28" s="105"/>
      <c r="I28" s="105"/>
      <c r="J28" s="105"/>
      <c r="K28" s="105"/>
      <c r="L28" s="105"/>
      <c r="M28" s="105"/>
      <c r="N28" s="105"/>
      <c r="O28" s="105"/>
      <c r="P28" s="105"/>
      <c r="Q28" s="105"/>
      <c r="R28" s="105"/>
      <c r="S28" s="105"/>
      <c r="T28" s="105"/>
      <c r="U28" s="105"/>
      <c r="V28" s="105"/>
      <c r="AB28" s="1">
        <f>ROUND(MAX(INDEX(_xlfn.ANCHORARRAY(B48),0,7)),2)</f>
        <v>120</v>
      </c>
    </row>
    <row r="29" spans="1:28">
      <c r="A29" s="105"/>
      <c r="B29" s="51"/>
      <c r="C29" s="105"/>
      <c r="E29" s="136"/>
      <c r="F29" s="136"/>
      <c r="H29" s="105"/>
      <c r="I29" s="105"/>
      <c r="J29" s="105"/>
      <c r="K29" s="105"/>
      <c r="L29" s="105"/>
      <c r="M29" s="105"/>
      <c r="N29" s="105"/>
      <c r="O29" s="105"/>
      <c r="P29" s="105"/>
      <c r="Q29" s="105"/>
      <c r="R29" s="105"/>
      <c r="S29" s="105"/>
      <c r="T29" s="105"/>
      <c r="U29" s="105"/>
      <c r="V29" s="105"/>
    </row>
    <row r="30" spans="1:28">
      <c r="A30" s="105"/>
      <c r="B30" s="51"/>
      <c r="C30" s="105"/>
      <c r="D30" s="51" t="s">
        <v>650</v>
      </c>
      <c r="E30" s="139">
        <v>2</v>
      </c>
      <c r="F30" s="136"/>
      <c r="H30" s="105"/>
      <c r="I30" s="105"/>
      <c r="J30" s="105"/>
      <c r="K30" s="105"/>
      <c r="L30" s="105"/>
      <c r="M30" s="105"/>
      <c r="N30" s="105"/>
      <c r="O30" s="105"/>
      <c r="P30" s="105"/>
      <c r="Q30" s="105"/>
      <c r="R30" s="105"/>
      <c r="S30" s="105"/>
      <c r="T30" s="105"/>
      <c r="U30" s="105"/>
      <c r="V30" s="105"/>
    </row>
    <row r="31" spans="1:28">
      <c r="A31" s="105"/>
      <c r="B31" s="51"/>
      <c r="C31" s="105"/>
      <c r="D31" s="51" t="s">
        <v>651</v>
      </c>
      <c r="E31" s="138">
        <f>ROUND(E21*E23,2)</f>
        <v>120.38</v>
      </c>
      <c r="F31" s="136"/>
      <c r="H31" s="105"/>
      <c r="I31" s="105"/>
      <c r="J31" s="105"/>
      <c r="K31" s="105"/>
      <c r="L31" s="105"/>
      <c r="M31" s="105"/>
      <c r="N31" s="105"/>
      <c r="O31" s="105"/>
      <c r="P31" s="105"/>
      <c r="Q31" s="105"/>
      <c r="R31" s="105"/>
      <c r="S31" s="105"/>
      <c r="T31" s="105"/>
      <c r="U31" s="105"/>
      <c r="V31" s="105"/>
    </row>
    <row r="32" spans="1:28">
      <c r="A32" s="105"/>
      <c r="B32" s="51"/>
      <c r="C32" s="105"/>
      <c r="D32" s="1" t="s">
        <v>649</v>
      </c>
      <c r="E32" s="150">
        <f>ROUND(E26*E30,2)</f>
        <v>68</v>
      </c>
      <c r="F32" s="136"/>
      <c r="H32" s="105"/>
      <c r="I32" s="105"/>
      <c r="J32" s="105"/>
      <c r="K32" s="105"/>
      <c r="L32" s="105"/>
      <c r="M32" s="105"/>
      <c r="N32" s="105"/>
      <c r="O32" s="105"/>
      <c r="P32" s="105"/>
      <c r="Q32" s="105"/>
      <c r="R32" s="105"/>
      <c r="S32" s="105"/>
      <c r="T32" s="105"/>
      <c r="U32" s="105"/>
      <c r="V32" s="105"/>
    </row>
    <row r="33" spans="1:32">
      <c r="A33" s="105"/>
      <c r="B33" s="51"/>
      <c r="C33" s="105"/>
      <c r="E33" s="138"/>
      <c r="F33" s="136"/>
      <c r="H33" s="105"/>
      <c r="I33" s="105"/>
      <c r="J33" s="105"/>
      <c r="K33" s="105"/>
      <c r="L33" s="105"/>
      <c r="M33" s="105"/>
      <c r="N33" s="105"/>
      <c r="O33" s="105"/>
      <c r="P33" s="105"/>
      <c r="Q33" s="105"/>
      <c r="R33" s="105"/>
      <c r="S33" s="105"/>
      <c r="T33" s="105"/>
      <c r="U33" s="105"/>
      <c r="V33" s="105"/>
    </row>
    <row r="34" spans="1:32">
      <c r="A34" s="105"/>
      <c r="B34" s="51"/>
      <c r="C34" s="105"/>
      <c r="D34" s="140" t="s">
        <v>588</v>
      </c>
      <c r="R34" s="105"/>
      <c r="S34" s="105"/>
      <c r="T34" s="105"/>
      <c r="U34" s="105"/>
      <c r="V34" s="105"/>
    </row>
    <row r="35" spans="1:32" ht="40" customHeight="1">
      <c r="A35" s="105"/>
      <c r="B35" s="51"/>
      <c r="C35" s="105"/>
      <c r="D35" s="141" t="s">
        <v>589</v>
      </c>
      <c r="E35" s="136"/>
      <c r="F35" s="136"/>
      <c r="G35" s="136"/>
      <c r="H35" s="105"/>
      <c r="I35" s="105"/>
      <c r="J35" s="105"/>
      <c r="K35" s="105"/>
      <c r="L35" s="105"/>
      <c r="M35" s="105"/>
      <c r="N35" s="105"/>
      <c r="O35" s="105"/>
      <c r="P35" s="105"/>
      <c r="Q35" s="105"/>
      <c r="R35" s="105"/>
      <c r="S35" s="105"/>
      <c r="T35" s="105"/>
      <c r="U35" s="105"/>
      <c r="V35" s="105"/>
    </row>
    <row r="36" spans="1:32">
      <c r="A36" s="105"/>
      <c r="B36" s="51"/>
      <c r="C36" s="105"/>
      <c r="D36" s="105"/>
      <c r="E36" s="136"/>
      <c r="F36" s="136"/>
      <c r="G36" s="136"/>
      <c r="H36" s="105"/>
      <c r="I36" s="105"/>
      <c r="J36" s="105"/>
      <c r="K36" s="105"/>
      <c r="L36" s="105"/>
      <c r="M36" s="105"/>
      <c r="N36" s="105"/>
      <c r="O36" s="105"/>
      <c r="P36" s="105"/>
      <c r="Q36" s="105"/>
      <c r="R36" s="105"/>
      <c r="S36" s="105"/>
      <c r="T36" s="105"/>
      <c r="U36" s="105"/>
      <c r="V36" s="105"/>
    </row>
    <row r="37" spans="1:32">
      <c r="B37" s="51"/>
    </row>
    <row r="38" spans="1:32">
      <c r="B38" s="51"/>
    </row>
    <row r="39" spans="1:32">
      <c r="B39" s="51"/>
    </row>
    <row r="40" spans="1:32">
      <c r="B40" s="51"/>
    </row>
    <row r="46" spans="1:32" s="151" customFormat="1" ht="14">
      <c r="E46" s="152"/>
      <c r="F46" s="152"/>
      <c r="G46" s="152"/>
    </row>
    <row r="47" spans="1:32" s="153" customFormat="1" ht="60">
      <c r="B47" s="154" t="s">
        <v>115</v>
      </c>
      <c r="C47" s="154" t="s">
        <v>98</v>
      </c>
      <c r="D47" s="154" t="s">
        <v>99</v>
      </c>
      <c r="E47" s="155" t="s">
        <v>100</v>
      </c>
      <c r="F47" s="156" t="s">
        <v>46</v>
      </c>
      <c r="G47" s="157" t="s">
        <v>47</v>
      </c>
      <c r="H47" s="154" t="s">
        <v>48</v>
      </c>
      <c r="I47" s="154" t="s">
        <v>154</v>
      </c>
      <c r="J47" s="154" t="s">
        <v>159</v>
      </c>
      <c r="K47" s="154" t="s">
        <v>160</v>
      </c>
      <c r="L47" s="158" t="s">
        <v>587</v>
      </c>
      <c r="M47" s="154" t="s">
        <v>67</v>
      </c>
      <c r="N47" s="154" t="s">
        <v>45</v>
      </c>
      <c r="O47" s="154" t="s">
        <v>101</v>
      </c>
      <c r="R47" s="154" t="s">
        <v>115</v>
      </c>
      <c r="S47" s="154" t="s">
        <v>98</v>
      </c>
      <c r="T47" s="154" t="s">
        <v>99</v>
      </c>
      <c r="U47" s="155" t="s">
        <v>100</v>
      </c>
      <c r="V47" s="156" t="s">
        <v>46</v>
      </c>
      <c r="W47" s="157" t="s">
        <v>47</v>
      </c>
      <c r="X47" s="154" t="s">
        <v>594</v>
      </c>
      <c r="Y47" s="154" t="s">
        <v>154</v>
      </c>
      <c r="Z47" s="154" t="s">
        <v>159</v>
      </c>
      <c r="AA47" s="154" t="s">
        <v>160</v>
      </c>
      <c r="AB47" s="158" t="s">
        <v>587</v>
      </c>
      <c r="AC47" s="154" t="s">
        <v>67</v>
      </c>
      <c r="AD47" s="154" t="s">
        <v>45</v>
      </c>
      <c r="AE47" s="154" t="s">
        <v>101</v>
      </c>
    </row>
    <row r="48" spans="1:32" s="151" customFormat="1" ht="14">
      <c r="B48" s="159" t="str" cm="1">
        <f t="array" ref="B48:P71">_xlfn._xlws.FILTER(Equipment_Database[#All],Equipment_Database[[#All],[Tool Used for process]]=E19)</f>
        <v>Calcination</v>
      </c>
      <c r="C48" s="151">
        <v>6</v>
      </c>
      <c r="D48" s="151">
        <v>6</v>
      </c>
      <c r="E48" s="152">
        <v>6</v>
      </c>
      <c r="F48" s="152">
        <v>3.5396136000000005</v>
      </c>
      <c r="G48" s="152">
        <v>1200</v>
      </c>
      <c r="H48" s="151">
        <v>2</v>
      </c>
      <c r="I48" s="151">
        <v>0</v>
      </c>
      <c r="J48" s="151">
        <v>0</v>
      </c>
      <c r="K48" s="151">
        <v>0</v>
      </c>
      <c r="L48" s="151">
        <v>2.8316908800000005</v>
      </c>
      <c r="M48" s="151" t="str">
        <v>SentroTech</v>
      </c>
      <c r="N48" s="151" t="str">
        <v>ST-1200°C-666</v>
      </c>
      <c r="O48" s="151">
        <v>0.70629178280928728</v>
      </c>
      <c r="P48" s="151">
        <v>0</v>
      </c>
      <c r="R48" s="151" t="str" cm="1">
        <f t="array" ref="R48:AF92">_xlfn._xlws.FILTER(Process_time_database[#All],Process_time_database[[#All],[Process Name]]=E19)</f>
        <v>Calcination</v>
      </c>
      <c r="S48" s="151" t="str">
        <v>Cerium(III) carbonate</v>
      </c>
      <c r="T48" s="151">
        <v>0</v>
      </c>
      <c r="U48" s="151">
        <v>0</v>
      </c>
      <c r="V48" s="151" t="str">
        <v>calcined</v>
      </c>
      <c r="W48" s="151">
        <v>650</v>
      </c>
      <c r="X48" s="151">
        <v>0</v>
      </c>
      <c r="Y48" s="151">
        <v>0</v>
      </c>
      <c r="Z48" s="151">
        <v>0</v>
      </c>
      <c r="AA48" s="151">
        <v>0</v>
      </c>
      <c r="AB48" s="151">
        <v>0</v>
      </c>
      <c r="AC48" s="151">
        <v>0</v>
      </c>
      <c r="AD48" s="151">
        <v>0</v>
      </c>
      <c r="AE48" s="151">
        <v>0</v>
      </c>
      <c r="AF48" s="151" t="str">
        <v>10.1143/JJAP.46.7671</v>
      </c>
    </row>
    <row r="49" spans="2:32" s="151" customFormat="1" ht="14">
      <c r="B49" s="151" t="str">
        <v>Calcination</v>
      </c>
      <c r="C49" s="151">
        <v>6</v>
      </c>
      <c r="D49" s="151">
        <v>6</v>
      </c>
      <c r="E49" s="152">
        <v>8</v>
      </c>
      <c r="F49" s="152">
        <v>4.7194848</v>
      </c>
      <c r="G49" s="152">
        <v>1200</v>
      </c>
      <c r="H49" s="151">
        <v>3</v>
      </c>
      <c r="I49" s="151">
        <v>0</v>
      </c>
      <c r="J49" s="151">
        <v>0</v>
      </c>
      <c r="K49" s="151">
        <v>0</v>
      </c>
      <c r="L49" s="151">
        <v>3.77558784</v>
      </c>
      <c r="M49" s="151" t="str">
        <v>SentroTech</v>
      </c>
      <c r="N49" s="151" t="str">
        <v>ST-1200°C-668</v>
      </c>
      <c r="O49" s="151">
        <v>0.79457825566044837</v>
      </c>
      <c r="P49" s="151">
        <v>0</v>
      </c>
      <c r="R49" s="151" t="str">
        <v>Calcination</v>
      </c>
      <c r="S49" s="151" t="str">
        <v>Cerium(III) carbonate</v>
      </c>
      <c r="T49" s="151">
        <v>0</v>
      </c>
      <c r="U49" s="151">
        <v>0</v>
      </c>
      <c r="V49" s="151" t="str">
        <v>calcined</v>
      </c>
      <c r="W49" s="151">
        <v>680</v>
      </c>
      <c r="X49" s="151">
        <v>0</v>
      </c>
      <c r="Y49" s="151">
        <v>0</v>
      </c>
      <c r="Z49" s="151">
        <v>0</v>
      </c>
      <c r="AA49" s="151">
        <v>0</v>
      </c>
      <c r="AB49" s="151">
        <v>0</v>
      </c>
      <c r="AC49" s="151">
        <v>0</v>
      </c>
      <c r="AD49" s="151">
        <v>0</v>
      </c>
      <c r="AE49" s="151">
        <v>0</v>
      </c>
      <c r="AF49" s="151" t="str">
        <v>10.1143/JJAP.46.7671</v>
      </c>
    </row>
    <row r="50" spans="2:32" s="151" customFormat="1" ht="14">
      <c r="B50" s="151" t="str">
        <v>Calcination</v>
      </c>
      <c r="C50" s="151">
        <v>6</v>
      </c>
      <c r="D50" s="151">
        <v>7</v>
      </c>
      <c r="E50" s="152">
        <v>8</v>
      </c>
      <c r="F50" s="152">
        <v>5.5060656000000003</v>
      </c>
      <c r="G50" s="152">
        <v>1200</v>
      </c>
      <c r="H50" s="151">
        <v>3</v>
      </c>
      <c r="I50" s="151">
        <v>0</v>
      </c>
      <c r="J50" s="151">
        <v>0</v>
      </c>
      <c r="K50" s="151">
        <v>0</v>
      </c>
      <c r="L50" s="151">
        <v>4.4048524800000006</v>
      </c>
      <c r="M50" s="151" t="str">
        <v>SentroTech</v>
      </c>
      <c r="N50" s="151" t="str">
        <v>ST-1200°C-678</v>
      </c>
      <c r="O50" s="151">
        <v>0.68106707628038421</v>
      </c>
      <c r="P50" s="151">
        <v>0</v>
      </c>
      <c r="R50" s="151" t="str">
        <v>Calcination</v>
      </c>
      <c r="S50" s="151" t="str">
        <v>Cerium(III) carbonate</v>
      </c>
      <c r="T50" s="151">
        <v>0</v>
      </c>
      <c r="U50" s="151">
        <v>0</v>
      </c>
      <c r="V50" s="151" t="str">
        <v>calcined</v>
      </c>
      <c r="W50" s="151">
        <v>550</v>
      </c>
      <c r="X50" s="151">
        <v>0</v>
      </c>
      <c r="Y50" s="151">
        <v>0</v>
      </c>
      <c r="Z50" s="151">
        <v>0</v>
      </c>
      <c r="AA50" s="151">
        <v>0</v>
      </c>
      <c r="AB50" s="151">
        <v>0</v>
      </c>
      <c r="AC50" s="151">
        <v>0</v>
      </c>
      <c r="AD50" s="151">
        <v>0</v>
      </c>
      <c r="AE50" s="151">
        <v>0</v>
      </c>
      <c r="AF50" s="151" t="str">
        <v>10.1143/JJAP.46.7671</v>
      </c>
    </row>
    <row r="51" spans="2:32" s="151" customFormat="1" ht="14">
      <c r="B51" s="151" t="str">
        <v>Calcination</v>
      </c>
      <c r="C51" s="151">
        <v>7</v>
      </c>
      <c r="D51" s="151">
        <v>8</v>
      </c>
      <c r="E51" s="152">
        <v>12</v>
      </c>
      <c r="F51" s="152">
        <v>11.012131200000001</v>
      </c>
      <c r="G51" s="152">
        <v>1200</v>
      </c>
      <c r="H51" s="151">
        <v>4</v>
      </c>
      <c r="I51" s="151">
        <v>0</v>
      </c>
      <c r="J51" s="151">
        <v>0</v>
      </c>
      <c r="K51" s="151">
        <v>0</v>
      </c>
      <c r="L51" s="151">
        <v>8.8097049600000013</v>
      </c>
      <c r="M51" s="151" t="str">
        <v>SentroTech</v>
      </c>
      <c r="N51" s="151" t="str">
        <v>ST-1200°C-7812</v>
      </c>
      <c r="O51" s="151">
        <v>0.45404471752025616</v>
      </c>
      <c r="P51" s="151">
        <v>0</v>
      </c>
      <c r="R51" s="151" t="str">
        <v>Calcination</v>
      </c>
      <c r="S51" s="151" t="str">
        <v>Cerium(III) carbonate</v>
      </c>
      <c r="T51" s="151">
        <v>0</v>
      </c>
      <c r="U51" s="151">
        <v>0</v>
      </c>
      <c r="V51" s="151" t="str">
        <v>calcined</v>
      </c>
      <c r="W51" s="151">
        <v>580</v>
      </c>
      <c r="X51" s="151">
        <v>0</v>
      </c>
      <c r="Y51" s="151">
        <v>0</v>
      </c>
      <c r="Z51" s="151">
        <v>0</v>
      </c>
      <c r="AA51" s="151">
        <v>0</v>
      </c>
      <c r="AB51" s="151">
        <v>0</v>
      </c>
      <c r="AC51" s="151">
        <v>0</v>
      </c>
      <c r="AD51" s="151">
        <v>0</v>
      </c>
      <c r="AE51" s="151">
        <v>0</v>
      </c>
      <c r="AF51" s="151" t="str">
        <v>10.1143/JJAP.46.7671</v>
      </c>
    </row>
    <row r="52" spans="2:32" s="151" customFormat="1" ht="14">
      <c r="B52" s="151" t="str">
        <v>Calcination</v>
      </c>
      <c r="C52" s="151">
        <v>10</v>
      </c>
      <c r="D52" s="151">
        <v>10</v>
      </c>
      <c r="E52" s="152">
        <v>16</v>
      </c>
      <c r="F52" s="152">
        <v>26.219360000000002</v>
      </c>
      <c r="G52" s="152">
        <v>1200</v>
      </c>
      <c r="H52" s="151">
        <v>7</v>
      </c>
      <c r="I52" s="151">
        <v>0</v>
      </c>
      <c r="J52" s="151">
        <v>0</v>
      </c>
      <c r="K52" s="151">
        <v>0</v>
      </c>
      <c r="L52" s="151">
        <v>20.975488000000002</v>
      </c>
      <c r="M52" s="151" t="str">
        <v>SentroTech</v>
      </c>
      <c r="N52" s="151" t="str">
        <v>ST-1200°C-101016</v>
      </c>
      <c r="O52" s="151">
        <v>0.33372286737738827</v>
      </c>
      <c r="P52" s="151">
        <v>0</v>
      </c>
      <c r="R52" s="151" t="str">
        <v>Calcination</v>
      </c>
      <c r="S52" s="151" t="str">
        <v>Cerium(III) carbonate</v>
      </c>
      <c r="T52" s="151">
        <v>0</v>
      </c>
      <c r="U52" s="151">
        <v>0</v>
      </c>
      <c r="V52" s="151" t="str">
        <v>calcined</v>
      </c>
      <c r="W52" s="151">
        <v>400</v>
      </c>
      <c r="X52" s="151">
        <v>4</v>
      </c>
      <c r="Y52" s="151">
        <v>0</v>
      </c>
      <c r="Z52" s="151">
        <v>0</v>
      </c>
      <c r="AA52" s="151">
        <v>0</v>
      </c>
      <c r="AB52" s="151">
        <v>0</v>
      </c>
      <c r="AC52" s="151">
        <v>0</v>
      </c>
      <c r="AD52" s="151">
        <v>0</v>
      </c>
      <c r="AE52" s="151">
        <v>0</v>
      </c>
      <c r="AF52" s="151" t="str">
        <v>10.1143/JJAP.43.L365</v>
      </c>
    </row>
    <row r="53" spans="2:32" s="151" customFormat="1" ht="14">
      <c r="B53" s="151" t="str">
        <v>Calcination</v>
      </c>
      <c r="C53" s="151">
        <v>12</v>
      </c>
      <c r="D53" s="151">
        <v>12</v>
      </c>
      <c r="E53" s="152">
        <v>16</v>
      </c>
      <c r="F53" s="152">
        <v>37.7558784</v>
      </c>
      <c r="G53" s="152">
        <v>1200</v>
      </c>
      <c r="H53" s="151">
        <v>8</v>
      </c>
      <c r="I53" s="151">
        <v>0</v>
      </c>
      <c r="J53" s="151">
        <v>0</v>
      </c>
      <c r="K53" s="151">
        <v>0</v>
      </c>
      <c r="L53" s="151">
        <v>30.20470272</v>
      </c>
      <c r="M53" s="151" t="str">
        <v>SentroTech</v>
      </c>
      <c r="N53" s="151" t="str">
        <v>ST-1200°C-121216</v>
      </c>
      <c r="O53" s="151">
        <v>0.26485941855348277</v>
      </c>
      <c r="P53" s="151">
        <v>0</v>
      </c>
      <c r="R53" s="151" t="str">
        <v>Calcination</v>
      </c>
      <c r="S53" s="151" t="str">
        <v>Cerium(III) carbonate</v>
      </c>
      <c r="T53" s="151">
        <v>0</v>
      </c>
      <c r="U53" s="151">
        <v>0</v>
      </c>
      <c r="V53" s="151" t="str">
        <v>calcined</v>
      </c>
      <c r="W53" s="151">
        <v>700</v>
      </c>
      <c r="X53" s="151">
        <v>4</v>
      </c>
      <c r="Y53" s="151">
        <v>0</v>
      </c>
      <c r="Z53" s="151">
        <v>0</v>
      </c>
      <c r="AA53" s="151">
        <v>0</v>
      </c>
      <c r="AB53" s="151">
        <v>0</v>
      </c>
      <c r="AC53" s="151">
        <v>0</v>
      </c>
      <c r="AD53" s="151">
        <v>0</v>
      </c>
      <c r="AE53" s="151">
        <v>0</v>
      </c>
      <c r="AF53" s="151" t="str">
        <v>10.1143/JJAP.43.L365</v>
      </c>
    </row>
    <row r="54" spans="2:32" s="151" customFormat="1" ht="14">
      <c r="B54" s="151" t="str">
        <v>Calcination</v>
      </c>
      <c r="C54" s="151">
        <v>16</v>
      </c>
      <c r="D54" s="151">
        <v>16</v>
      </c>
      <c r="E54" s="152">
        <v>22</v>
      </c>
      <c r="F54" s="152">
        <v>92.292147200000016</v>
      </c>
      <c r="G54" s="152">
        <v>1200</v>
      </c>
      <c r="H54" s="151">
        <v>14</v>
      </c>
      <c r="I54" s="151">
        <v>0</v>
      </c>
      <c r="J54" s="151">
        <v>0</v>
      </c>
      <c r="K54" s="151">
        <v>0</v>
      </c>
      <c r="L54" s="151">
        <v>73.833717760000013</v>
      </c>
      <c r="M54" s="151" t="str">
        <v>SentroTech</v>
      </c>
      <c r="N54" s="151" t="str">
        <v>ST-1200°C-161622</v>
      </c>
      <c r="O54" s="151">
        <v>0.18961526555533423</v>
      </c>
      <c r="P54" s="151">
        <v>0</v>
      </c>
      <c r="R54" s="151" t="str">
        <v>Calcination</v>
      </c>
      <c r="S54" s="151" t="str">
        <v>Cerium(III) carbonate</v>
      </c>
      <c r="T54" s="151">
        <v>0</v>
      </c>
      <c r="U54" s="151">
        <v>0</v>
      </c>
      <c r="V54" s="151" t="str">
        <v>calcined</v>
      </c>
      <c r="W54" s="151">
        <v>800</v>
      </c>
      <c r="X54" s="151">
        <v>4</v>
      </c>
      <c r="Y54" s="151">
        <v>0</v>
      </c>
      <c r="Z54" s="151">
        <v>0</v>
      </c>
      <c r="AA54" s="151">
        <v>0</v>
      </c>
      <c r="AB54" s="151">
        <v>0</v>
      </c>
      <c r="AC54" s="151">
        <v>0</v>
      </c>
      <c r="AD54" s="151">
        <v>0</v>
      </c>
      <c r="AE54" s="151">
        <v>0</v>
      </c>
      <c r="AF54" s="151" t="str">
        <v>10.1143/JJAP.43.L365</v>
      </c>
    </row>
    <row r="55" spans="2:32" s="151" customFormat="1" ht="14">
      <c r="B55" s="151" t="str">
        <v>Calcination</v>
      </c>
      <c r="C55" s="151">
        <v>12</v>
      </c>
      <c r="D55" s="151">
        <v>12</v>
      </c>
      <c r="E55" s="152">
        <v>12</v>
      </c>
      <c r="F55" s="152">
        <v>28.316908800000004</v>
      </c>
      <c r="G55" s="152">
        <v>1200</v>
      </c>
      <c r="H55" s="151">
        <v>6</v>
      </c>
      <c r="I55" s="151">
        <v>0</v>
      </c>
      <c r="J55" s="151">
        <v>0</v>
      </c>
      <c r="K55" s="151">
        <v>0</v>
      </c>
      <c r="L55" s="151">
        <v>22.653527040000004</v>
      </c>
      <c r="M55" s="151" t="str">
        <v>SentroTech</v>
      </c>
      <c r="N55" s="151" t="str">
        <v>ST-1200°C-121212</v>
      </c>
      <c r="O55" s="151">
        <v>0.26485941855348272</v>
      </c>
      <c r="P55" s="151">
        <v>0</v>
      </c>
      <c r="R55" s="151" t="str">
        <v>Calcination</v>
      </c>
      <c r="S55" s="151" t="str">
        <v>Cerium(III) carbonate</v>
      </c>
      <c r="T55" s="151">
        <v>0</v>
      </c>
      <c r="U55" s="151">
        <v>0</v>
      </c>
      <c r="V55" s="151" t="str">
        <v>calcined</v>
      </c>
      <c r="W55" s="151">
        <v>900</v>
      </c>
      <c r="X55" s="151">
        <v>4</v>
      </c>
      <c r="Y55" s="151">
        <v>0</v>
      </c>
      <c r="Z55" s="151">
        <v>0</v>
      </c>
      <c r="AA55" s="151">
        <v>0</v>
      </c>
      <c r="AB55" s="151">
        <v>0</v>
      </c>
      <c r="AC55" s="151">
        <v>0</v>
      </c>
      <c r="AD55" s="151">
        <v>0</v>
      </c>
      <c r="AE55" s="151">
        <v>0</v>
      </c>
      <c r="AF55" s="151" t="str">
        <v>10.1143/JJAP.43.L365</v>
      </c>
    </row>
    <row r="56" spans="2:32" s="151" customFormat="1" ht="14">
      <c r="B56" s="151" t="str">
        <v>Calcination</v>
      </c>
      <c r="C56" s="151">
        <v>24</v>
      </c>
      <c r="D56" s="151">
        <v>24</v>
      </c>
      <c r="E56" s="152">
        <v>24</v>
      </c>
      <c r="F56" s="152">
        <v>226.53527040000003</v>
      </c>
      <c r="G56" s="152">
        <v>1200</v>
      </c>
      <c r="H56" s="151">
        <v>23</v>
      </c>
      <c r="I56" s="151">
        <v>0</v>
      </c>
      <c r="J56" s="151">
        <v>0</v>
      </c>
      <c r="K56" s="151">
        <v>0</v>
      </c>
      <c r="L56" s="151">
        <v>181.22821632000003</v>
      </c>
      <c r="M56" s="151" t="str">
        <v>SentroTech</v>
      </c>
      <c r="N56" s="151" t="str">
        <v>ST-1200°C-242424</v>
      </c>
      <c r="O56" s="151">
        <v>0.12691180472354383</v>
      </c>
      <c r="P56" s="151">
        <v>0</v>
      </c>
      <c r="R56" s="151" t="str">
        <v>Calcination</v>
      </c>
      <c r="S56" s="151">
        <v>0</v>
      </c>
      <c r="T56" s="151">
        <v>0</v>
      </c>
      <c r="U56" s="151">
        <v>0</v>
      </c>
      <c r="V56" s="151" t="str">
        <v>calcined</v>
      </c>
      <c r="W56" s="151">
        <v>400</v>
      </c>
      <c r="X56" s="151">
        <v>4</v>
      </c>
      <c r="Y56" s="151">
        <v>0</v>
      </c>
      <c r="Z56" s="151">
        <v>0</v>
      </c>
      <c r="AA56" s="151">
        <v>0</v>
      </c>
      <c r="AB56" s="151">
        <v>0</v>
      </c>
      <c r="AC56" s="151">
        <v>0</v>
      </c>
      <c r="AD56" s="151">
        <v>0</v>
      </c>
      <c r="AE56" s="151">
        <v>0</v>
      </c>
      <c r="AF56" s="151" t="str">
        <v>10.1143/JJAP.45.4893</v>
      </c>
    </row>
    <row r="57" spans="2:32" s="151" customFormat="1" ht="14">
      <c r="B57" s="151" t="str">
        <v>Calcination</v>
      </c>
      <c r="C57" s="151">
        <v>0</v>
      </c>
      <c r="D57" s="151">
        <v>0</v>
      </c>
      <c r="E57" s="152">
        <v>0</v>
      </c>
      <c r="F57" s="152">
        <v>1.5</v>
      </c>
      <c r="G57" s="152">
        <v>1150</v>
      </c>
      <c r="H57" s="151">
        <v>1.1000000000000001</v>
      </c>
      <c r="I57" s="151">
        <v>0</v>
      </c>
      <c r="J57" s="151">
        <v>0</v>
      </c>
      <c r="K57" s="151">
        <v>0</v>
      </c>
      <c r="L57" s="151">
        <v>1.2000000000000002</v>
      </c>
      <c r="M57" s="151" t="str">
        <v>Yamaha</v>
      </c>
      <c r="N57" s="151" t="str">
        <v>FP104</v>
      </c>
      <c r="O57" s="151">
        <v>0.91666666666666663</v>
      </c>
      <c r="P57" s="151">
        <v>0</v>
      </c>
      <c r="R57" s="151" t="str">
        <v>Calcination</v>
      </c>
      <c r="S57" s="151">
        <v>0</v>
      </c>
      <c r="T57" s="151">
        <v>0</v>
      </c>
      <c r="U57" s="151">
        <v>0</v>
      </c>
      <c r="V57" s="151" t="str">
        <v>calcined</v>
      </c>
      <c r="W57" s="151">
        <v>500</v>
      </c>
      <c r="X57" s="151">
        <v>4</v>
      </c>
      <c r="Y57" s="151">
        <v>0</v>
      </c>
      <c r="Z57" s="151">
        <v>0</v>
      </c>
      <c r="AA57" s="151">
        <v>0</v>
      </c>
      <c r="AB57" s="151">
        <v>0</v>
      </c>
      <c r="AC57" s="151">
        <v>0</v>
      </c>
      <c r="AD57" s="151">
        <v>0</v>
      </c>
      <c r="AE57" s="151">
        <v>0</v>
      </c>
      <c r="AF57" s="151" t="str">
        <v>10.1143/JJAP.45.4893</v>
      </c>
    </row>
    <row r="58" spans="2:32" s="151" customFormat="1" ht="14">
      <c r="B58" s="151" t="str">
        <v>Calcination</v>
      </c>
      <c r="C58" s="151">
        <v>0</v>
      </c>
      <c r="D58" s="151">
        <v>0</v>
      </c>
      <c r="E58" s="152">
        <v>0</v>
      </c>
      <c r="F58" s="152">
        <v>7.5</v>
      </c>
      <c r="G58" s="152">
        <v>1150</v>
      </c>
      <c r="H58" s="151">
        <v>2.4</v>
      </c>
      <c r="I58" s="151">
        <v>0</v>
      </c>
      <c r="J58" s="151">
        <v>0</v>
      </c>
      <c r="K58" s="151">
        <v>0</v>
      </c>
      <c r="L58" s="151">
        <v>6</v>
      </c>
      <c r="M58" s="151" t="str">
        <v>Yamaha</v>
      </c>
      <c r="N58" s="151" t="str">
        <v>FP303</v>
      </c>
      <c r="O58" s="151">
        <v>0.39999999999999997</v>
      </c>
      <c r="P58" s="151">
        <v>0</v>
      </c>
      <c r="R58" s="151" t="str">
        <v>Calcination</v>
      </c>
      <c r="S58" s="151">
        <v>0</v>
      </c>
      <c r="T58" s="151">
        <v>0</v>
      </c>
      <c r="U58" s="151">
        <v>0</v>
      </c>
      <c r="V58" s="151" t="str">
        <v>calcined</v>
      </c>
      <c r="W58" s="151">
        <v>800</v>
      </c>
      <c r="X58" s="151">
        <v>4</v>
      </c>
      <c r="Y58" s="151">
        <v>0</v>
      </c>
      <c r="Z58" s="151">
        <v>0</v>
      </c>
      <c r="AA58" s="151">
        <v>0</v>
      </c>
      <c r="AB58" s="151">
        <v>0</v>
      </c>
      <c r="AC58" s="151">
        <v>0</v>
      </c>
      <c r="AD58" s="151">
        <v>0</v>
      </c>
      <c r="AE58" s="151">
        <v>0</v>
      </c>
      <c r="AF58" s="151" t="str">
        <v>10.1143/JJAP.45.4893</v>
      </c>
    </row>
    <row r="59" spans="2:32" s="151" customFormat="1" ht="14">
      <c r="B59" s="151" t="str">
        <v>Calcination</v>
      </c>
      <c r="C59" s="151">
        <v>0</v>
      </c>
      <c r="D59" s="151">
        <v>0</v>
      </c>
      <c r="E59" s="152">
        <v>0</v>
      </c>
      <c r="F59" s="152">
        <v>7.5</v>
      </c>
      <c r="G59" s="152">
        <v>1150</v>
      </c>
      <c r="H59" s="151">
        <v>2.4</v>
      </c>
      <c r="I59" s="151">
        <v>0</v>
      </c>
      <c r="J59" s="151">
        <v>0</v>
      </c>
      <c r="K59" s="151">
        <v>0</v>
      </c>
      <c r="L59" s="151">
        <v>6</v>
      </c>
      <c r="M59" s="151" t="str">
        <v>Yamaha</v>
      </c>
      <c r="N59" s="151" t="str">
        <v>FP313</v>
      </c>
      <c r="O59" s="151">
        <v>0.39999999999999997</v>
      </c>
      <c r="P59" s="151">
        <v>0</v>
      </c>
      <c r="R59" s="151" t="str">
        <v>Calcination</v>
      </c>
      <c r="S59" s="151">
        <v>0</v>
      </c>
      <c r="T59" s="151">
        <v>0</v>
      </c>
      <c r="U59" s="151">
        <v>0</v>
      </c>
      <c r="V59" s="151" t="str">
        <v>calcined</v>
      </c>
      <c r="W59" s="151">
        <v>900</v>
      </c>
      <c r="X59" s="151">
        <v>4</v>
      </c>
      <c r="Y59" s="151">
        <v>0</v>
      </c>
      <c r="Z59" s="151">
        <v>0</v>
      </c>
      <c r="AA59" s="151">
        <v>0</v>
      </c>
      <c r="AB59" s="151">
        <v>0</v>
      </c>
      <c r="AC59" s="151">
        <v>0</v>
      </c>
      <c r="AD59" s="151">
        <v>0</v>
      </c>
      <c r="AE59" s="151">
        <v>0</v>
      </c>
      <c r="AF59" s="151" t="str">
        <v>10.1143/JJAP.45.4893</v>
      </c>
    </row>
    <row r="60" spans="2:32" s="151" customFormat="1" ht="14">
      <c r="B60" s="151" t="str">
        <v>Calcination</v>
      </c>
      <c r="C60" s="151">
        <v>0</v>
      </c>
      <c r="D60" s="151">
        <v>0</v>
      </c>
      <c r="E60" s="152">
        <v>0</v>
      </c>
      <c r="F60" s="152">
        <v>11.3</v>
      </c>
      <c r="G60" s="152">
        <v>1150</v>
      </c>
      <c r="H60" s="151">
        <v>3.25</v>
      </c>
      <c r="I60" s="151">
        <v>0</v>
      </c>
      <c r="J60" s="151">
        <v>0</v>
      </c>
      <c r="K60" s="151">
        <v>0</v>
      </c>
      <c r="L60" s="151">
        <v>9.0400000000000009</v>
      </c>
      <c r="M60" s="151" t="str">
        <v>Yamaha</v>
      </c>
      <c r="N60" s="151" t="str">
        <v>FP413</v>
      </c>
      <c r="O60" s="151">
        <v>0.35951327433628316</v>
      </c>
      <c r="P60" s="151">
        <v>0</v>
      </c>
      <c r="R60" s="151" t="str">
        <v>Calcination</v>
      </c>
      <c r="S60" s="151" t="str">
        <v>Cerium(III) nitrate hexahydrate</v>
      </c>
      <c r="T60" s="151">
        <v>0</v>
      </c>
      <c r="U60" s="151">
        <v>0</v>
      </c>
      <c r="V60" s="151" t="str">
        <v>calcined</v>
      </c>
      <c r="W60" s="151">
        <v>800</v>
      </c>
      <c r="X60" s="151">
        <v>4</v>
      </c>
      <c r="Y60" s="151">
        <v>0</v>
      </c>
      <c r="Z60" s="151">
        <v>0</v>
      </c>
      <c r="AA60" s="151">
        <v>0</v>
      </c>
      <c r="AB60" s="151">
        <v>0</v>
      </c>
      <c r="AC60" s="151">
        <v>0</v>
      </c>
      <c r="AD60" s="151">
        <v>0</v>
      </c>
      <c r="AE60" s="151">
        <v>0</v>
      </c>
      <c r="AF60" s="151" t="str">
        <v>10.1149/1.2735923</v>
      </c>
    </row>
    <row r="61" spans="2:32" s="151" customFormat="1" ht="14">
      <c r="B61" s="151" t="str">
        <v>Calcination</v>
      </c>
      <c r="C61" s="151">
        <v>0</v>
      </c>
      <c r="D61" s="151">
        <v>0</v>
      </c>
      <c r="E61" s="152">
        <v>0</v>
      </c>
      <c r="F61" s="152">
        <v>5</v>
      </c>
      <c r="G61" s="152">
        <v>1100</v>
      </c>
      <c r="H61" s="151">
        <v>9</v>
      </c>
      <c r="I61" s="151">
        <v>0</v>
      </c>
      <c r="J61" s="151">
        <v>0</v>
      </c>
      <c r="K61" s="151">
        <v>0</v>
      </c>
      <c r="L61" s="151">
        <v>4</v>
      </c>
      <c r="M61" s="151" t="str">
        <v>Carbolite</v>
      </c>
      <c r="N61" s="151" t="str">
        <v>GLO 5/11-1G</v>
      </c>
      <c r="O61" s="151">
        <v>2.25</v>
      </c>
      <c r="P61" s="151">
        <v>0</v>
      </c>
      <c r="R61" s="151" t="str">
        <v>Calcination</v>
      </c>
      <c r="S61" s="151" t="str">
        <v>Cerium(III) nitrate hexahydrate</v>
      </c>
      <c r="T61" s="151">
        <v>0</v>
      </c>
      <c r="U61" s="151">
        <v>0</v>
      </c>
      <c r="V61" s="151" t="str">
        <v>calcined</v>
      </c>
      <c r="W61" s="151">
        <v>700</v>
      </c>
      <c r="X61" s="151">
        <v>5</v>
      </c>
      <c r="Y61" s="151">
        <v>0</v>
      </c>
      <c r="Z61" s="151">
        <v>0</v>
      </c>
      <c r="AA61" s="151">
        <v>0</v>
      </c>
      <c r="AB61" s="151">
        <v>0</v>
      </c>
      <c r="AC61" s="151">
        <v>0</v>
      </c>
      <c r="AD61" s="151">
        <v>0</v>
      </c>
      <c r="AE61" s="151">
        <v>0</v>
      </c>
      <c r="AF61" s="151" t="str">
        <v>10.1149/1.2735923</v>
      </c>
    </row>
    <row r="62" spans="2:32" s="151" customFormat="1" ht="14">
      <c r="B62" s="151" t="str">
        <v>Calcination</v>
      </c>
      <c r="C62" s="151">
        <v>0</v>
      </c>
      <c r="D62" s="151">
        <v>0</v>
      </c>
      <c r="E62" s="152">
        <v>0</v>
      </c>
      <c r="F62" s="152">
        <v>10</v>
      </c>
      <c r="G62" s="152">
        <v>1100</v>
      </c>
      <c r="H62" s="151">
        <v>14</v>
      </c>
      <c r="I62" s="151">
        <v>0</v>
      </c>
      <c r="J62" s="151">
        <v>0</v>
      </c>
      <c r="K62" s="151">
        <v>0</v>
      </c>
      <c r="L62" s="151">
        <v>8</v>
      </c>
      <c r="M62" s="151" t="str">
        <v>Carbolite</v>
      </c>
      <c r="N62" s="151" t="str">
        <v>GLO 10/11-1G</v>
      </c>
      <c r="O62" s="151">
        <v>1.75</v>
      </c>
      <c r="P62" s="151">
        <v>0</v>
      </c>
      <c r="R62" s="151" t="str">
        <v>Calcination</v>
      </c>
      <c r="S62" s="151" t="str">
        <v>Cerium(III) acetate hydrate</v>
      </c>
      <c r="T62" s="151">
        <v>0</v>
      </c>
      <c r="U62" s="151">
        <v>0</v>
      </c>
      <c r="V62" s="151" t="str">
        <v>calcined</v>
      </c>
      <c r="W62" s="151">
        <v>600</v>
      </c>
      <c r="X62" s="151">
        <v>6</v>
      </c>
      <c r="Y62" s="151">
        <v>0</v>
      </c>
      <c r="Z62" s="151">
        <v>0</v>
      </c>
      <c r="AA62" s="151">
        <v>0</v>
      </c>
      <c r="AB62" s="151">
        <v>0</v>
      </c>
      <c r="AC62" s="151">
        <v>0</v>
      </c>
      <c r="AD62" s="151">
        <v>0</v>
      </c>
      <c r="AE62" s="151">
        <v>0</v>
      </c>
      <c r="AF62" s="151" t="str">
        <v>10.1149/1.2735923</v>
      </c>
    </row>
    <row r="63" spans="2:32" s="151" customFormat="1" ht="14">
      <c r="B63" s="151" t="str">
        <v>Calcination</v>
      </c>
      <c r="C63" s="151">
        <v>0</v>
      </c>
      <c r="D63" s="151">
        <v>0</v>
      </c>
      <c r="E63" s="152">
        <v>0</v>
      </c>
      <c r="F63" s="152">
        <v>40</v>
      </c>
      <c r="G63" s="152">
        <v>1100</v>
      </c>
      <c r="H63" s="151">
        <v>25</v>
      </c>
      <c r="I63" s="151">
        <v>0</v>
      </c>
      <c r="J63" s="151">
        <v>0</v>
      </c>
      <c r="K63" s="151">
        <v>0</v>
      </c>
      <c r="L63" s="151">
        <v>32</v>
      </c>
      <c r="M63" s="151" t="str">
        <v>Carbolite</v>
      </c>
      <c r="N63" s="151" t="str">
        <v>GLO 40/11-1G</v>
      </c>
      <c r="O63" s="151">
        <v>0.78125</v>
      </c>
      <c r="P63" s="151">
        <v>0</v>
      </c>
      <c r="R63" s="151" t="str">
        <v>Calcination</v>
      </c>
      <c r="S63" s="151" t="str">
        <v>Cerium oxalate</v>
      </c>
      <c r="T63" s="151">
        <v>0</v>
      </c>
      <c r="U63" s="151">
        <v>0</v>
      </c>
      <c r="V63" s="151" t="str">
        <v>calcined</v>
      </c>
      <c r="W63" s="151">
        <v>900</v>
      </c>
      <c r="X63" s="151">
        <v>2</v>
      </c>
      <c r="Y63" s="151">
        <v>0</v>
      </c>
      <c r="Z63" s="151">
        <v>0</v>
      </c>
      <c r="AA63" s="151">
        <v>0</v>
      </c>
      <c r="AB63" s="151">
        <v>0</v>
      </c>
      <c r="AC63" s="151">
        <v>0</v>
      </c>
      <c r="AD63" s="151">
        <v>0</v>
      </c>
      <c r="AE63" s="151">
        <v>0</v>
      </c>
      <c r="AF63" s="151" t="str">
        <v>10.1149/1.2735923</v>
      </c>
    </row>
    <row r="64" spans="2:32" s="151" customFormat="1" ht="14">
      <c r="B64" s="151" t="str">
        <v>Calcination</v>
      </c>
      <c r="C64" s="151">
        <v>0</v>
      </c>
      <c r="D64" s="151">
        <v>0</v>
      </c>
      <c r="E64" s="152">
        <v>0</v>
      </c>
      <c r="F64" s="152">
        <v>120</v>
      </c>
      <c r="G64" s="152">
        <v>1100</v>
      </c>
      <c r="H64" s="151">
        <v>60</v>
      </c>
      <c r="I64" s="151">
        <v>0</v>
      </c>
      <c r="J64" s="151">
        <v>0</v>
      </c>
      <c r="K64" s="151">
        <v>0</v>
      </c>
      <c r="L64" s="151">
        <v>96</v>
      </c>
      <c r="M64" s="151" t="str">
        <v>Carbolite</v>
      </c>
      <c r="N64" s="151" t="str">
        <v>GLO 120/11-1G</v>
      </c>
      <c r="O64" s="151">
        <v>0.625</v>
      </c>
      <c r="P64" s="151">
        <v>0</v>
      </c>
      <c r="R64" s="151" t="str">
        <v>Calcination</v>
      </c>
      <c r="S64" s="151">
        <v>0</v>
      </c>
      <c r="T64" s="151">
        <v>0</v>
      </c>
      <c r="U64" s="151" t="str">
        <v>kangEffectsGrainSize2004_process1</v>
      </c>
      <c r="V64" s="151" t="str">
        <v>calcined</v>
      </c>
      <c r="W64" s="151">
        <v>400</v>
      </c>
      <c r="X64" s="151">
        <v>4</v>
      </c>
      <c r="Y64" s="151" t="str">
        <v>h</v>
      </c>
      <c r="Z64" s="151">
        <v>0</v>
      </c>
      <c r="AA64" s="151">
        <v>0</v>
      </c>
      <c r="AB64" s="151">
        <v>0</v>
      </c>
      <c r="AC64" s="151">
        <v>0</v>
      </c>
      <c r="AD64" s="151">
        <v>0</v>
      </c>
      <c r="AE64" s="151">
        <v>0</v>
      </c>
      <c r="AF64" s="151" t="str">
        <v>https://doi.org/10.1143/JJAP.43.L365</v>
      </c>
    </row>
    <row r="65" spans="2:32" s="151" customFormat="1" ht="14">
      <c r="B65" s="151" t="str">
        <v>Calcination</v>
      </c>
      <c r="C65" s="151">
        <v>0</v>
      </c>
      <c r="D65" s="151">
        <v>0</v>
      </c>
      <c r="E65" s="152">
        <v>0</v>
      </c>
      <c r="F65" s="152">
        <v>260</v>
      </c>
      <c r="G65" s="152">
        <v>1100</v>
      </c>
      <c r="H65" s="151">
        <v>70</v>
      </c>
      <c r="I65" s="151">
        <v>0</v>
      </c>
      <c r="J65" s="151">
        <v>0</v>
      </c>
      <c r="K65" s="151">
        <v>0</v>
      </c>
      <c r="L65" s="151">
        <v>208</v>
      </c>
      <c r="M65" s="151" t="str">
        <v>Carbolite</v>
      </c>
      <c r="N65" s="151" t="str">
        <v>GLO 260/11-1G</v>
      </c>
      <c r="O65" s="151">
        <v>0.33653846153846156</v>
      </c>
      <c r="P65" s="151">
        <v>0</v>
      </c>
      <c r="R65" s="151" t="str">
        <v>Calcination</v>
      </c>
      <c r="S65" s="151">
        <v>0</v>
      </c>
      <c r="T65" s="151">
        <v>0</v>
      </c>
      <c r="U65" s="151" t="str">
        <v>kangEffectsGrainSize2004_process2</v>
      </c>
      <c r="V65" s="151" t="str">
        <v>calcined</v>
      </c>
      <c r="W65" s="151">
        <v>600</v>
      </c>
      <c r="X65" s="151">
        <v>4</v>
      </c>
      <c r="Y65" s="151" t="str">
        <v>h</v>
      </c>
      <c r="Z65" s="151">
        <v>0</v>
      </c>
      <c r="AA65" s="151">
        <v>0</v>
      </c>
      <c r="AB65" s="151">
        <v>0</v>
      </c>
      <c r="AC65" s="151">
        <v>0</v>
      </c>
      <c r="AD65" s="151">
        <v>0</v>
      </c>
      <c r="AE65" s="151">
        <v>0</v>
      </c>
      <c r="AF65" s="151" t="str">
        <v>https://doi.org/10.1143/JJAP.43.L365</v>
      </c>
    </row>
    <row r="66" spans="2:32" s="151" customFormat="1" ht="14">
      <c r="B66" s="151" t="str">
        <v>Calcination</v>
      </c>
      <c r="C66" s="151">
        <v>0</v>
      </c>
      <c r="D66" s="151">
        <v>0</v>
      </c>
      <c r="E66" s="152">
        <v>0</v>
      </c>
      <c r="F66" s="152">
        <v>400</v>
      </c>
      <c r="G66" s="152">
        <v>1100</v>
      </c>
      <c r="H66" s="151">
        <v>80</v>
      </c>
      <c r="I66" s="151">
        <v>0</v>
      </c>
      <c r="J66" s="151">
        <v>0</v>
      </c>
      <c r="K66" s="151">
        <v>0</v>
      </c>
      <c r="L66" s="151">
        <v>320</v>
      </c>
      <c r="M66" s="151" t="str">
        <v>Carbolite</v>
      </c>
      <c r="N66" s="151" t="str">
        <v>GLO 400/11-1G</v>
      </c>
      <c r="O66" s="151">
        <v>0.25</v>
      </c>
      <c r="P66" s="151">
        <v>0</v>
      </c>
      <c r="R66" s="151" t="str">
        <v>Calcination</v>
      </c>
      <c r="S66" s="151">
        <v>0</v>
      </c>
      <c r="T66" s="151">
        <v>0</v>
      </c>
      <c r="U66" s="151" t="str">
        <v>kangEffectsGrainSize2004_process3</v>
      </c>
      <c r="V66" s="151" t="str">
        <v>calcined</v>
      </c>
      <c r="W66" s="151">
        <v>700</v>
      </c>
      <c r="X66" s="151">
        <v>4</v>
      </c>
      <c r="Y66" s="151" t="str">
        <v>h</v>
      </c>
      <c r="Z66" s="151">
        <v>0</v>
      </c>
      <c r="AA66" s="151">
        <v>0</v>
      </c>
      <c r="AB66" s="151">
        <v>0</v>
      </c>
      <c r="AC66" s="151">
        <v>0</v>
      </c>
      <c r="AD66" s="151">
        <v>0</v>
      </c>
      <c r="AE66" s="151">
        <v>0</v>
      </c>
      <c r="AF66" s="151" t="str">
        <v>https://doi.org/10.1143/JJAP.43.L365</v>
      </c>
    </row>
    <row r="67" spans="2:32" s="151" customFormat="1" ht="14">
      <c r="B67" s="151" t="str">
        <v>Calcination</v>
      </c>
      <c r="C67" s="151">
        <v>0</v>
      </c>
      <c r="D67" s="151">
        <v>0</v>
      </c>
      <c r="E67" s="152">
        <v>0</v>
      </c>
      <c r="F67" s="152">
        <v>550</v>
      </c>
      <c r="G67" s="152">
        <v>1100</v>
      </c>
      <c r="H67" s="151">
        <v>90</v>
      </c>
      <c r="I67" s="151">
        <v>0</v>
      </c>
      <c r="J67" s="151">
        <v>0</v>
      </c>
      <c r="K67" s="151">
        <v>0</v>
      </c>
      <c r="L67" s="151">
        <v>440</v>
      </c>
      <c r="M67" s="151" t="str">
        <v>Carbolite</v>
      </c>
      <c r="N67" s="151" t="str">
        <v>GLO 550/11-1G</v>
      </c>
      <c r="O67" s="151">
        <v>0.20454545454545456</v>
      </c>
      <c r="P67" s="151">
        <v>0</v>
      </c>
      <c r="R67" s="151" t="str">
        <v>Calcination</v>
      </c>
      <c r="S67" s="151">
        <v>0</v>
      </c>
      <c r="T67" s="151">
        <v>0</v>
      </c>
      <c r="U67" s="151" t="str">
        <v>kangEffectsGrainSize2004_process4</v>
      </c>
      <c r="V67" s="151" t="str">
        <v>calcined</v>
      </c>
      <c r="W67" s="151">
        <v>800</v>
      </c>
      <c r="X67" s="151">
        <v>4</v>
      </c>
      <c r="Y67" s="151" t="str">
        <v>h</v>
      </c>
      <c r="Z67" s="151">
        <v>0</v>
      </c>
      <c r="AA67" s="151">
        <v>0</v>
      </c>
      <c r="AB67" s="151">
        <v>0</v>
      </c>
      <c r="AC67" s="151">
        <v>0</v>
      </c>
      <c r="AD67" s="151">
        <v>0</v>
      </c>
      <c r="AE67" s="151">
        <v>0</v>
      </c>
      <c r="AF67" s="151" t="str">
        <v>https://doi.org/10.1143/JJAP.43.L365</v>
      </c>
    </row>
    <row r="68" spans="2:32" s="151" customFormat="1" ht="14">
      <c r="B68" s="151" t="str">
        <v>Calcination</v>
      </c>
      <c r="C68" s="151">
        <v>0</v>
      </c>
      <c r="D68" s="151">
        <v>0</v>
      </c>
      <c r="E68" s="152">
        <v>0</v>
      </c>
      <c r="F68" s="152">
        <v>600</v>
      </c>
      <c r="G68" s="152">
        <v>1100</v>
      </c>
      <c r="H68" s="151">
        <v>95</v>
      </c>
      <c r="I68" s="151">
        <v>0</v>
      </c>
      <c r="J68" s="151">
        <v>0</v>
      </c>
      <c r="K68" s="151">
        <v>0</v>
      </c>
      <c r="L68" s="151">
        <v>480</v>
      </c>
      <c r="M68" s="151" t="str">
        <v>Carbolite</v>
      </c>
      <c r="N68" s="151" t="str">
        <v>GLO 600/11-1G</v>
      </c>
      <c r="O68" s="151">
        <v>0.19791666666666666</v>
      </c>
      <c r="P68" s="151">
        <v>0</v>
      </c>
      <c r="R68" s="151" t="str">
        <v>Calcination</v>
      </c>
      <c r="S68" s="151">
        <v>0</v>
      </c>
      <c r="T68" s="151">
        <v>0</v>
      </c>
      <c r="U68" s="151" t="str">
        <v>kangEffectsGrainSize2004_process5</v>
      </c>
      <c r="V68" s="151" t="str">
        <v>calcined</v>
      </c>
      <c r="W68" s="151">
        <v>900</v>
      </c>
      <c r="X68" s="151">
        <v>4</v>
      </c>
      <c r="Y68" s="151" t="str">
        <v>h</v>
      </c>
      <c r="Z68" s="151">
        <v>0</v>
      </c>
      <c r="AA68" s="151">
        <v>0</v>
      </c>
      <c r="AB68" s="151">
        <v>0</v>
      </c>
      <c r="AC68" s="151">
        <v>0</v>
      </c>
      <c r="AD68" s="151">
        <v>0</v>
      </c>
      <c r="AE68" s="151">
        <v>0</v>
      </c>
      <c r="AF68" s="151" t="str">
        <v>https://doi.org/10.1143/JJAP.43.L365</v>
      </c>
    </row>
    <row r="69" spans="2:32" s="151" customFormat="1" ht="14">
      <c r="B69" s="151" t="str">
        <v>Calcination</v>
      </c>
      <c r="C69" s="151">
        <v>0</v>
      </c>
      <c r="D69" s="151">
        <v>0</v>
      </c>
      <c r="E69" s="152">
        <v>0</v>
      </c>
      <c r="F69" s="152">
        <v>850</v>
      </c>
      <c r="G69" s="152">
        <v>1100</v>
      </c>
      <c r="H69" s="151">
        <v>100</v>
      </c>
      <c r="I69" s="151">
        <v>0</v>
      </c>
      <c r="J69" s="151">
        <v>0</v>
      </c>
      <c r="K69" s="151">
        <v>0</v>
      </c>
      <c r="L69" s="151">
        <v>680</v>
      </c>
      <c r="M69" s="151" t="str">
        <v>Carbolite</v>
      </c>
      <c r="N69" s="151" t="str">
        <v>GLO 850/11-1G</v>
      </c>
      <c r="O69" s="151">
        <v>0.14705882352941177</v>
      </c>
      <c r="P69" s="151">
        <v>0</v>
      </c>
      <c r="R69" s="151" t="str">
        <v>Calcination</v>
      </c>
      <c r="S69" s="151">
        <v>0</v>
      </c>
      <c r="T69" s="151">
        <v>0</v>
      </c>
      <c r="U69" s="151" t="str">
        <v>kangEffectsGrainSize2004_process6</v>
      </c>
      <c r="V69" s="151" t="str">
        <v>calcined</v>
      </c>
      <c r="W69" s="151">
        <v>900</v>
      </c>
      <c r="X69" s="151">
        <v>4</v>
      </c>
      <c r="Y69" s="151" t="str">
        <v>h</v>
      </c>
      <c r="Z69" s="151">
        <v>0</v>
      </c>
      <c r="AA69" s="151">
        <v>0</v>
      </c>
      <c r="AB69" s="151">
        <v>0</v>
      </c>
      <c r="AC69" s="151">
        <v>0</v>
      </c>
      <c r="AD69" s="151">
        <v>0</v>
      </c>
      <c r="AE69" s="151">
        <v>0</v>
      </c>
      <c r="AF69" s="151" t="str">
        <v>https://doi.org/10.1143/JJAP.43.L365</v>
      </c>
    </row>
    <row r="70" spans="2:32" s="151" customFormat="1" ht="14">
      <c r="B70" s="151" t="str">
        <v>Calcination</v>
      </c>
      <c r="C70" s="151">
        <v>0</v>
      </c>
      <c r="D70" s="151">
        <v>0</v>
      </c>
      <c r="E70" s="152">
        <v>0</v>
      </c>
      <c r="F70" s="152">
        <v>950</v>
      </c>
      <c r="G70" s="152">
        <v>1100</v>
      </c>
      <c r="H70" s="151">
        <v>110</v>
      </c>
      <c r="I70" s="151">
        <v>0</v>
      </c>
      <c r="J70" s="151">
        <v>0</v>
      </c>
      <c r="K70" s="151">
        <v>0</v>
      </c>
      <c r="L70" s="151">
        <v>760</v>
      </c>
      <c r="M70" s="151" t="str">
        <v>Carbolite</v>
      </c>
      <c r="N70" s="151" t="str">
        <v>GLO 950/11-1G</v>
      </c>
      <c r="O70" s="151">
        <v>0.14473684210526316</v>
      </c>
      <c r="P70" s="151">
        <v>0</v>
      </c>
      <c r="R70" s="151" t="str">
        <v>Calcination</v>
      </c>
      <c r="S70" s="151">
        <v>0</v>
      </c>
      <c r="T70" s="151">
        <v>0</v>
      </c>
      <c r="U70" s="151" t="str">
        <v>kangEffectsGrainSize2004_process7</v>
      </c>
      <c r="V70" s="151" t="str">
        <v>calcined</v>
      </c>
      <c r="W70" s="151">
        <v>900</v>
      </c>
      <c r="X70" s="151">
        <v>4</v>
      </c>
      <c r="Y70" s="151" t="str">
        <v>h</v>
      </c>
      <c r="Z70" s="151">
        <v>0</v>
      </c>
      <c r="AA70" s="151">
        <v>0</v>
      </c>
      <c r="AB70" s="151">
        <v>0</v>
      </c>
      <c r="AC70" s="151">
        <v>0</v>
      </c>
      <c r="AD70" s="151">
        <v>0</v>
      </c>
      <c r="AE70" s="151">
        <v>0</v>
      </c>
      <c r="AF70" s="151" t="str">
        <v>https://doi.org/10.1143/JJAP.43.L365</v>
      </c>
    </row>
    <row r="71" spans="2:32" s="151" customFormat="1" ht="14">
      <c r="B71" s="151" t="str">
        <v>Calcination</v>
      </c>
      <c r="C71" s="151">
        <v>0</v>
      </c>
      <c r="D71" s="151">
        <v>0</v>
      </c>
      <c r="E71" s="152">
        <v>0</v>
      </c>
      <c r="F71" s="152">
        <v>1300</v>
      </c>
      <c r="G71" s="152">
        <v>1100</v>
      </c>
      <c r="H71" s="151">
        <v>120</v>
      </c>
      <c r="I71" s="151">
        <v>0</v>
      </c>
      <c r="J71" s="151">
        <v>0</v>
      </c>
      <c r="K71" s="151">
        <v>0</v>
      </c>
      <c r="L71" s="151">
        <v>1040</v>
      </c>
      <c r="M71" s="151" t="str">
        <v>Carbolite</v>
      </c>
      <c r="N71" s="151" t="str">
        <v>GLO 1300/11-1G</v>
      </c>
      <c r="O71" s="151">
        <v>0.11538461538461539</v>
      </c>
      <c r="P71" s="151">
        <v>0</v>
      </c>
      <c r="R71" s="151" t="str">
        <v>Calcination</v>
      </c>
      <c r="S71" s="151">
        <v>0</v>
      </c>
      <c r="T71" s="151">
        <v>0</v>
      </c>
      <c r="U71" s="151" t="str">
        <v>kangEffectsGrainSize2004_process8</v>
      </c>
      <c r="V71" s="151" t="str">
        <v>calcined</v>
      </c>
      <c r="W71" s="151">
        <v>900</v>
      </c>
      <c r="X71" s="151">
        <v>4</v>
      </c>
      <c r="Y71" s="151" t="str">
        <v>h</v>
      </c>
      <c r="Z71" s="151">
        <v>0</v>
      </c>
      <c r="AA71" s="151">
        <v>0</v>
      </c>
      <c r="AB71" s="151">
        <v>0</v>
      </c>
      <c r="AC71" s="151">
        <v>0</v>
      </c>
      <c r="AD71" s="151">
        <v>0</v>
      </c>
      <c r="AE71" s="151">
        <v>0</v>
      </c>
      <c r="AF71" s="151" t="str">
        <v>https://doi.org/10.1143/JJAP.43.L365</v>
      </c>
    </row>
    <row r="72" spans="2:32" s="151" customFormat="1" ht="14">
      <c r="E72" s="152"/>
      <c r="F72" s="152"/>
      <c r="G72" s="152"/>
      <c r="R72" s="151" t="str">
        <v>Calcination</v>
      </c>
      <c r="S72" s="151">
        <v>0</v>
      </c>
      <c r="T72" s="151">
        <v>0</v>
      </c>
      <c r="U72" s="151" t="str">
        <v>kangEffectsGrainSize2004_process9</v>
      </c>
      <c r="V72" s="151" t="str">
        <v>calcined</v>
      </c>
      <c r="W72" s="151">
        <v>900</v>
      </c>
      <c r="X72" s="151">
        <v>4</v>
      </c>
      <c r="Y72" s="151" t="str">
        <v>h</v>
      </c>
      <c r="Z72" s="151">
        <v>0</v>
      </c>
      <c r="AA72" s="151">
        <v>0</v>
      </c>
      <c r="AB72" s="151">
        <v>0</v>
      </c>
      <c r="AC72" s="151">
        <v>0</v>
      </c>
      <c r="AD72" s="151">
        <v>0</v>
      </c>
      <c r="AE72" s="151">
        <v>0</v>
      </c>
      <c r="AF72" s="151" t="str">
        <v>https://doi.org/10.1143/JJAP.43.L365</v>
      </c>
    </row>
    <row r="73" spans="2:32" s="151" customFormat="1" ht="14">
      <c r="E73" s="152"/>
      <c r="F73" s="152"/>
      <c r="G73" s="152"/>
      <c r="R73" s="151" t="str">
        <v>Calcination</v>
      </c>
      <c r="S73" s="151">
        <v>0</v>
      </c>
      <c r="T73" s="151">
        <v>0</v>
      </c>
      <c r="U73" s="151" t="str">
        <v>kimEffectCalcinationProcess2006_sampleA</v>
      </c>
      <c r="V73" s="151" t="str">
        <v>calcined</v>
      </c>
      <c r="W73" s="151">
        <v>700</v>
      </c>
      <c r="X73" s="151">
        <v>4</v>
      </c>
      <c r="Y73" s="151" t="str">
        <v>h</v>
      </c>
      <c r="Z73" s="151">
        <v>0</v>
      </c>
      <c r="AA73" s="151">
        <v>0</v>
      </c>
      <c r="AB73" s="151">
        <v>0</v>
      </c>
      <c r="AC73" s="151" t="str">
        <v>air jet mill</v>
      </c>
      <c r="AD73" s="151">
        <v>0</v>
      </c>
      <c r="AE73" s="151">
        <v>0</v>
      </c>
      <c r="AF73" s="151" t="str">
        <v>https://doi.org/10.1143/JJAP.45.4893</v>
      </c>
    </row>
    <row r="74" spans="2:32" s="151" customFormat="1" ht="14">
      <c r="E74" s="152"/>
      <c r="F74" s="152"/>
      <c r="G74" s="152"/>
      <c r="R74" s="151" t="str">
        <v>Calcination</v>
      </c>
      <c r="S74" s="151">
        <v>0</v>
      </c>
      <c r="T74" s="151">
        <v>0</v>
      </c>
      <c r="U74" s="151" t="str">
        <v>kimEffectCalcinationProcess2006_sampleB</v>
      </c>
      <c r="V74" s="151" t="str">
        <v>calcined</v>
      </c>
      <c r="W74" s="151">
        <v>650</v>
      </c>
      <c r="X74" s="151">
        <v>4</v>
      </c>
      <c r="Y74" s="151" t="str">
        <v>h</v>
      </c>
      <c r="Z74" s="151">
        <v>0</v>
      </c>
      <c r="AA74" s="151">
        <v>0</v>
      </c>
      <c r="AB74" s="151">
        <v>0</v>
      </c>
      <c r="AC74" s="151" t="str">
        <v>air jet mill</v>
      </c>
      <c r="AD74" s="151">
        <v>0</v>
      </c>
      <c r="AE74" s="151">
        <v>0</v>
      </c>
      <c r="AF74" s="151" t="str">
        <v>https://doi.org/10.1143/JJAP.45.4893</v>
      </c>
    </row>
    <row r="75" spans="2:32" s="151" customFormat="1" ht="14">
      <c r="E75" s="152"/>
      <c r="F75" s="152"/>
      <c r="G75" s="152"/>
      <c r="R75" s="151" t="str">
        <v>Calcination</v>
      </c>
      <c r="S75" s="151">
        <v>0</v>
      </c>
      <c r="T75" s="151">
        <v>0</v>
      </c>
      <c r="U75" s="151" t="str">
        <v>kimEffectCalcinationProcess2006_sampleB</v>
      </c>
      <c r="V75" s="151" t="str">
        <v>calcined</v>
      </c>
      <c r="W75" s="151">
        <v>650</v>
      </c>
      <c r="X75" s="151">
        <v>4</v>
      </c>
      <c r="Y75" s="151" t="str">
        <v>h</v>
      </c>
      <c r="Z75" s="151">
        <v>0</v>
      </c>
      <c r="AA75" s="151">
        <v>0</v>
      </c>
      <c r="AB75" s="151">
        <v>0</v>
      </c>
      <c r="AC75" s="151" t="str">
        <v>air jet mill</v>
      </c>
      <c r="AD75" s="151">
        <v>0</v>
      </c>
      <c r="AE75" s="151">
        <v>0</v>
      </c>
      <c r="AF75" s="151" t="str">
        <v>https://doi.org/10.1143/JJAP.45.4893</v>
      </c>
    </row>
    <row r="76" spans="2:32" s="151" customFormat="1" ht="14">
      <c r="E76" s="152"/>
      <c r="F76" s="152"/>
      <c r="G76" s="152"/>
      <c r="R76" s="151" t="str">
        <v>Calcination</v>
      </c>
      <c r="S76" s="151">
        <v>0</v>
      </c>
      <c r="T76" s="151">
        <v>0</v>
      </c>
      <c r="U76" s="151" t="str">
        <v>kimInfluenceCrystallineStructure2007_A</v>
      </c>
      <c r="V76" s="151" t="str">
        <v>calcined</v>
      </c>
      <c r="W76" s="151">
        <v>650</v>
      </c>
      <c r="X76" s="151">
        <v>4</v>
      </c>
      <c r="Y76" s="151" t="str">
        <v>h</v>
      </c>
      <c r="Z76" s="151">
        <v>0</v>
      </c>
      <c r="AA76" s="151">
        <v>0</v>
      </c>
      <c r="AB76" s="151">
        <v>0</v>
      </c>
      <c r="AC76" s="151">
        <v>0</v>
      </c>
      <c r="AD76" s="151">
        <v>0</v>
      </c>
      <c r="AE76" s="151" t="str">
        <v>Air flow of 35 m_/h</v>
      </c>
      <c r="AF76" s="151" t="str">
        <v>10.1149/1.2735923</v>
      </c>
    </row>
    <row r="77" spans="2:32" s="151" customFormat="1" ht="14">
      <c r="E77" s="152"/>
      <c r="F77" s="152"/>
      <c r="G77" s="152"/>
      <c r="R77" s="151" t="str">
        <v>Calcination</v>
      </c>
      <c r="S77" s="151">
        <v>0</v>
      </c>
      <c r="T77" s="151">
        <v>0</v>
      </c>
      <c r="U77" s="151" t="str">
        <v>kimInfluenceCrystallineStructure2007_B</v>
      </c>
      <c r="V77" s="151" t="str">
        <v>calcined</v>
      </c>
      <c r="W77" s="151">
        <v>650</v>
      </c>
      <c r="X77" s="151">
        <v>4</v>
      </c>
      <c r="Y77" s="151" t="str">
        <v>h</v>
      </c>
      <c r="Z77" s="151">
        <v>0</v>
      </c>
      <c r="AA77" s="151">
        <v>0</v>
      </c>
      <c r="AB77" s="151">
        <v>0</v>
      </c>
      <c r="AC77" s="151">
        <v>0</v>
      </c>
      <c r="AD77" s="151">
        <v>0</v>
      </c>
      <c r="AE77" s="151" t="str">
        <v>Air flow of 5 m_/h</v>
      </c>
      <c r="AF77" s="151" t="str">
        <v>10.1149/1.2735923</v>
      </c>
    </row>
    <row r="78" spans="2:32" s="151" customFormat="1" ht="14">
      <c r="E78" s="152"/>
      <c r="F78" s="152"/>
      <c r="G78" s="152"/>
      <c r="R78" s="151" t="str">
        <v>Calcination</v>
      </c>
      <c r="S78" s="151">
        <v>0</v>
      </c>
      <c r="T78" s="151">
        <v>0</v>
      </c>
      <c r="U78" s="151" t="str">
        <v>kimInfluenceCrystallineStructure2007_C</v>
      </c>
      <c r="V78" s="151" t="str">
        <v>calcined</v>
      </c>
      <c r="W78" s="151">
        <v>650</v>
      </c>
      <c r="X78" s="151">
        <v>4</v>
      </c>
      <c r="Y78" s="151" t="str">
        <v>h</v>
      </c>
      <c r="Z78" s="151">
        <v>0</v>
      </c>
      <c r="AA78" s="151">
        <v>0</v>
      </c>
      <c r="AB78" s="151">
        <v>0</v>
      </c>
      <c r="AC78" s="151">
        <v>0</v>
      </c>
      <c r="AD78" s="151">
        <v>0</v>
      </c>
      <c r="AE78" s="151" t="str">
        <v>Without air flow</v>
      </c>
      <c r="AF78" s="151" t="str">
        <v>10.1149/1.2735923</v>
      </c>
    </row>
    <row r="79" spans="2:32" s="151" customFormat="1" ht="14">
      <c r="E79" s="152"/>
      <c r="F79" s="152"/>
      <c r="G79" s="152"/>
      <c r="R79" s="151" t="str">
        <v>Calcination</v>
      </c>
      <c r="S79" s="151">
        <v>0</v>
      </c>
      <c r="T79" s="151">
        <v>0</v>
      </c>
      <c r="U79" s="151" t="str">
        <v>kimInfluencePhysicalCharacteristics2004_400C</v>
      </c>
      <c r="V79" s="151" t="str">
        <v>calcined</v>
      </c>
      <c r="W79" s="151">
        <v>400</v>
      </c>
      <c r="X79" s="151">
        <v>4</v>
      </c>
      <c r="Y79" s="151" t="str">
        <v>h</v>
      </c>
      <c r="Z79" s="151">
        <v>0</v>
      </c>
      <c r="AA79" s="151">
        <v>0</v>
      </c>
      <c r="AB79" s="151">
        <v>0</v>
      </c>
      <c r="AC79" s="151">
        <v>0</v>
      </c>
      <c r="AD79" s="151">
        <v>0</v>
      </c>
      <c r="AE79" s="151" t="str">
        <v>air atmosphere</v>
      </c>
      <c r="AF79" s="151" t="str">
        <v>https://doi.org/10.1143/JJAP.43.7427</v>
      </c>
    </row>
    <row r="80" spans="2:32" s="151" customFormat="1" ht="14">
      <c r="E80" s="152"/>
      <c r="F80" s="152"/>
      <c r="G80" s="152"/>
      <c r="R80" s="151" t="str">
        <v>Calcination</v>
      </c>
      <c r="S80" s="151">
        <v>0</v>
      </c>
      <c r="T80" s="151">
        <v>0</v>
      </c>
      <c r="U80" s="151" t="str">
        <v>kimInfluencePhysicalCharacteristics2004_600C</v>
      </c>
      <c r="V80" s="151" t="str">
        <v>calcined</v>
      </c>
      <c r="W80" s="151">
        <v>600</v>
      </c>
      <c r="X80" s="151">
        <v>4</v>
      </c>
      <c r="Y80" s="151" t="str">
        <v>h</v>
      </c>
      <c r="Z80" s="151">
        <v>0</v>
      </c>
      <c r="AA80" s="151">
        <v>0</v>
      </c>
      <c r="AB80" s="151">
        <v>0</v>
      </c>
      <c r="AC80" s="151">
        <v>0</v>
      </c>
      <c r="AD80" s="151">
        <v>0</v>
      </c>
      <c r="AE80" s="151" t="str">
        <v>air atmosphere</v>
      </c>
      <c r="AF80" s="151" t="str">
        <v>https://doi.org/10.1143/JJAP.43.7427</v>
      </c>
    </row>
    <row r="81" spans="5:32" s="151" customFormat="1" ht="14">
      <c r="E81" s="152"/>
      <c r="F81" s="152"/>
      <c r="G81" s="152"/>
      <c r="R81" s="151" t="str">
        <v>Calcination</v>
      </c>
      <c r="S81" s="151">
        <v>0</v>
      </c>
      <c r="T81" s="151">
        <v>0</v>
      </c>
      <c r="U81" s="151" t="str">
        <v>kimInfluencePhysicalCharacteristics2004_700C</v>
      </c>
      <c r="V81" s="151" t="str">
        <v>calcined</v>
      </c>
      <c r="W81" s="151">
        <v>700</v>
      </c>
      <c r="X81" s="151">
        <v>4</v>
      </c>
      <c r="Y81" s="151" t="str">
        <v>h</v>
      </c>
      <c r="Z81" s="151">
        <v>0</v>
      </c>
      <c r="AA81" s="151">
        <v>0</v>
      </c>
      <c r="AB81" s="151">
        <v>0</v>
      </c>
      <c r="AC81" s="151">
        <v>0</v>
      </c>
      <c r="AD81" s="151">
        <v>0</v>
      </c>
      <c r="AE81" s="151" t="str">
        <v>air atmosphere</v>
      </c>
      <c r="AF81" s="151" t="str">
        <v>https://doi.org/10.1143/JJAP.43.7427</v>
      </c>
    </row>
    <row r="82" spans="5:32" s="151" customFormat="1" ht="14">
      <c r="E82" s="152"/>
      <c r="F82" s="152"/>
      <c r="G82" s="152"/>
      <c r="R82" s="151" t="str">
        <v>Calcination</v>
      </c>
      <c r="S82" s="151">
        <v>0</v>
      </c>
      <c r="T82" s="151">
        <v>0</v>
      </c>
      <c r="U82" s="151" t="str">
        <v>kimInfluencePhysicalCharacteristics2004_800C</v>
      </c>
      <c r="V82" s="151" t="str">
        <v>calcined</v>
      </c>
      <c r="W82" s="151">
        <v>800</v>
      </c>
      <c r="X82" s="151">
        <v>4</v>
      </c>
      <c r="Y82" s="151" t="str">
        <v>h</v>
      </c>
      <c r="Z82" s="151">
        <v>0</v>
      </c>
      <c r="AA82" s="151">
        <v>0</v>
      </c>
      <c r="AB82" s="151">
        <v>0</v>
      </c>
      <c r="AC82" s="151">
        <v>0</v>
      </c>
      <c r="AD82" s="151">
        <v>0</v>
      </c>
      <c r="AE82" s="151" t="str">
        <v>air atmosphere</v>
      </c>
      <c r="AF82" s="151" t="str">
        <v>https://doi.org/10.1143/JJAP.43.7427</v>
      </c>
    </row>
    <row r="83" spans="5:32" s="151" customFormat="1" ht="14">
      <c r="E83" s="152"/>
      <c r="F83" s="152"/>
      <c r="G83" s="152"/>
      <c r="R83" s="151" t="str">
        <v>Calcination</v>
      </c>
      <c r="S83" s="151">
        <v>0</v>
      </c>
      <c r="T83" s="151">
        <v>0</v>
      </c>
      <c r="U83" s="151" t="str">
        <v>kimInfluencePhysicalCharacteristics2004_900C</v>
      </c>
      <c r="V83" s="151" t="str">
        <v>calcined</v>
      </c>
      <c r="W83" s="151">
        <v>900</v>
      </c>
      <c r="X83" s="151">
        <v>4</v>
      </c>
      <c r="Y83" s="151" t="str">
        <v>h</v>
      </c>
      <c r="Z83" s="151">
        <v>0</v>
      </c>
      <c r="AA83" s="151">
        <v>0</v>
      </c>
      <c r="AB83" s="151">
        <v>0</v>
      </c>
      <c r="AC83" s="151">
        <v>0</v>
      </c>
      <c r="AD83" s="151">
        <v>0</v>
      </c>
      <c r="AE83" s="151" t="str">
        <v>air atmosphere</v>
      </c>
      <c r="AF83" s="151" t="str">
        <v>https://doi.org/10.1143/JJAP.43.7427</v>
      </c>
    </row>
    <row r="84" spans="5:32" s="151" customFormat="1" ht="14">
      <c r="E84" s="152"/>
      <c r="F84" s="152"/>
      <c r="G84" s="152"/>
      <c r="R84" s="151" t="str">
        <v>Calcination</v>
      </c>
      <c r="S84" s="151">
        <v>0</v>
      </c>
      <c r="T84" s="151">
        <v>0</v>
      </c>
      <c r="U84" s="151" t="str">
        <v>wangSynthesisCeO2Nanoparticles2023_process1</v>
      </c>
      <c r="V84" s="151" t="str">
        <v>calcined</v>
      </c>
      <c r="W84" s="151">
        <v>900</v>
      </c>
      <c r="X84" s="151">
        <v>10</v>
      </c>
      <c r="Y84" s="151">
        <v>0</v>
      </c>
      <c r="Z84" s="151">
        <v>0</v>
      </c>
      <c r="AA84" s="151">
        <v>0</v>
      </c>
      <c r="AB84" s="151">
        <v>0</v>
      </c>
      <c r="AC84" s="151">
        <v>0</v>
      </c>
      <c r="AD84" s="151">
        <v>0</v>
      </c>
      <c r="AE84" s="151">
        <v>0</v>
      </c>
      <c r="AF84" s="151" t="str">
        <v>10.1007/s13391-023-00427-2</v>
      </c>
    </row>
    <row r="85" spans="5:32" s="151" customFormat="1" ht="14">
      <c r="E85" s="152"/>
      <c r="F85" s="152"/>
      <c r="G85" s="152"/>
      <c r="R85" s="151" t="str">
        <v>Calcination</v>
      </c>
      <c r="S85" s="151">
        <v>0</v>
      </c>
      <c r="T85" s="151">
        <v>0</v>
      </c>
      <c r="U85" s="151" t="str">
        <v>yuanyuanzhengEffectsPrecursorsMorphology2022_process1</v>
      </c>
      <c r="V85" s="151" t="str">
        <v>calcined</v>
      </c>
      <c r="W85" s="151">
        <v>900</v>
      </c>
      <c r="X85" s="151">
        <v>12</v>
      </c>
      <c r="Y85" s="151">
        <v>0</v>
      </c>
      <c r="Z85" s="151">
        <v>0</v>
      </c>
      <c r="AA85" s="151">
        <v>0</v>
      </c>
      <c r="AB85" s="151">
        <v>0</v>
      </c>
      <c r="AC85" s="151">
        <v>0</v>
      </c>
      <c r="AD85" s="151">
        <v>0</v>
      </c>
      <c r="AE85" s="151">
        <v>0</v>
      </c>
      <c r="AF85" s="151" t="str">
        <v>10.3390/ma15217525</v>
      </c>
    </row>
    <row r="86" spans="5:32" s="151" customFormat="1" ht="14">
      <c r="E86" s="152"/>
      <c r="F86" s="152"/>
      <c r="G86" s="152"/>
      <c r="R86" s="151" t="str">
        <v>Calcination</v>
      </c>
      <c r="S86" s="151">
        <v>0</v>
      </c>
      <c r="T86" s="151">
        <v>0</v>
      </c>
      <c r="U86" s="151" t="str">
        <v>dae-hyeongkimEffectCeriumPrecursor2005_sampleA</v>
      </c>
      <c r="V86" s="151" t="str">
        <v>calcined</v>
      </c>
      <c r="W86" s="151" t="str">
        <v>700-900</v>
      </c>
      <c r="X86" s="151">
        <v>0</v>
      </c>
      <c r="Y86" s="151">
        <v>0</v>
      </c>
      <c r="Z86" s="151">
        <v>0</v>
      </c>
      <c r="AA86" s="151">
        <v>0</v>
      </c>
      <c r="AB86" s="151">
        <v>0</v>
      </c>
      <c r="AC86" s="151">
        <v>0</v>
      </c>
      <c r="AD86" s="151">
        <v>0</v>
      </c>
      <c r="AE86" s="151">
        <v>0</v>
      </c>
      <c r="AF86" s="151" t="str">
        <v>https://doi.org/10.1143/jjap.44.8422</v>
      </c>
    </row>
    <row r="87" spans="5:32" s="151" customFormat="1" ht="14">
      <c r="E87" s="152"/>
      <c r="F87" s="152"/>
      <c r="G87" s="152"/>
      <c r="R87" s="151" t="str">
        <v>Calcination</v>
      </c>
      <c r="S87" s="151">
        <v>0</v>
      </c>
      <c r="T87" s="151">
        <v>0</v>
      </c>
      <c r="U87" s="151" t="str">
        <v>dae-hyeongkimEffectCeriumPrecursor2005_sampleB</v>
      </c>
      <c r="V87" s="151" t="str">
        <v>calcined</v>
      </c>
      <c r="W87" s="151">
        <v>0</v>
      </c>
      <c r="X87" s="151">
        <v>0</v>
      </c>
      <c r="Y87" s="151">
        <v>0</v>
      </c>
      <c r="Z87" s="151">
        <v>0</v>
      </c>
      <c r="AA87" s="151">
        <v>0</v>
      </c>
      <c r="AB87" s="151">
        <v>0</v>
      </c>
      <c r="AC87" s="151">
        <v>0</v>
      </c>
      <c r="AD87" s="151">
        <v>0</v>
      </c>
      <c r="AE87" s="151">
        <v>0</v>
      </c>
      <c r="AF87" s="151" t="str">
        <v>https://doi.org/10.1143/jjap.44.8422</v>
      </c>
    </row>
    <row r="88" spans="5:32" s="151" customFormat="1" ht="14">
      <c r="E88" s="152"/>
      <c r="F88" s="152"/>
      <c r="G88" s="152"/>
      <c r="R88" s="151" t="str">
        <v>Calcination</v>
      </c>
      <c r="S88" s="151">
        <v>0</v>
      </c>
      <c r="T88" s="151">
        <v>0</v>
      </c>
      <c r="U88" s="151" t="str">
        <v>dae-hyeongkimEffectCeriumPrecursor2005_sampleB</v>
      </c>
      <c r="V88" s="151" t="str">
        <v>calcined</v>
      </c>
      <c r="W88" s="151" t="str">
        <v>700-900</v>
      </c>
      <c r="X88" s="151">
        <v>0</v>
      </c>
      <c r="Y88" s="151">
        <v>0</v>
      </c>
      <c r="Z88" s="151">
        <v>0</v>
      </c>
      <c r="AA88" s="151">
        <v>0</v>
      </c>
      <c r="AB88" s="151">
        <v>0</v>
      </c>
      <c r="AC88" s="151">
        <v>0</v>
      </c>
      <c r="AD88" s="151">
        <v>0</v>
      </c>
      <c r="AE88" s="151">
        <v>0</v>
      </c>
      <c r="AF88" s="151" t="str">
        <v>https://doi.org/10.1143/jjap.44.8422</v>
      </c>
    </row>
    <row r="89" spans="5:32" s="151" customFormat="1" ht="14">
      <c r="E89" s="152"/>
      <c r="F89" s="152"/>
      <c r="G89" s="152"/>
      <c r="R89" s="151" t="str">
        <v>Calcination</v>
      </c>
      <c r="S89" s="151">
        <v>0</v>
      </c>
      <c r="T89" s="151">
        <v>0</v>
      </c>
      <c r="U89" s="151" t="str">
        <v>takuyatsuzukiSynthesisUltrafineCeria2004_process1</v>
      </c>
      <c r="V89" s="151" t="str">
        <v>colloidal</v>
      </c>
      <c r="W89" s="151">
        <v>0</v>
      </c>
      <c r="X89" s="151">
        <v>0</v>
      </c>
      <c r="Y89" s="151">
        <v>0</v>
      </c>
      <c r="Z89" s="151">
        <v>0</v>
      </c>
      <c r="AA89" s="151">
        <v>0</v>
      </c>
      <c r="AB89" s="151">
        <v>0</v>
      </c>
      <c r="AC89" s="151">
        <v>0</v>
      </c>
      <c r="AD89" s="151">
        <v>0</v>
      </c>
      <c r="AE89" s="151" t="str">
        <v>In alumina crucible in air</v>
      </c>
      <c r="AF89" s="151" t="str">
        <v>https://doi.org/10.1111/j.1151-2916.2001.tb00859.x</v>
      </c>
    </row>
    <row r="90" spans="5:32" s="151" customFormat="1" ht="14">
      <c r="E90" s="152"/>
      <c r="F90" s="152"/>
      <c r="G90" s="152"/>
      <c r="R90" s="151" t="str">
        <v>Calcination</v>
      </c>
      <c r="S90" s="151">
        <v>0</v>
      </c>
      <c r="T90" s="151">
        <v>0</v>
      </c>
      <c r="U90" s="151" t="str">
        <v>leeSynthesisNanosizedCeria2005_emulsion1</v>
      </c>
      <c r="V90" s="151" t="str">
        <v>colloidal</v>
      </c>
      <c r="W90" s="151">
        <v>700</v>
      </c>
      <c r="X90" s="151">
        <v>0.16669999999999999</v>
      </c>
      <c r="Y90" s="151" t="str">
        <v>h</v>
      </c>
      <c r="Z90" s="151">
        <v>0</v>
      </c>
      <c r="AA90" s="151">
        <v>0</v>
      </c>
      <c r="AB90" s="151">
        <v>0</v>
      </c>
      <c r="AC90" s="151">
        <v>0</v>
      </c>
      <c r="AD90" s="151">
        <v>0</v>
      </c>
      <c r="AE90" s="151">
        <v>0</v>
      </c>
      <c r="AF90" s="151" t="str">
        <v>10.1016/j.matlet.2004.09.033</v>
      </c>
    </row>
    <row r="91" spans="5:32" s="151" customFormat="1" ht="14">
      <c r="E91" s="152"/>
      <c r="F91" s="152"/>
      <c r="G91" s="152"/>
      <c r="R91" s="151" t="str">
        <v>Calcination</v>
      </c>
      <c r="S91" s="151">
        <v>0</v>
      </c>
      <c r="T91" s="151">
        <v>0</v>
      </c>
      <c r="U91" s="151" t="str">
        <v>xiaolansongSynthesisCeO2coatedSiO22008_process1</v>
      </c>
      <c r="V91" s="151" t="str">
        <v>colloidal</v>
      </c>
      <c r="W91" s="151">
        <v>700</v>
      </c>
      <c r="X91" s="151">
        <v>0.16666666999999999</v>
      </c>
      <c r="Y91" s="151" t="str">
        <v>h</v>
      </c>
      <c r="Z91" s="151">
        <v>0</v>
      </c>
      <c r="AA91" s="151">
        <v>0</v>
      </c>
      <c r="AB91" s="151">
        <v>0</v>
      </c>
      <c r="AC91" s="151">
        <v>0</v>
      </c>
      <c r="AD91" s="151">
        <v>0</v>
      </c>
      <c r="AE91" s="151">
        <v>0</v>
      </c>
      <c r="AF91" s="151" t="str">
        <v>10.1016/j.matchemphys.2008.01.042</v>
      </c>
    </row>
    <row r="92" spans="5:32" s="151" customFormat="1" ht="14">
      <c r="E92" s="152"/>
      <c r="F92" s="152"/>
      <c r="G92" s="152"/>
      <c r="R92" s="151" t="str">
        <v>Calcination</v>
      </c>
      <c r="S92" s="151">
        <v>0</v>
      </c>
      <c r="T92" s="151">
        <v>0</v>
      </c>
      <c r="U92" s="151" t="str">
        <v>masanorihiranoHydrothermalSynthesisNanocrystalline2004_hydrothermal</v>
      </c>
      <c r="V92" s="151" t="str">
        <v>colloidal</v>
      </c>
      <c r="W92" s="151" t="str">
        <v>300 to 900</v>
      </c>
      <c r="X92" s="151">
        <v>1</v>
      </c>
      <c r="Y92" s="151">
        <v>0</v>
      </c>
      <c r="Z92" s="151">
        <v>0</v>
      </c>
      <c r="AA92" s="151">
        <v>0</v>
      </c>
      <c r="AB92" s="151">
        <v>0</v>
      </c>
      <c r="AC92" s="151" t="str">
        <v>furnace</v>
      </c>
      <c r="AD92" s="151">
        <v>0</v>
      </c>
      <c r="AE92" s="151" t="str">
        <v>air atmosphere</v>
      </c>
      <c r="AF92" s="151" t="str">
        <v>10.1111/j.1151-2916.1999.tb01838.x</v>
      </c>
    </row>
    <row r="93" spans="5:32" s="151" customFormat="1" ht="14">
      <c r="E93" s="152"/>
      <c r="F93" s="152"/>
      <c r="G93" s="152"/>
    </row>
  </sheetData>
  <dataValidations disablePrompts="1" count="1">
    <dataValidation type="list" allowBlank="1" showInputMessage="1" showErrorMessage="1" sqref="E19" xr:uid="{7D084683-CF80-274A-AB96-641387F468BE}">
      <formula1>_xlfn.ANCHORARRAY($B$20)</formula1>
    </dataValidation>
  </dataValidations>
  <hyperlinks>
    <hyperlink ref="D35" location="All_Equipment!A1" display="Click here to add your process into database" xr:uid="{B0896404-700D-4846-84D0-492828F369D5}"/>
  </hyperlinks>
  <pageMargins left="0.7" right="0.7" top="0.75" bottom="0.75" header="0.3" footer="0.3"/>
  <pageSetup orientation="portrait" horizontalDpi="0" verticalDpi="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2073A8-90D0-A645-B235-2AD3895FF95B}">
  <sheetPr codeName="Sheet10">
    <tabColor rgb="FFFFCD00"/>
    <pageSetUpPr fitToPage="1"/>
  </sheetPr>
  <dimension ref="A1:BA219"/>
  <sheetViews>
    <sheetView showGridLines="0" zoomScale="57" zoomScaleNormal="159" workbookViewId="0">
      <selection activeCell="G119" sqref="G119"/>
    </sheetView>
  </sheetViews>
  <sheetFormatPr baseColWidth="10" defaultColWidth="10.83203125" defaultRowHeight="20" customHeight="1" zeroHeight="1"/>
  <cols>
    <col min="1" max="1" width="48.1640625" style="1" bestFit="1" customWidth="1"/>
    <col min="2" max="2" width="27.5" style="1" customWidth="1"/>
    <col min="3" max="3" width="27.1640625" style="1" customWidth="1"/>
    <col min="4" max="6" width="30.33203125" style="1" customWidth="1"/>
    <col min="7" max="7" width="30.6640625" style="1" customWidth="1"/>
    <col min="8" max="8" width="12.6640625" style="1" bestFit="1" customWidth="1"/>
    <col min="9" max="14" width="10.83203125" style="1"/>
    <col min="15" max="16" width="10.83203125" style="227"/>
    <col min="17" max="17" width="10.83203125" style="1"/>
    <col min="18" max="18" width="41.33203125" style="1" customWidth="1"/>
    <col min="19" max="21" width="11" style="1" bestFit="1" customWidth="1"/>
    <col min="22" max="22" width="14.1640625" style="1" bestFit="1" customWidth="1"/>
    <col min="23" max="24" width="11" style="1" bestFit="1" customWidth="1"/>
    <col min="25" max="25" width="50.83203125" style="1" customWidth="1"/>
    <col min="26" max="26" width="20.1640625" style="1" customWidth="1"/>
    <col min="27" max="27" width="11.1640625" style="1" bestFit="1" customWidth="1"/>
    <col min="28" max="28" width="15.83203125" style="1" bestFit="1" customWidth="1"/>
    <col min="29" max="30" width="10.83203125" style="1"/>
    <col min="31" max="31" width="17.5" style="1" bestFit="1" customWidth="1"/>
    <col min="32" max="32" width="10.83203125" style="1"/>
    <col min="33" max="33" width="50.1640625" style="1" bestFit="1" customWidth="1"/>
    <col min="34" max="38" width="10.83203125" style="1"/>
    <col min="39" max="39" width="17.6640625" style="1" customWidth="1"/>
    <col min="40" max="42" width="11.33203125" style="1" bestFit="1" customWidth="1"/>
    <col min="43" max="43" width="14.5" style="1" bestFit="1" customWidth="1"/>
    <col min="44" max="47" width="11.33203125" style="1" bestFit="1" customWidth="1"/>
    <col min="48" max="48" width="13" style="1" bestFit="1" customWidth="1"/>
    <col min="49" max="49" width="16" style="1" bestFit="1" customWidth="1"/>
    <col min="50" max="51" width="11.33203125" style="1" bestFit="1" customWidth="1"/>
    <col min="52" max="52" width="15.83203125" style="1" bestFit="1" customWidth="1"/>
    <col min="53" max="16384" width="10.83203125" style="1"/>
  </cols>
  <sheetData>
    <row r="1" spans="1:44"/>
    <row r="2" spans="1:44"/>
    <row r="3" spans="1:44"/>
    <row r="4" spans="1:44" ht="26" customHeight="1"/>
    <row r="5" spans="1:44"/>
    <row r="6" spans="1:44"/>
    <row r="7" spans="1:44"/>
    <row r="8" spans="1:44">
      <c r="A8" s="98"/>
    </row>
    <row r="9" spans="1:44">
      <c r="A9" s="98"/>
    </row>
    <row r="10" spans="1:44">
      <c r="A10" s="98"/>
    </row>
    <row r="11" spans="1:44">
      <c r="A11" s="98"/>
    </row>
    <row r="12" spans="1:44">
      <c r="A12" s="98"/>
    </row>
    <row r="13" spans="1:44">
      <c r="A13" s="98"/>
    </row>
    <row r="14" spans="1:44" ht="30">
      <c r="A14" s="1" t="s">
        <v>472</v>
      </c>
      <c r="B14" s="233" t="s">
        <v>7</v>
      </c>
    </row>
    <row r="15" spans="1:44"/>
    <row r="16" spans="1:44">
      <c r="AR16" s="1" t="s">
        <v>595</v>
      </c>
    </row>
    <row r="17" spans="1:48">
      <c r="AU17" s="230">
        <f>ROUND(_xlfn.PERCENTRANK.INC(INDEX(_xlfn.ANCHORARRAY(R45),0,7), Z26),4)</f>
        <v>0.371</v>
      </c>
      <c r="AV17" s="230">
        <f>ROUND(_xlfn.PERCENTRANK.INC(AV20:AV24, Z26),4)</f>
        <v>0.25600000000000001</v>
      </c>
    </row>
    <row r="18" spans="1:48">
      <c r="G18" s="301"/>
      <c r="AS18" s="1" t="s">
        <v>598</v>
      </c>
      <c r="AT18" s="1" t="s">
        <v>599</v>
      </c>
    </row>
    <row r="19" spans="1:48" ht="26">
      <c r="A19" s="99"/>
      <c r="R19" s="143" t="s">
        <v>600</v>
      </c>
      <c r="Y19" s="1" t="s">
        <v>1129</v>
      </c>
      <c r="Z19" s="120" t="str">
        <f>B14</f>
        <v>Hydrothermal</v>
      </c>
      <c r="AG19" s="143" t="s">
        <v>1134</v>
      </c>
      <c r="AS19" s="1">
        <v>0</v>
      </c>
      <c r="AT19" s="231">
        <f>AV17</f>
        <v>0.25600000000000001</v>
      </c>
    </row>
    <row r="20" spans="1:48">
      <c r="A20" s="98"/>
      <c r="R20" s="51" t="str" cm="1">
        <f t="array" ref="R20:R27">_xlfn.UNIQUE(Equipment_Database[Tool Used for process])</f>
        <v>Calcination</v>
      </c>
      <c r="Z20" s="137" t="s">
        <v>590</v>
      </c>
      <c r="AA20" s="137" t="s">
        <v>8</v>
      </c>
      <c r="AB20" s="137" t="s">
        <v>1</v>
      </c>
      <c r="AG20" s="1" t="str" cm="1">
        <f t="array" ref="AG20:AG34">_xlfn.UNIQUE(Process_time_database[Process Name])</f>
        <v>Annealing</v>
      </c>
      <c r="AR20" s="1" t="s">
        <v>596</v>
      </c>
      <c r="AS20" s="230">
        <v>0.25</v>
      </c>
      <c r="AT20" s="230">
        <v>0.04</v>
      </c>
      <c r="AV20" s="1">
        <f>ROUND(MIN(INDEX(_xlfn.ANCHORARRAY(R45),0,7)),2)</f>
        <v>0</v>
      </c>
    </row>
    <row r="21" spans="1:48">
      <c r="A21" s="98"/>
      <c r="R21" s="1" t="str">
        <v>Centrifuge</v>
      </c>
      <c r="Y21" s="51" t="s">
        <v>1130</v>
      </c>
      <c r="Z21" s="138">
        <f>ROUND(AVERAGE(INDEX(_xlfn.ANCHORARRAY(R45),0,14)),2)</f>
        <v>7.62</v>
      </c>
      <c r="AA21" s="138">
        <f>ROUND(MIN(INDEX(_xlfn.ANCHORARRAY(R45),0,14)),2)</f>
        <v>0</v>
      </c>
      <c r="AB21" s="138">
        <f>ROUND(MAX(INDEX(_xlfn.ANCHORARRAY(R45),0,14)),2)</f>
        <v>112.5</v>
      </c>
      <c r="AG21" s="1" t="str">
        <v>Calcination</v>
      </c>
      <c r="AR21" s="1" t="s">
        <v>2</v>
      </c>
      <c r="AS21" s="230">
        <v>0.5</v>
      </c>
      <c r="AT21" s="230">
        <v>1.38</v>
      </c>
      <c r="AV21" s="1">
        <f>ROUND(PERCENTILE(INDEX(_xlfn.ANCHORARRAY(R45),0,7),0.25),2)</f>
        <v>0</v>
      </c>
    </row>
    <row r="22" spans="1:48">
      <c r="A22" s="98"/>
      <c r="R22" s="1" t="str">
        <v>Filtration</v>
      </c>
      <c r="Y22" s="51" t="s">
        <v>1181</v>
      </c>
      <c r="Z22" s="138">
        <f>ROUND(AVERAGE(INDEX(_xlfn.ANCHORARRAY(R45),0,11)),2)</f>
        <v>81.23</v>
      </c>
      <c r="AA22" s="138">
        <f>ROUND(MIN(INDEX(_xlfn.ANCHORARRAY(R45),0,11)),2)</f>
        <v>0.8</v>
      </c>
      <c r="AB22" s="138">
        <f>ROUND(MAX(INDEX(_xlfn.ANCHORARRAY(R45),0,11)),2)</f>
        <v>800</v>
      </c>
      <c r="AG22" s="1" t="str">
        <v>centrifuge</v>
      </c>
      <c r="AR22" s="1" t="s">
        <v>597</v>
      </c>
      <c r="AS22" s="230">
        <v>0.25</v>
      </c>
      <c r="AV22" s="1">
        <f>ROUND(AVERAGE(INDEX(_xlfn.ANCHORARRAY(R45),0,7)),2)</f>
        <v>56.75</v>
      </c>
    </row>
    <row r="23" spans="1:48">
      <c r="A23" s="98"/>
      <c r="R23" s="1" t="str">
        <v>Hydrothermal</v>
      </c>
      <c r="Y23" s="51" t="s">
        <v>647</v>
      </c>
      <c r="Z23" s="138">
        <f>ROUND(AVERAGE(INDEX(_xlfn.ANCHORARRAY(AM45),0,7)),2)</f>
        <v>6.19</v>
      </c>
      <c r="AA23" s="138">
        <f>ROUND(MIN(INDEX(_xlfn.ANCHORARRAY(AM45),0,7)),2)</f>
        <v>0</v>
      </c>
      <c r="AB23" s="138">
        <f>ROUND(MAX(INDEX(_xlfn.ANCHORARRAY(AM45),0,7)),2)</f>
        <v>20</v>
      </c>
      <c r="AG23" s="1" t="str">
        <v>drying</v>
      </c>
      <c r="AR23" s="1" t="s">
        <v>1</v>
      </c>
      <c r="AS23" s="230">
        <v>1</v>
      </c>
      <c r="AV23" s="1">
        <f>ROUND(PERCENTILE(INDEX(_xlfn.ANCHORARRAY(R45),0,7),0.75),2)</f>
        <v>97.5</v>
      </c>
    </row>
    <row r="24" spans="1:48">
      <c r="A24" s="98"/>
      <c r="G24" s="1" t="s">
        <v>659</v>
      </c>
      <c r="R24" s="1" t="str">
        <v>Milling</v>
      </c>
      <c r="Y24" s="51"/>
      <c r="AG24" s="1" t="str">
        <v>Emulsification</v>
      </c>
      <c r="AV24" s="1">
        <f>ROUND(MAX(INDEX(_xlfn.ANCHORARRAY(R45),0,7)),2)</f>
        <v>300</v>
      </c>
    </row>
    <row r="25" spans="1:48">
      <c r="A25" s="98"/>
      <c r="R25" s="1" t="str">
        <v>Sonication</v>
      </c>
      <c r="Y25" s="51"/>
      <c r="AG25" s="1" t="str">
        <v>Filtration</v>
      </c>
    </row>
    <row r="26" spans="1:48">
      <c r="A26" s="98"/>
      <c r="E26" s="290"/>
      <c r="F26" s="290"/>
      <c r="G26" s="290"/>
      <c r="H26" s="290"/>
      <c r="I26" s="290"/>
      <c r="J26" s="290"/>
      <c r="K26" s="290"/>
      <c r="R26" s="1" t="str">
        <v>Mixing</v>
      </c>
      <c r="Y26" s="51" t="s">
        <v>648</v>
      </c>
      <c r="Z26" s="139">
        <v>1.56</v>
      </c>
      <c r="AG26" s="1" t="str">
        <v>hydrothermal</v>
      </c>
    </row>
    <row r="27" spans="1:48">
      <c r="A27" s="98"/>
      <c r="E27" s="290"/>
      <c r="F27" s="290"/>
      <c r="G27" s="290"/>
      <c r="H27" s="290"/>
      <c r="I27" s="290"/>
      <c r="J27" s="290"/>
      <c r="K27" s="290"/>
      <c r="R27" s="1" t="str">
        <v>Annealing</v>
      </c>
      <c r="AG27" s="1" t="str">
        <v>Milling</v>
      </c>
    </row>
    <row r="28" spans="1:48" s="104" customFormat="1" ht="42">
      <c r="A28" s="103"/>
      <c r="B28" s="103" t="s">
        <v>609</v>
      </c>
      <c r="C28" s="103" t="s">
        <v>537</v>
      </c>
      <c r="D28" s="103" t="s">
        <v>473</v>
      </c>
      <c r="E28" s="294" t="s">
        <v>534</v>
      </c>
      <c r="F28" s="294" t="s">
        <v>607</v>
      </c>
      <c r="G28" s="295" t="s">
        <v>608</v>
      </c>
      <c r="H28" s="294"/>
      <c r="I28" s="294"/>
      <c r="J28" s="296"/>
      <c r="K28" s="296"/>
      <c r="O28" s="228"/>
      <c r="P28" s="228"/>
      <c r="Y28" s="1"/>
      <c r="Z28" s="1"/>
      <c r="AG28" s="104" t="str">
        <v>mixing</v>
      </c>
    </row>
    <row r="29" spans="1:48">
      <c r="A29" s="101" t="s">
        <v>474</v>
      </c>
      <c r="B29" s="115" t="s">
        <v>503</v>
      </c>
      <c r="C29" s="1" t="str">
        <f>_xlfn.IFNA(VLOOKUP(B29,Cerium_precursor_table[],2,FALSE),0)</f>
        <v>Ce(NO3)3·6H2O</v>
      </c>
      <c r="D29" s="115"/>
      <c r="E29" s="290" t="str">
        <f>_xlfn.IFNA(VLOOKUP(B29,Cerium_precursor_table[],9,FALSE),0)</f>
        <v>CeO2</v>
      </c>
      <c r="F29" s="290">
        <f>_xlfn.IFNA(VLOOKUP(B29,Cerium_precursor_table[],11,FALSE),0)</f>
        <v>2</v>
      </c>
      <c r="G29" s="297">
        <f>IFERROR(ROUND(D29*(VLOOKUP(B29,Cerium_precursor_table[],10,FALSE)*F29)/(VLOOKUP(B29,Cerium_precursor_table[],7,FALSE)),2),0)</f>
        <v>0</v>
      </c>
      <c r="H29" s="292"/>
      <c r="I29" s="290"/>
      <c r="J29" s="290"/>
      <c r="K29" s="290"/>
      <c r="Z29" s="136"/>
      <c r="AG29" s="1" t="str">
        <v>Outgassing</v>
      </c>
    </row>
    <row r="30" spans="1:48">
      <c r="A30" s="101" t="s">
        <v>475</v>
      </c>
      <c r="B30" s="115"/>
      <c r="C30" s="1">
        <f>_xlfn.IFNA(VLOOKUP(B30,Cerium_precursor_table[],2,FALSE),0)</f>
        <v>0</v>
      </c>
      <c r="D30" s="115"/>
      <c r="E30" s="290">
        <f>_xlfn.IFNA(VLOOKUP(B30,Cerium_precursor_table[],9,FALSE),0)</f>
        <v>0</v>
      </c>
      <c r="F30" s="290">
        <f>_xlfn.IFNA(VLOOKUP(B30,Cerium_precursor_table[],11,FALSE),0)</f>
        <v>0</v>
      </c>
      <c r="G30" s="297">
        <f>IFERROR(ROUND(D30*(VLOOKUP(B30,Cerium_precursor_table[],10,FALSE)*F30)/(VLOOKUP(B30,Cerium_precursor_table[],7,FALSE)),2),0)</f>
        <v>0</v>
      </c>
      <c r="H30" s="292"/>
      <c r="I30" s="290"/>
      <c r="J30" s="290"/>
      <c r="K30" s="290"/>
      <c r="Y30" s="51" t="s">
        <v>650</v>
      </c>
      <c r="Z30" s="139">
        <v>2</v>
      </c>
      <c r="AG30" s="1" t="str">
        <v>sintering</v>
      </c>
    </row>
    <row r="31" spans="1:48">
      <c r="A31" s="101"/>
      <c r="B31" s="105"/>
      <c r="E31" s="290"/>
      <c r="F31" s="290"/>
      <c r="G31" s="290"/>
      <c r="H31" s="292"/>
      <c r="I31" s="290"/>
      <c r="J31" s="290"/>
      <c r="K31" s="290"/>
      <c r="Y31" s="51" t="s">
        <v>651</v>
      </c>
      <c r="Z31" s="138">
        <f>ROUND(Z21*Z23,2)</f>
        <v>47.17</v>
      </c>
      <c r="AG31" s="1" t="str">
        <v>Sonication</v>
      </c>
    </row>
    <row r="32" spans="1:48">
      <c r="A32" s="101"/>
      <c r="B32" s="105"/>
      <c r="E32" s="290"/>
      <c r="F32" s="290"/>
      <c r="G32" s="290"/>
      <c r="H32" s="292"/>
      <c r="I32" s="290"/>
      <c r="J32" s="290"/>
      <c r="K32" s="290"/>
      <c r="Y32" s="1" t="s">
        <v>649</v>
      </c>
      <c r="Z32" s="150">
        <f>ROUND(Z26*Z30,2)</f>
        <v>3.12</v>
      </c>
      <c r="AG32" s="1" t="str">
        <v>Sonochemical Method</v>
      </c>
    </row>
    <row r="33" spans="1:53">
      <c r="A33" s="101"/>
      <c r="B33" s="105"/>
      <c r="E33" s="290"/>
      <c r="F33" s="290"/>
      <c r="G33" s="290"/>
      <c r="H33" s="292"/>
      <c r="I33" s="290"/>
      <c r="J33" s="290"/>
      <c r="K33" s="290"/>
      <c r="AG33" s="1" t="str">
        <v>Stirring</v>
      </c>
    </row>
    <row r="34" spans="1:53">
      <c r="A34" s="101"/>
      <c r="B34" s="105"/>
      <c r="E34" s="290"/>
      <c r="F34" s="290"/>
      <c r="G34" s="290"/>
      <c r="H34" s="292"/>
      <c r="I34" s="290"/>
      <c r="J34" s="290"/>
      <c r="K34" s="290"/>
      <c r="Y34" s="140" t="s">
        <v>588</v>
      </c>
      <c r="AG34" s="1" t="str">
        <v>Washing</v>
      </c>
    </row>
    <row r="35" spans="1:53">
      <c r="A35" s="101"/>
      <c r="B35" s="105"/>
      <c r="E35" s="290"/>
      <c r="F35" s="290"/>
      <c r="G35" s="290"/>
      <c r="H35" s="292"/>
      <c r="I35" s="290"/>
      <c r="J35" s="290"/>
      <c r="K35" s="290"/>
      <c r="Y35" s="141" t="s">
        <v>589</v>
      </c>
    </row>
    <row r="36" spans="1:53">
      <c r="A36" s="101"/>
      <c r="B36" s="105"/>
      <c r="E36" s="290"/>
      <c r="F36" s="290"/>
      <c r="G36" s="290"/>
      <c r="H36" s="292"/>
      <c r="I36" s="290"/>
      <c r="J36" s="290"/>
      <c r="K36" s="290"/>
    </row>
    <row r="37" spans="1:53">
      <c r="A37" s="101"/>
      <c r="C37" s="101" t="s">
        <v>476</v>
      </c>
    </row>
    <row r="38" spans="1:53">
      <c r="A38" s="101" t="s">
        <v>477</v>
      </c>
      <c r="B38" s="115"/>
      <c r="C38" s="115"/>
    </row>
    <row r="39" spans="1:53">
      <c r="A39" s="101" t="s">
        <v>478</v>
      </c>
      <c r="B39" s="115"/>
      <c r="C39" s="115"/>
    </row>
    <row r="40" spans="1:53" ht="23" customHeight="1">
      <c r="A40" s="101"/>
    </row>
    <row r="41" spans="1:53">
      <c r="A41" s="101"/>
    </row>
    <row r="42" spans="1:53">
      <c r="A42" s="101"/>
    </row>
    <row r="43" spans="1:53">
      <c r="A43" s="101"/>
    </row>
    <row r="44" spans="1:53" ht="31" customHeight="1">
      <c r="A44" s="101"/>
      <c r="R44" s="154" t="s">
        <v>115</v>
      </c>
      <c r="S44" s="154" t="s">
        <v>98</v>
      </c>
      <c r="T44" s="154" t="s">
        <v>99</v>
      </c>
      <c r="U44" s="155" t="s">
        <v>100</v>
      </c>
      <c r="V44" s="156" t="s">
        <v>46</v>
      </c>
      <c r="W44" s="157" t="s">
        <v>47</v>
      </c>
      <c r="X44" s="154" t="s">
        <v>48</v>
      </c>
      <c r="Y44" s="154" t="s">
        <v>154</v>
      </c>
      <c r="Z44" s="154" t="s">
        <v>159</v>
      </c>
      <c r="AA44" s="154" t="s">
        <v>160</v>
      </c>
      <c r="AB44" s="158" t="s">
        <v>587</v>
      </c>
      <c r="AC44" s="154" t="s">
        <v>67</v>
      </c>
      <c r="AD44" s="154" t="s">
        <v>45</v>
      </c>
      <c r="AE44" s="154" t="s">
        <v>101</v>
      </c>
      <c r="AM44" s="154" t="s">
        <v>115</v>
      </c>
      <c r="AN44" s="154" t="s">
        <v>98</v>
      </c>
      <c r="AO44" s="154" t="s">
        <v>99</v>
      </c>
      <c r="AP44" s="155" t="s">
        <v>100</v>
      </c>
      <c r="AQ44" s="156" t="s">
        <v>46</v>
      </c>
      <c r="AR44" s="157" t="s">
        <v>47</v>
      </c>
      <c r="AS44" s="154" t="s">
        <v>1131</v>
      </c>
      <c r="AT44" s="154" t="s">
        <v>154</v>
      </c>
      <c r="AU44" s="154" t="s">
        <v>159</v>
      </c>
      <c r="AV44" s="154" t="s">
        <v>160</v>
      </c>
      <c r="AW44" s="158" t="s">
        <v>587</v>
      </c>
      <c r="AX44" s="154" t="s">
        <v>67</v>
      </c>
      <c r="AY44" s="154" t="s">
        <v>45</v>
      </c>
      <c r="AZ44" s="154" t="s">
        <v>101</v>
      </c>
    </row>
    <row r="45" spans="1:53" ht="23" customHeight="1">
      <c r="A45" s="101"/>
      <c r="R45" s="159" t="str" cm="1">
        <f t="array" ref="R45:AF76">_xlfn._xlws.FILTER(Equipment_Database[#All],Equipment_Database[[#All],[Tool Used for process]]=Z19)</f>
        <v>Hydrothermal</v>
      </c>
      <c r="S45" s="1">
        <v>0</v>
      </c>
      <c r="T45" s="1">
        <v>0</v>
      </c>
      <c r="U45" s="1">
        <v>0</v>
      </c>
      <c r="V45" s="305">
        <v>1</v>
      </c>
      <c r="W45" s="1" t="str">
        <v>-120℃～300℃</v>
      </c>
      <c r="X45" s="1">
        <v>90</v>
      </c>
      <c r="Y45" s="1" t="str">
        <v>0 - 600</v>
      </c>
      <c r="Z45" s="1">
        <v>0</v>
      </c>
      <c r="AA45" s="1">
        <v>0</v>
      </c>
      <c r="AB45" s="305">
        <v>0.8</v>
      </c>
      <c r="AC45" s="1" t="str">
        <v>Linbel</v>
      </c>
      <c r="AD45" s="1" t="str">
        <v>S212-1L</v>
      </c>
      <c r="AE45" s="304">
        <v>112.5</v>
      </c>
      <c r="AF45" s="1" t="str">
        <v>https://www.linbel.com/glass-reactor/200l-glass-reactor.html</v>
      </c>
      <c r="AM45" s="151" t="str" cm="1">
        <f t="array" ref="AM45:BA60">_xlfn._xlws.FILTER(Process_time_database[#All],Process_time_database[[#All],[Process Name]]=Z19)</f>
        <v>hydrothermal</v>
      </c>
      <c r="AN45" s="1">
        <v>0</v>
      </c>
      <c r="AO45" s="1">
        <v>0</v>
      </c>
      <c r="AP45" s="1" t="str">
        <v>leeChemicalMechanicalPolishing2002_process1</v>
      </c>
      <c r="AQ45" s="1" t="str">
        <v>colloidal</v>
      </c>
      <c r="AR45" s="1">
        <v>93</v>
      </c>
      <c r="AS45" s="1">
        <v>6</v>
      </c>
      <c r="AT45" s="1">
        <v>0</v>
      </c>
      <c r="AU45" s="1">
        <v>0</v>
      </c>
      <c r="AV45" s="1">
        <v>0</v>
      </c>
      <c r="AW45" s="1">
        <v>0</v>
      </c>
      <c r="AX45" s="1">
        <v>0</v>
      </c>
      <c r="AY45" s="1">
        <v>0</v>
      </c>
      <c r="AZ45" s="1">
        <v>0</v>
      </c>
      <c r="BA45" s="1" t="str">
        <v>10.1557/JMR.2002.0396</v>
      </c>
    </row>
    <row r="46" spans="1:53" ht="14" customHeight="1">
      <c r="A46" s="101"/>
      <c r="R46" s="1" t="str">
        <v>Hydrothermal</v>
      </c>
      <c r="S46" s="1">
        <v>0</v>
      </c>
      <c r="T46" s="1">
        <v>0</v>
      </c>
      <c r="U46" s="1">
        <v>0</v>
      </c>
      <c r="V46" s="305">
        <v>2</v>
      </c>
      <c r="W46" s="1" t="str">
        <v>-120℃～300℃</v>
      </c>
      <c r="X46" s="1">
        <v>90</v>
      </c>
      <c r="Y46" s="1" t="str">
        <v>0 - 600</v>
      </c>
      <c r="Z46" s="1">
        <v>0</v>
      </c>
      <c r="AA46" s="1">
        <v>0</v>
      </c>
      <c r="AB46" s="305">
        <v>1.6</v>
      </c>
      <c r="AC46" s="1" t="str">
        <v>Linbel</v>
      </c>
      <c r="AD46" s="1" t="str">
        <v>S212-2L</v>
      </c>
      <c r="AE46" s="304">
        <v>56.25</v>
      </c>
      <c r="AF46" s="1">
        <v>0</v>
      </c>
      <c r="AM46" s="1" t="str">
        <v>hydrothermal</v>
      </c>
      <c r="AN46" s="1">
        <v>0</v>
      </c>
      <c r="AO46" s="1">
        <v>0</v>
      </c>
      <c r="AP46" s="1" t="str">
        <v>lekhapeedikakkandyPreparationSphericalCeria2015_process1</v>
      </c>
      <c r="AQ46" s="1" t="str">
        <v>colloidal</v>
      </c>
      <c r="AR46" s="1" t="str">
        <v>50-95</v>
      </c>
      <c r="AS46" s="1">
        <v>12</v>
      </c>
      <c r="AT46" s="1">
        <v>0</v>
      </c>
      <c r="AU46" s="1">
        <v>0</v>
      </c>
      <c r="AV46" s="1">
        <v>0</v>
      </c>
      <c r="AW46" s="1">
        <v>0</v>
      </c>
      <c r="AX46" s="1">
        <v>0</v>
      </c>
      <c r="AY46" s="1">
        <v>0</v>
      </c>
      <c r="AZ46" s="1">
        <v>0</v>
      </c>
      <c r="BA46" s="1" t="str">
        <v>10.1016/j.apsusc.2015.09.149</v>
      </c>
    </row>
    <row r="47" spans="1:53" s="107" customFormat="1" ht="84">
      <c r="A47" s="112"/>
      <c r="B47" s="103" t="s">
        <v>611</v>
      </c>
      <c r="C47" s="103" t="s">
        <v>479</v>
      </c>
      <c r="D47" s="114" t="s">
        <v>610</v>
      </c>
      <c r="E47" s="113" t="s">
        <v>603</v>
      </c>
      <c r="F47" s="106"/>
      <c r="O47" s="229"/>
      <c r="P47" s="229"/>
      <c r="R47" s="107" t="str">
        <v>Hydrothermal</v>
      </c>
      <c r="S47" s="107">
        <v>0</v>
      </c>
      <c r="T47" s="107">
        <v>0</v>
      </c>
      <c r="U47" s="107">
        <v>0</v>
      </c>
      <c r="V47" s="306">
        <v>5</v>
      </c>
      <c r="W47" s="107" t="str">
        <v>-120℃～300℃</v>
      </c>
      <c r="X47" s="107">
        <v>90</v>
      </c>
      <c r="Y47" s="107" t="str">
        <v>0 - 600</v>
      </c>
      <c r="Z47" s="107">
        <v>0</v>
      </c>
      <c r="AA47" s="107">
        <v>0</v>
      </c>
      <c r="AB47" s="306">
        <v>4</v>
      </c>
      <c r="AC47" s="107" t="str">
        <v>Linbel</v>
      </c>
      <c r="AD47" s="107" t="str">
        <v>S212-5L</v>
      </c>
      <c r="AE47" s="307">
        <v>22.5</v>
      </c>
      <c r="AF47" s="107">
        <v>0</v>
      </c>
      <c r="AM47" s="107" t="str">
        <v>hydrothermal</v>
      </c>
      <c r="AN47" s="107">
        <v>0</v>
      </c>
      <c r="AO47" s="107">
        <v>0</v>
      </c>
      <c r="AP47" s="107" t="str">
        <v>ohPolishingBehaviorsCeria2011_solidStateReaction</v>
      </c>
      <c r="AQ47" s="107" t="str">
        <v>colloidal</v>
      </c>
      <c r="AR47" s="107">
        <v>50</v>
      </c>
      <c r="AS47" s="107">
        <v>12</v>
      </c>
      <c r="AT47" s="107" t="str">
        <v>h</v>
      </c>
      <c r="AU47" s="107">
        <v>0</v>
      </c>
      <c r="AV47" s="107">
        <v>0</v>
      </c>
      <c r="AW47" s="107">
        <v>0</v>
      </c>
      <c r="AX47" s="107" t="str">
        <v>gas distributor</v>
      </c>
      <c r="AY47" s="107">
        <v>0</v>
      </c>
      <c r="AZ47" s="107" t="str">
        <v>Air bubbled as oxidizer</v>
      </c>
      <c r="BA47" s="107" t="str">
        <v>10.1016/j.powtec.2010.09.025</v>
      </c>
    </row>
    <row r="48" spans="1:53">
      <c r="A48" s="101" t="s">
        <v>528</v>
      </c>
      <c r="B48" s="115" t="s">
        <v>612</v>
      </c>
      <c r="C48" s="115">
        <v>1</v>
      </c>
      <c r="D48" s="108"/>
      <c r="E48" s="108"/>
      <c r="F48" s="108"/>
      <c r="G48" s="108"/>
      <c r="R48" s="1" t="str">
        <v>Hydrothermal</v>
      </c>
      <c r="S48" s="1">
        <v>0</v>
      </c>
      <c r="T48" s="1">
        <v>0</v>
      </c>
      <c r="U48" s="1">
        <v>0</v>
      </c>
      <c r="V48" s="305">
        <v>10</v>
      </c>
      <c r="W48" s="1" t="str">
        <v>-120℃～300℃</v>
      </c>
      <c r="X48" s="1">
        <v>120</v>
      </c>
      <c r="Y48" s="1" t="str">
        <v>0 - 600</v>
      </c>
      <c r="Z48" s="1">
        <v>0</v>
      </c>
      <c r="AA48" s="1">
        <v>0</v>
      </c>
      <c r="AB48" s="305">
        <v>8</v>
      </c>
      <c r="AC48" s="1" t="str">
        <v>Linbel</v>
      </c>
      <c r="AD48" s="1" t="str">
        <v>S212-10L</v>
      </c>
      <c r="AE48" s="304">
        <v>15</v>
      </c>
      <c r="AF48" s="1">
        <v>0</v>
      </c>
      <c r="AM48" s="1" t="str">
        <v>hydrothermal</v>
      </c>
      <c r="AN48" s="1">
        <v>0</v>
      </c>
      <c r="AO48" s="1">
        <v>0</v>
      </c>
      <c r="AP48" s="1" t="str">
        <v>ohPolishingBehaviorsCeria2011_solidStateReaction</v>
      </c>
      <c r="AQ48" s="1" t="str">
        <v>colloidal</v>
      </c>
      <c r="AR48" s="1">
        <v>230</v>
      </c>
      <c r="AS48" s="1">
        <v>6</v>
      </c>
      <c r="AT48" s="1" t="str">
        <v>h</v>
      </c>
      <c r="AU48" s="1">
        <v>0</v>
      </c>
      <c r="AV48" s="1">
        <v>0</v>
      </c>
      <c r="AW48" s="1">
        <v>0</v>
      </c>
      <c r="AX48" s="1" t="str">
        <v>autoclave</v>
      </c>
      <c r="AY48" s="1">
        <v>0</v>
      </c>
      <c r="AZ48" s="1">
        <v>0</v>
      </c>
      <c r="BA48" s="1" t="str">
        <v>10.1016/j.powtec.2010.09.025</v>
      </c>
    </row>
    <row r="49" spans="1:53">
      <c r="A49" s="101" t="s">
        <v>540</v>
      </c>
      <c r="B49" s="115"/>
      <c r="C49" s="115"/>
      <c r="D49" s="108"/>
      <c r="E49" s="108"/>
      <c r="F49" s="108"/>
      <c r="G49" s="108"/>
      <c r="R49" s="1" t="str">
        <v>Hydrothermal</v>
      </c>
      <c r="S49" s="1">
        <v>0</v>
      </c>
      <c r="T49" s="1">
        <v>0</v>
      </c>
      <c r="U49" s="1">
        <v>0</v>
      </c>
      <c r="V49" s="305">
        <v>20</v>
      </c>
      <c r="W49" s="1" t="str">
        <v>-120℃～300℃</v>
      </c>
      <c r="X49" s="1">
        <v>120</v>
      </c>
      <c r="Y49" s="1" t="str">
        <v>0 - 600</v>
      </c>
      <c r="Z49" s="1">
        <v>0</v>
      </c>
      <c r="AA49" s="1">
        <v>0</v>
      </c>
      <c r="AB49" s="305">
        <v>16</v>
      </c>
      <c r="AC49" s="1" t="str">
        <v>Linbel</v>
      </c>
      <c r="AD49" s="1" t="str">
        <v>S212-20L</v>
      </c>
      <c r="AE49" s="304">
        <v>7.5</v>
      </c>
      <c r="AF49" s="1">
        <v>0</v>
      </c>
      <c r="AM49" s="1" t="str">
        <v>hydrothermal</v>
      </c>
      <c r="AN49" s="1">
        <v>0</v>
      </c>
      <c r="AO49" s="1">
        <v>0</v>
      </c>
      <c r="AP49" s="1" t="str">
        <v>wangSynthesisCeO2Nanoparticles2023_process1</v>
      </c>
      <c r="AQ49" s="1" t="str">
        <v>colloidal</v>
      </c>
      <c r="AR49" s="1">
        <v>70</v>
      </c>
      <c r="AS49" s="1">
        <v>0</v>
      </c>
      <c r="AT49" s="1">
        <v>0</v>
      </c>
      <c r="AU49" s="1">
        <v>0</v>
      </c>
      <c r="AV49" s="1">
        <v>0</v>
      </c>
      <c r="AW49" s="1">
        <v>0</v>
      </c>
      <c r="AX49" s="1">
        <v>0</v>
      </c>
      <c r="AY49" s="1">
        <v>0</v>
      </c>
      <c r="AZ49" s="1">
        <v>0</v>
      </c>
      <c r="BA49" s="1" t="str">
        <v>10.1007/s13391-023-00427-2</v>
      </c>
    </row>
    <row r="50" spans="1:53">
      <c r="A50" s="101" t="s">
        <v>539</v>
      </c>
      <c r="B50" s="115"/>
      <c r="C50" s="115"/>
      <c r="D50" s="108"/>
      <c r="E50" s="108"/>
      <c r="F50" s="108"/>
      <c r="G50" s="108"/>
      <c r="R50" s="1" t="str">
        <v>Hydrothermal</v>
      </c>
      <c r="S50" s="1">
        <v>0</v>
      </c>
      <c r="T50" s="1">
        <v>0</v>
      </c>
      <c r="U50" s="1">
        <v>0</v>
      </c>
      <c r="V50" s="305">
        <v>30</v>
      </c>
      <c r="W50" s="1" t="str">
        <v>-120℃～300℃</v>
      </c>
      <c r="X50" s="1">
        <v>120</v>
      </c>
      <c r="Y50" s="1" t="str">
        <v>0 - 600</v>
      </c>
      <c r="Z50" s="1">
        <v>0</v>
      </c>
      <c r="AA50" s="1">
        <v>0</v>
      </c>
      <c r="AB50" s="305">
        <v>24</v>
      </c>
      <c r="AC50" s="1" t="str">
        <v>Linbel</v>
      </c>
      <c r="AD50" s="1" t="str">
        <v>S212-30L</v>
      </c>
      <c r="AE50" s="304">
        <v>5</v>
      </c>
      <c r="AF50" s="1">
        <v>0</v>
      </c>
      <c r="AM50" s="1" t="str">
        <v>hydrothermal</v>
      </c>
      <c r="AN50" s="1">
        <v>0</v>
      </c>
      <c r="AO50" s="1">
        <v>0</v>
      </c>
      <c r="AP50" s="1" t="str">
        <v>yuanyuanzhengEffectsPrecursorsMorphology2022_process1</v>
      </c>
      <c r="AQ50" s="1" t="str">
        <v>calcined</v>
      </c>
      <c r="AR50" s="1">
        <v>0</v>
      </c>
      <c r="AS50" s="1">
        <v>0</v>
      </c>
      <c r="AT50" s="1">
        <v>0</v>
      </c>
      <c r="AU50" s="1">
        <v>0</v>
      </c>
      <c r="AV50" s="1">
        <v>0</v>
      </c>
      <c r="AW50" s="1">
        <v>0</v>
      </c>
      <c r="AX50" s="1">
        <v>0</v>
      </c>
      <c r="AY50" s="1">
        <v>0</v>
      </c>
      <c r="AZ50" s="1">
        <v>0</v>
      </c>
      <c r="BA50" s="1" t="str">
        <v>10.3390/ma15217525</v>
      </c>
    </row>
    <row r="51" spans="1:53">
      <c r="R51" s="1" t="str">
        <v>Hydrothermal</v>
      </c>
      <c r="S51" s="1">
        <v>0</v>
      </c>
      <c r="T51" s="1">
        <v>0</v>
      </c>
      <c r="U51" s="1">
        <v>0</v>
      </c>
      <c r="V51" s="305">
        <v>50</v>
      </c>
      <c r="W51" s="1" t="str">
        <v>-120℃～300℃</v>
      </c>
      <c r="X51" s="1">
        <v>120</v>
      </c>
      <c r="Y51" s="1" t="str">
        <v>0 - 600</v>
      </c>
      <c r="Z51" s="1">
        <v>0</v>
      </c>
      <c r="AA51" s="1">
        <v>0</v>
      </c>
      <c r="AB51" s="305">
        <v>40</v>
      </c>
      <c r="AC51" s="1" t="str">
        <v>Linbel</v>
      </c>
      <c r="AD51" s="1" t="str">
        <v>S212-50L</v>
      </c>
      <c r="AE51" s="304">
        <v>3</v>
      </c>
      <c r="AF51" s="1">
        <v>0</v>
      </c>
      <c r="AM51" s="1" t="str">
        <v>hydrothermal</v>
      </c>
      <c r="AN51" s="1">
        <v>0</v>
      </c>
      <c r="AO51" s="1">
        <v>0</v>
      </c>
      <c r="AP51" s="1" t="str">
        <v>masanorihiranoHydrothermalSynthesisUltrafine1996_process1</v>
      </c>
      <c r="AQ51" s="1" t="str">
        <v>colloidal</v>
      </c>
      <c r="AR51" s="1" t="str">
        <v>150-200</v>
      </c>
      <c r="AS51" s="1">
        <v>20</v>
      </c>
      <c r="AT51" s="1" t="str">
        <v>h</v>
      </c>
      <c r="AU51" s="1">
        <v>0</v>
      </c>
      <c r="AV51" s="1">
        <v>0</v>
      </c>
      <c r="AW51" s="1">
        <v>0</v>
      </c>
      <c r="AX51" s="1" t="str">
        <v>Autoclave</v>
      </c>
      <c r="AY51" s="1">
        <v>0</v>
      </c>
      <c r="AZ51" s="1">
        <v>0</v>
      </c>
      <c r="BA51" s="1" t="str">
        <v>10.1007/bf00274391</v>
      </c>
    </row>
    <row r="52" spans="1:53">
      <c r="R52" s="1" t="str">
        <v>Hydrothermal</v>
      </c>
      <c r="S52" s="1">
        <v>0</v>
      </c>
      <c r="T52" s="1">
        <v>0</v>
      </c>
      <c r="U52" s="1">
        <v>0</v>
      </c>
      <c r="V52" s="305">
        <v>100</v>
      </c>
      <c r="W52" s="1" t="str">
        <v>-120℃～300℃</v>
      </c>
      <c r="X52" s="1">
        <v>180</v>
      </c>
      <c r="Y52" s="1" t="str">
        <v>0 - 600</v>
      </c>
      <c r="Z52" s="1">
        <v>0</v>
      </c>
      <c r="AA52" s="1">
        <v>0</v>
      </c>
      <c r="AB52" s="305">
        <v>80</v>
      </c>
      <c r="AC52" s="1" t="str">
        <v>Linbel</v>
      </c>
      <c r="AD52" s="1" t="str">
        <v>GR100L</v>
      </c>
      <c r="AE52" s="304">
        <v>2.25</v>
      </c>
      <c r="AF52" s="1">
        <v>0</v>
      </c>
      <c r="AM52" s="1" t="str">
        <v>hydrothermal</v>
      </c>
      <c r="AN52" s="1">
        <v>0</v>
      </c>
      <c r="AO52" s="1">
        <v>0</v>
      </c>
      <c r="AP52" s="1" t="str">
        <v>dae-hyeongkimEffectCeriumPrecursor2005_sampleA</v>
      </c>
      <c r="AQ52" s="1" t="str">
        <v>calcined</v>
      </c>
      <c r="AR52" s="1">
        <v>0</v>
      </c>
      <c r="AS52" s="1">
        <v>0</v>
      </c>
      <c r="AT52" s="1">
        <v>0</v>
      </c>
      <c r="AU52" s="1">
        <v>0</v>
      </c>
      <c r="AV52" s="1">
        <v>0</v>
      </c>
      <c r="AW52" s="1">
        <v>0</v>
      </c>
      <c r="AX52" s="1">
        <v>0</v>
      </c>
      <c r="AY52" s="1">
        <v>0</v>
      </c>
      <c r="AZ52" s="1">
        <v>0</v>
      </c>
      <c r="BA52" s="1" t="str">
        <v>https://doi.org/10.1143/jjap.44.8422</v>
      </c>
    </row>
    <row r="53" spans="1:53">
      <c r="R53" s="1" t="str">
        <v>Hydrothermal</v>
      </c>
      <c r="S53" s="1">
        <v>0</v>
      </c>
      <c r="T53" s="1">
        <v>0</v>
      </c>
      <c r="U53" s="1">
        <v>0</v>
      </c>
      <c r="V53" s="305">
        <v>10</v>
      </c>
      <c r="W53" s="1" t="str">
        <v xml:space="preserve">-80℃~350 ℃ </v>
      </c>
      <c r="X53" s="1">
        <v>3</v>
      </c>
      <c r="Y53" s="1" t="str">
        <v>0- 500</v>
      </c>
      <c r="Z53" s="1">
        <v>0</v>
      </c>
      <c r="AA53" s="1">
        <v>0</v>
      </c>
      <c r="AB53" s="305">
        <v>8</v>
      </c>
      <c r="AC53" s="1" t="str">
        <v>Valuen</v>
      </c>
      <c r="AD53" s="1" t="str">
        <v>VJR10S</v>
      </c>
      <c r="AE53" s="304">
        <v>0.375</v>
      </c>
      <c r="AF53" s="1" t="str">
        <v>https://www.valuenlab.com/product/300l500ljacketed-stainless-steel-reactor</v>
      </c>
      <c r="AM53" s="1" t="str">
        <v>hydrothermal</v>
      </c>
      <c r="AN53" s="1">
        <v>0</v>
      </c>
      <c r="AO53" s="1">
        <v>0</v>
      </c>
      <c r="AP53" s="1" t="str">
        <v>chenSynthesisNanocrystallineCerium2005a_process1</v>
      </c>
      <c r="AQ53" s="1" t="str">
        <v>colloidal</v>
      </c>
      <c r="AR53" s="1">
        <v>0</v>
      </c>
      <c r="AS53" s="1">
        <v>2</v>
      </c>
      <c r="AT53" s="1" t="str">
        <v>h</v>
      </c>
      <c r="AU53" s="1">
        <v>0</v>
      </c>
      <c r="AV53" s="1">
        <v>0</v>
      </c>
      <c r="AW53" s="1">
        <v>0</v>
      </c>
      <c r="AX53" s="1" t="str">
        <v>gas chromatograph</v>
      </c>
      <c r="AY53" s="1">
        <v>0</v>
      </c>
      <c r="AZ53" s="1" t="str">
        <v>O2/N2 bubbled to oxidize Ce(III) to Ce(IV)</v>
      </c>
      <c r="BA53" s="1" t="str">
        <v>10.1016/j.ceramint.2004.09.006</v>
      </c>
    </row>
    <row r="54" spans="1:53">
      <c r="R54" s="1" t="str">
        <v>Hydrothermal</v>
      </c>
      <c r="S54" s="1">
        <v>0</v>
      </c>
      <c r="T54" s="1">
        <v>0</v>
      </c>
      <c r="U54" s="1">
        <v>0</v>
      </c>
      <c r="V54" s="305">
        <v>20</v>
      </c>
      <c r="W54" s="1" t="str">
        <v xml:space="preserve">-80℃~350 ℃ </v>
      </c>
      <c r="X54" s="1">
        <v>3</v>
      </c>
      <c r="Y54" s="1" t="str">
        <v>0- 500</v>
      </c>
      <c r="Z54" s="1">
        <v>0</v>
      </c>
      <c r="AA54" s="1">
        <v>0</v>
      </c>
      <c r="AB54" s="305">
        <v>16</v>
      </c>
      <c r="AC54" s="1" t="str">
        <v>Valuen</v>
      </c>
      <c r="AD54" s="1" t="str">
        <v>VJR20S</v>
      </c>
      <c r="AE54" s="304">
        <v>0.1875</v>
      </c>
      <c r="AF54" s="1">
        <v>0</v>
      </c>
      <c r="AM54" s="1" t="str">
        <v>hydrothermal</v>
      </c>
      <c r="AN54" s="1">
        <v>0</v>
      </c>
      <c r="AO54" s="1">
        <v>0</v>
      </c>
      <c r="AP54" s="1" t="str">
        <v>dipakv.pinjariRoomTemperatureSynthesis2011_NUS</v>
      </c>
      <c r="AQ54" s="1" t="str">
        <v>colloidal</v>
      </c>
      <c r="AR54" s="1">
        <v>35</v>
      </c>
      <c r="AS54" s="1">
        <v>4</v>
      </c>
      <c r="AT54" s="1" t="str">
        <v>h</v>
      </c>
      <c r="AU54" s="1">
        <v>0</v>
      </c>
      <c r="AV54" s="1">
        <v>0</v>
      </c>
      <c r="AW54" s="1">
        <v>0</v>
      </c>
      <c r="AX54" s="1" t="str">
        <v>magnetic stirrer</v>
      </c>
      <c r="AY54" s="1">
        <v>0</v>
      </c>
      <c r="AZ54" s="1">
        <v>0</v>
      </c>
      <c r="BA54" s="1" t="str">
        <v>10.1016/j.ultsonch.2011.01.008</v>
      </c>
    </row>
    <row r="55" spans="1:53">
      <c r="R55" s="1" t="str">
        <v>Hydrothermal</v>
      </c>
      <c r="S55" s="1">
        <v>0</v>
      </c>
      <c r="T55" s="1">
        <v>0</v>
      </c>
      <c r="U55" s="1">
        <v>0</v>
      </c>
      <c r="V55" s="305">
        <v>30</v>
      </c>
      <c r="W55" s="1" t="str">
        <v xml:space="preserve">-80℃~350 ℃ </v>
      </c>
      <c r="X55" s="1">
        <v>6</v>
      </c>
      <c r="Y55" s="1" t="str">
        <v>0-500</v>
      </c>
      <c r="Z55" s="1">
        <v>0</v>
      </c>
      <c r="AA55" s="1">
        <v>0</v>
      </c>
      <c r="AB55" s="305">
        <v>24</v>
      </c>
      <c r="AC55" s="1" t="str">
        <v>Valuen</v>
      </c>
      <c r="AD55" s="1" t="str">
        <v>VJR30S</v>
      </c>
      <c r="AE55" s="304">
        <v>0.25</v>
      </c>
      <c r="AF55" s="1">
        <v>0</v>
      </c>
      <c r="AM55" s="1" t="str">
        <v>hydrothermal</v>
      </c>
      <c r="AN55" s="1">
        <v>0</v>
      </c>
      <c r="AO55" s="1">
        <v>0</v>
      </c>
      <c r="AP55" s="1" t="str">
        <v>hakutaProductionUltrafineCeria1998_process2</v>
      </c>
      <c r="AQ55" s="1" t="str">
        <v>colloidal</v>
      </c>
      <c r="AR55" s="1">
        <v>250</v>
      </c>
      <c r="AS55" s="1">
        <v>0</v>
      </c>
      <c r="AT55" s="1">
        <v>0</v>
      </c>
      <c r="AU55" s="1">
        <v>0</v>
      </c>
      <c r="AV55" s="1">
        <v>0</v>
      </c>
      <c r="AW55" s="1">
        <v>0</v>
      </c>
      <c r="AX55" s="1">
        <v>0</v>
      </c>
      <c r="AY55" s="1">
        <v>0</v>
      </c>
      <c r="AZ55" s="1">
        <v>0</v>
      </c>
      <c r="BA55" s="1" t="str">
        <v>10.1023/a:1006597828280</v>
      </c>
    </row>
    <row r="56" spans="1:53">
      <c r="R56" s="1" t="str">
        <v>Hydrothermal</v>
      </c>
      <c r="S56" s="1">
        <v>0</v>
      </c>
      <c r="T56" s="1">
        <v>0</v>
      </c>
      <c r="U56" s="1">
        <v>0</v>
      </c>
      <c r="V56" s="305">
        <v>500</v>
      </c>
      <c r="W56" s="1" t="str">
        <v xml:space="preserve">-80℃~350 ℃ </v>
      </c>
      <c r="X56" s="1">
        <v>12</v>
      </c>
      <c r="Y56" s="1" t="str">
        <v>0- 500</v>
      </c>
      <c r="Z56" s="1">
        <v>0</v>
      </c>
      <c r="AA56" s="1">
        <v>0</v>
      </c>
      <c r="AB56" s="305">
        <v>400</v>
      </c>
      <c r="AC56" s="1" t="str">
        <v>Valuen</v>
      </c>
      <c r="AD56" s="1" t="str">
        <v>VJR50S</v>
      </c>
      <c r="AE56" s="304">
        <v>0.03</v>
      </c>
      <c r="AF56" s="1">
        <v>0</v>
      </c>
      <c r="AM56" s="1" t="str">
        <v>hydrothermal</v>
      </c>
      <c r="AN56" s="1">
        <v>0</v>
      </c>
      <c r="AO56" s="1">
        <v>0</v>
      </c>
      <c r="AP56" s="1" t="str">
        <v>masanorihiranoHydrothermalSynthesisNanocrystalline2004_hydrothermal</v>
      </c>
      <c r="AQ56" s="1" t="str">
        <v>colloidal</v>
      </c>
      <c r="AR56" s="1" t="str">
        <v>120 to 180</v>
      </c>
      <c r="AS56" s="1">
        <v>5</v>
      </c>
      <c r="AT56" s="1">
        <v>0</v>
      </c>
      <c r="AU56" s="1">
        <v>0</v>
      </c>
      <c r="AV56" s="1">
        <v>0</v>
      </c>
      <c r="AW56" s="1">
        <v>0</v>
      </c>
      <c r="AX56" s="1" t="str">
        <v>Teflon bottle</v>
      </c>
      <c r="AY56" s="1">
        <v>0</v>
      </c>
      <c r="AZ56" s="1">
        <v>0</v>
      </c>
      <c r="BA56" s="1" t="str">
        <v>10.1111/j.1151-2916.1999.tb01838.x</v>
      </c>
    </row>
    <row r="57" spans="1:53">
      <c r="R57" s="1" t="str">
        <v>Hydrothermal</v>
      </c>
      <c r="S57" s="1">
        <v>0</v>
      </c>
      <c r="T57" s="1">
        <v>0</v>
      </c>
      <c r="U57" s="1">
        <v>0</v>
      </c>
      <c r="V57" s="305">
        <v>100</v>
      </c>
      <c r="W57" s="1" t="str">
        <v xml:space="preserve">-80℃~350 ℃ </v>
      </c>
      <c r="X57" s="1">
        <v>18</v>
      </c>
      <c r="Y57" s="1" t="str">
        <v>0-150</v>
      </c>
      <c r="Z57" s="1">
        <v>0</v>
      </c>
      <c r="AA57" s="1">
        <v>0</v>
      </c>
      <c r="AB57" s="305">
        <v>80</v>
      </c>
      <c r="AC57" s="1" t="str">
        <v>Valuen</v>
      </c>
      <c r="AD57" s="1" t="str">
        <v>VJR100S</v>
      </c>
      <c r="AE57" s="304">
        <v>0.22500000000000001</v>
      </c>
      <c r="AF57" s="1">
        <v>0</v>
      </c>
      <c r="AM57" s="1" t="str">
        <v>hydrothermal</v>
      </c>
      <c r="AN57" s="1">
        <v>0</v>
      </c>
      <c r="AO57" s="1">
        <v>0</v>
      </c>
      <c r="AP57" s="1" t="str">
        <v>fanmingmengControllableSynthesisOptical2013_processA</v>
      </c>
      <c r="AQ57" s="1" t="str">
        <v>colloidal</v>
      </c>
      <c r="AR57" s="1">
        <v>180</v>
      </c>
      <c r="AS57" s="1">
        <v>8</v>
      </c>
      <c r="AT57" s="1">
        <v>0</v>
      </c>
      <c r="AU57" s="1">
        <v>0</v>
      </c>
      <c r="AV57" s="1">
        <v>0</v>
      </c>
      <c r="AW57" s="1">
        <v>0</v>
      </c>
      <c r="AX57" s="1">
        <v>0</v>
      </c>
      <c r="AY57" s="1">
        <v>0</v>
      </c>
      <c r="AZ57" s="1" t="str">
        <v>50 mL Teflon-lined autoclave</v>
      </c>
      <c r="BA57" s="1" t="str">
        <v>10.1016/j.jallcom.2012.12.096</v>
      </c>
    </row>
    <row r="58" spans="1:53">
      <c r="R58" s="1" t="str">
        <v>Hydrothermal</v>
      </c>
      <c r="S58" s="1">
        <v>0</v>
      </c>
      <c r="T58" s="1">
        <v>0</v>
      </c>
      <c r="U58" s="1">
        <v>0</v>
      </c>
      <c r="V58" s="305">
        <v>200</v>
      </c>
      <c r="W58" s="1" t="str">
        <v xml:space="preserve">-80℃~350 ℃ </v>
      </c>
      <c r="X58" s="1">
        <v>27</v>
      </c>
      <c r="Y58" s="1" t="str">
        <v>0-150</v>
      </c>
      <c r="Z58" s="1">
        <v>0</v>
      </c>
      <c r="AA58" s="1">
        <v>0</v>
      </c>
      <c r="AB58" s="305">
        <v>160</v>
      </c>
      <c r="AC58" s="1" t="str">
        <v>Valuen</v>
      </c>
      <c r="AD58" s="1" t="str">
        <v>VJR200S</v>
      </c>
      <c r="AE58" s="304">
        <v>0.16875000000000001</v>
      </c>
      <c r="AF58" s="1">
        <v>0</v>
      </c>
      <c r="AM58" s="1" t="str">
        <v>hydrothermal</v>
      </c>
      <c r="AN58" s="1">
        <v>0</v>
      </c>
      <c r="AO58" s="1">
        <v>0</v>
      </c>
      <c r="AP58" s="1" t="str">
        <v>fanmingmengControllableSynthesisOptical2013_processB</v>
      </c>
      <c r="AQ58" s="1" t="str">
        <v>colloidal</v>
      </c>
      <c r="AR58" s="1">
        <v>180</v>
      </c>
      <c r="AS58" s="1">
        <v>8</v>
      </c>
      <c r="AT58" s="1">
        <v>0</v>
      </c>
      <c r="AU58" s="1">
        <v>0</v>
      </c>
      <c r="AV58" s="1">
        <v>0</v>
      </c>
      <c r="AW58" s="1">
        <v>0</v>
      </c>
      <c r="AX58" s="1">
        <v>0</v>
      </c>
      <c r="AY58" s="1">
        <v>0</v>
      </c>
      <c r="AZ58" s="1" t="str">
        <v>50 mL Teflon-lined autoclave</v>
      </c>
      <c r="BA58" s="1" t="str">
        <v>10.1016/j.jallcom.2012.12.096</v>
      </c>
    </row>
    <row r="59" spans="1:53">
      <c r="C59" s="289"/>
      <c r="R59" s="1" t="str">
        <v>Hydrothermal</v>
      </c>
      <c r="S59" s="1">
        <v>0</v>
      </c>
      <c r="T59" s="1">
        <v>0</v>
      </c>
      <c r="U59" s="1">
        <v>0</v>
      </c>
      <c r="V59" s="305">
        <v>300</v>
      </c>
      <c r="W59" s="1" t="str">
        <v xml:space="preserve">-80℃~350 ℃ </v>
      </c>
      <c r="X59" s="1">
        <v>27</v>
      </c>
      <c r="Y59" s="1" t="str">
        <v>0-150</v>
      </c>
      <c r="Z59" s="1">
        <v>0</v>
      </c>
      <c r="AA59" s="1">
        <v>0</v>
      </c>
      <c r="AB59" s="305">
        <v>240</v>
      </c>
      <c r="AC59" s="1" t="str">
        <v>Valuen</v>
      </c>
      <c r="AD59" s="1" t="str">
        <v>VJR300S</v>
      </c>
      <c r="AE59" s="304">
        <v>0.1125</v>
      </c>
      <c r="AF59" s="1">
        <v>0</v>
      </c>
      <c r="AM59" s="1" t="str">
        <v>hydrothermal</v>
      </c>
      <c r="AN59" s="1">
        <v>0</v>
      </c>
      <c r="AO59" s="1">
        <v>0</v>
      </c>
      <c r="AP59" s="1" t="str">
        <v>fanmingmengControllableSynthesisOptical2013_processC</v>
      </c>
      <c r="AQ59" s="1" t="str">
        <v>colloidal</v>
      </c>
      <c r="AR59" s="1">
        <v>180</v>
      </c>
      <c r="AS59" s="1">
        <v>8</v>
      </c>
      <c r="AT59" s="1">
        <v>0</v>
      </c>
      <c r="AU59" s="1">
        <v>0</v>
      </c>
      <c r="AV59" s="1">
        <v>0</v>
      </c>
      <c r="AW59" s="1">
        <v>0</v>
      </c>
      <c r="AX59" s="1">
        <v>0</v>
      </c>
      <c r="AY59" s="1">
        <v>0</v>
      </c>
      <c r="AZ59" s="1" t="str">
        <v>50 mL Teflon-lined autoclave</v>
      </c>
      <c r="BA59" s="1" t="str">
        <v>10.1016/j.jallcom.2012.12.096</v>
      </c>
    </row>
    <row r="60" spans="1:53" ht="25">
      <c r="A60" s="1" t="s">
        <v>614</v>
      </c>
      <c r="B60" s="111"/>
      <c r="C60" s="166">
        <f>Z23</f>
        <v>6.19</v>
      </c>
      <c r="R60" s="1" t="str">
        <v>Hydrothermal</v>
      </c>
      <c r="S60" s="1">
        <v>0</v>
      </c>
      <c r="T60" s="1">
        <v>0</v>
      </c>
      <c r="U60" s="1">
        <v>0</v>
      </c>
      <c r="V60" s="305">
        <v>500</v>
      </c>
      <c r="W60" s="1" t="str">
        <v xml:space="preserve">-80℃~350 ℃ </v>
      </c>
      <c r="X60" s="1">
        <v>30</v>
      </c>
      <c r="Y60" s="1" t="str">
        <v>0-120</v>
      </c>
      <c r="Z60" s="1">
        <v>0</v>
      </c>
      <c r="AA60" s="1">
        <v>0</v>
      </c>
      <c r="AB60" s="305">
        <v>400</v>
      </c>
      <c r="AC60" s="1" t="str">
        <v>Valuen</v>
      </c>
      <c r="AD60" s="1" t="str">
        <v>VJR500S</v>
      </c>
      <c r="AE60" s="304">
        <v>7.4999999999999997E-2</v>
      </c>
      <c r="AF60" s="1">
        <v>0</v>
      </c>
      <c r="AM60" s="1" t="str">
        <v>hydrothermal</v>
      </c>
      <c r="AN60" s="1">
        <v>0</v>
      </c>
      <c r="AO60" s="1">
        <v>0</v>
      </c>
      <c r="AP60" s="1" t="str">
        <v>fanmingmengControllableSynthesisOptical2013_processD</v>
      </c>
      <c r="AQ60" s="1" t="str">
        <v>colloidal</v>
      </c>
      <c r="AR60" s="1">
        <v>180</v>
      </c>
      <c r="AS60" s="1">
        <v>8</v>
      </c>
      <c r="AT60" s="1">
        <v>0</v>
      </c>
      <c r="AU60" s="1">
        <v>0</v>
      </c>
      <c r="AV60" s="1">
        <v>0</v>
      </c>
      <c r="AW60" s="1">
        <v>0</v>
      </c>
      <c r="AX60" s="1">
        <v>0</v>
      </c>
      <c r="AY60" s="1">
        <v>0</v>
      </c>
      <c r="AZ60" s="1" t="str">
        <v>50 mL Teflon-lined autoclave</v>
      </c>
      <c r="BA60" s="1" t="str">
        <v>10.1016/j.jallcom.2012.12.096</v>
      </c>
    </row>
    <row r="61" spans="1:53">
      <c r="A61" s="1" t="s">
        <v>615</v>
      </c>
      <c r="B61" s="110"/>
      <c r="R61" s="1" t="str">
        <v>Hydrothermal</v>
      </c>
      <c r="S61" s="1">
        <v>0</v>
      </c>
      <c r="T61" s="1">
        <v>0</v>
      </c>
      <c r="U61" s="1">
        <v>0</v>
      </c>
      <c r="V61" s="305">
        <v>1000</v>
      </c>
      <c r="W61" s="1" t="str">
        <v xml:space="preserve">-80℃~350 ℃ </v>
      </c>
      <c r="X61" s="1">
        <v>60</v>
      </c>
      <c r="Y61" s="1" t="str">
        <v>0-120</v>
      </c>
      <c r="Z61" s="1">
        <v>0</v>
      </c>
      <c r="AA61" s="1">
        <v>0</v>
      </c>
      <c r="AB61" s="305">
        <v>800</v>
      </c>
      <c r="AC61" s="1" t="str">
        <v>Valuen</v>
      </c>
      <c r="AD61" s="1" t="str">
        <v>VJR1000S</v>
      </c>
      <c r="AE61" s="304">
        <v>7.4999999999999997E-2</v>
      </c>
      <c r="AF61" s="1">
        <v>0</v>
      </c>
    </row>
    <row r="62" spans="1:53" ht="31" customHeight="1">
      <c r="A62" s="1" t="s">
        <v>480</v>
      </c>
      <c r="B62" s="110" t="s">
        <v>481</v>
      </c>
      <c r="R62" s="1" t="str">
        <v>Hydrothermal</v>
      </c>
      <c r="S62" s="1">
        <v>0</v>
      </c>
      <c r="T62" s="1">
        <v>0</v>
      </c>
      <c r="U62" s="1">
        <v>0</v>
      </c>
      <c r="V62" s="305">
        <v>20</v>
      </c>
      <c r="W62" s="1">
        <v>0</v>
      </c>
      <c r="X62" s="1">
        <v>0</v>
      </c>
      <c r="Y62" s="1">
        <v>650</v>
      </c>
      <c r="Z62" s="1">
        <v>0</v>
      </c>
      <c r="AA62" s="1">
        <v>0</v>
      </c>
      <c r="AB62" s="305">
        <v>16</v>
      </c>
      <c r="AC62" s="1" t="str">
        <v>RAT-20Dse</v>
      </c>
      <c r="AD62" s="1" t="str">
        <v>RAT-20Dse</v>
      </c>
      <c r="AE62" s="304">
        <v>0</v>
      </c>
      <c r="AF62" s="1" t="str">
        <v>https://www.rpmhardware.com/index.php?route=product/product&amp;product_id=37356&amp;gad_source=1&amp;gclid=Cj0KCQjwjY64BhCaARIsAIfc7YYDtQlAwDPTr4t61H9HD1nvgQ7em_iZ9djfGS46A81oeBhS89tb3VEaAqZ9EALw_wcB</v>
      </c>
    </row>
    <row r="63" spans="1:53">
      <c r="A63" s="1" t="s">
        <v>616</v>
      </c>
      <c r="B63" s="110"/>
      <c r="R63" s="1" t="str">
        <v>Hydrothermal</v>
      </c>
      <c r="S63" s="1">
        <v>0</v>
      </c>
      <c r="T63" s="1">
        <v>0</v>
      </c>
      <c r="U63" s="1">
        <v>0</v>
      </c>
      <c r="V63" s="305">
        <v>5</v>
      </c>
      <c r="W63" s="1">
        <v>0</v>
      </c>
      <c r="X63" s="1">
        <v>0</v>
      </c>
      <c r="Y63" s="1">
        <v>600</v>
      </c>
      <c r="Z63" s="1">
        <v>0</v>
      </c>
      <c r="AA63" s="1">
        <v>0</v>
      </c>
      <c r="AB63" s="305">
        <v>4</v>
      </c>
      <c r="AC63" s="1" t="str">
        <v>Buchiglasuster</v>
      </c>
      <c r="AD63" s="1" t="str">
        <v>5, miniPilot</v>
      </c>
      <c r="AE63" s="304">
        <v>0</v>
      </c>
      <c r="AF63" s="1" t="str">
        <v>https://www.buchiglas.com/en-us/glass-reactors-process-equipment/minipilot.html</v>
      </c>
    </row>
    <row r="64" spans="1:53">
      <c r="A64" s="1" t="s">
        <v>617</v>
      </c>
      <c r="B64" s="110"/>
      <c r="R64" s="1" t="str">
        <v>Hydrothermal</v>
      </c>
      <c r="S64" s="1">
        <v>0</v>
      </c>
      <c r="T64" s="1">
        <v>0</v>
      </c>
      <c r="U64" s="1">
        <v>0</v>
      </c>
      <c r="V64" s="305">
        <v>10</v>
      </c>
      <c r="W64" s="1">
        <v>0</v>
      </c>
      <c r="X64" s="1">
        <v>0</v>
      </c>
      <c r="Y64" s="1">
        <v>600</v>
      </c>
      <c r="Z64" s="1">
        <v>0</v>
      </c>
      <c r="AA64" s="1">
        <v>0</v>
      </c>
      <c r="AB64" s="305">
        <v>8</v>
      </c>
      <c r="AC64" s="1" t="str">
        <v>Buchiglasuster</v>
      </c>
      <c r="AD64" s="1" t="str">
        <v>10, miniPilot</v>
      </c>
      <c r="AE64" s="304">
        <v>0</v>
      </c>
      <c r="AF64" s="1" t="str">
        <v>https://www.buchiglas.com/fileadmin/buchiglas_international/download/dvs/Brochures_and_Flyers/G_Minipilot_Glass_Pilot_Reactor.pdf</v>
      </c>
    </row>
    <row r="65" spans="1:32">
      <c r="R65" s="1" t="str">
        <v>Hydrothermal</v>
      </c>
      <c r="S65" s="1">
        <v>0</v>
      </c>
      <c r="T65" s="1">
        <v>0</v>
      </c>
      <c r="U65" s="1">
        <v>0</v>
      </c>
      <c r="V65" s="305">
        <v>15</v>
      </c>
      <c r="W65" s="1">
        <v>0</v>
      </c>
      <c r="X65" s="1">
        <v>0</v>
      </c>
      <c r="Y65" s="1">
        <v>600</v>
      </c>
      <c r="Z65" s="1">
        <v>0</v>
      </c>
      <c r="AA65" s="1">
        <v>0</v>
      </c>
      <c r="AB65" s="305">
        <v>12</v>
      </c>
      <c r="AC65" s="1" t="str">
        <v>Buchiglasuster</v>
      </c>
      <c r="AD65" s="1" t="str">
        <v>15, miniPilot</v>
      </c>
      <c r="AE65" s="304">
        <v>0</v>
      </c>
      <c r="AF65" s="1">
        <v>0</v>
      </c>
    </row>
    <row r="66" spans="1:32">
      <c r="R66" s="1" t="str">
        <v>Hydrothermal</v>
      </c>
      <c r="S66" s="1">
        <v>0</v>
      </c>
      <c r="T66" s="1">
        <v>0</v>
      </c>
      <c r="U66" s="1">
        <v>0</v>
      </c>
      <c r="V66" s="305">
        <v>20</v>
      </c>
      <c r="W66" s="1">
        <v>0</v>
      </c>
      <c r="X66" s="1">
        <v>180</v>
      </c>
      <c r="Y66" s="1">
        <v>650</v>
      </c>
      <c r="Z66" s="1">
        <v>0</v>
      </c>
      <c r="AA66" s="1">
        <v>0</v>
      </c>
      <c r="AB66" s="305">
        <v>16</v>
      </c>
      <c r="AC66" s="1" t="str">
        <v>RAT-20Dse</v>
      </c>
      <c r="AD66" s="1" t="str">
        <v>RAT-20Dse</v>
      </c>
      <c r="AE66" s="304">
        <v>11.25</v>
      </c>
      <c r="AF66" s="1" t="str">
        <v>https://www.rpmhardware.com/index.php?route=product/product&amp;product_id=37356&amp;gad_source=1&amp;gclid=Cj0KCQjwjY64BhCaARIsAIfc7YYDtQlAwDPTr4t61H9HD1nvgQ7em_iZ9djfGS46A81oeBhS89tb3VEaAqZ9EALw_wcB</v>
      </c>
    </row>
    <row r="67" spans="1:32">
      <c r="R67" s="1" t="str">
        <v>Hydrothermal</v>
      </c>
      <c r="S67" s="1">
        <v>0</v>
      </c>
      <c r="T67" s="1">
        <v>0</v>
      </c>
      <c r="U67" s="1">
        <v>0</v>
      </c>
      <c r="V67" s="305">
        <v>1</v>
      </c>
      <c r="W67" s="1">
        <v>0</v>
      </c>
      <c r="X67" s="1">
        <v>0</v>
      </c>
      <c r="Y67" s="1">
        <v>420</v>
      </c>
      <c r="Z67" s="1">
        <v>0</v>
      </c>
      <c r="AA67" s="1">
        <v>0</v>
      </c>
      <c r="AB67" s="305">
        <v>0.8</v>
      </c>
      <c r="AC67" s="1" t="str">
        <v>TOB NEW ENERGY</v>
      </c>
      <c r="AD67" s="1">
        <v>0</v>
      </c>
      <c r="AE67" s="304">
        <v>0</v>
      </c>
      <c r="AF67" s="1" t="str">
        <v>https://www.tobmachine.com/lab-scale-double-layer-jacketed-glass-chemical-reactor-vessel_p996.html</v>
      </c>
    </row>
    <row r="68" spans="1:32">
      <c r="R68" s="1" t="str">
        <v>Hydrothermal</v>
      </c>
      <c r="S68" s="1">
        <v>0</v>
      </c>
      <c r="T68" s="1">
        <v>0</v>
      </c>
      <c r="U68" s="1">
        <v>0</v>
      </c>
      <c r="V68" s="305">
        <v>2</v>
      </c>
      <c r="W68" s="1">
        <v>0</v>
      </c>
      <c r="X68" s="1">
        <v>0</v>
      </c>
      <c r="Y68" s="1">
        <v>420</v>
      </c>
      <c r="Z68" s="1">
        <v>0</v>
      </c>
      <c r="AA68" s="1">
        <v>0</v>
      </c>
      <c r="AB68" s="305">
        <v>1.6</v>
      </c>
      <c r="AC68" s="1" t="str">
        <v>TOB NEW ENERGY</v>
      </c>
      <c r="AD68" s="1">
        <v>0</v>
      </c>
      <c r="AE68" s="304">
        <v>0</v>
      </c>
      <c r="AF68" s="1">
        <v>0</v>
      </c>
    </row>
    <row r="69" spans="1:32">
      <c r="R69" s="1" t="str">
        <v>Hydrothermal</v>
      </c>
      <c r="S69" s="1">
        <v>0</v>
      </c>
      <c r="T69" s="1">
        <v>0</v>
      </c>
      <c r="U69" s="1">
        <v>0</v>
      </c>
      <c r="V69" s="1">
        <v>3</v>
      </c>
      <c r="W69" s="1">
        <v>0</v>
      </c>
      <c r="X69" s="1">
        <v>0</v>
      </c>
      <c r="Y69" s="1">
        <v>420</v>
      </c>
      <c r="Z69" s="1">
        <v>0</v>
      </c>
      <c r="AA69" s="1">
        <v>0</v>
      </c>
      <c r="AB69" s="1">
        <v>2.4000000000000004</v>
      </c>
      <c r="AC69" s="1" t="str">
        <v>TOB NEW ENERGY</v>
      </c>
      <c r="AD69" s="1">
        <v>0</v>
      </c>
      <c r="AE69" s="1">
        <v>0</v>
      </c>
      <c r="AF69" s="1">
        <v>0</v>
      </c>
    </row>
    <row r="70" spans="1:32">
      <c r="B70" s="1" t="s">
        <v>620</v>
      </c>
      <c r="C70" s="1" t="s">
        <v>619</v>
      </c>
      <c r="D70" s="1" t="s">
        <v>2</v>
      </c>
      <c r="R70" s="1" t="str">
        <v>Hydrothermal</v>
      </c>
      <c r="S70" s="1">
        <v>0</v>
      </c>
      <c r="T70" s="1">
        <v>0</v>
      </c>
      <c r="U70" s="1">
        <v>0</v>
      </c>
      <c r="V70" s="1">
        <v>5</v>
      </c>
      <c r="W70" s="1">
        <v>0</v>
      </c>
      <c r="X70" s="1">
        <v>0</v>
      </c>
      <c r="Y70" s="1">
        <v>420</v>
      </c>
      <c r="Z70" s="1">
        <v>0</v>
      </c>
      <c r="AA70" s="1">
        <v>0</v>
      </c>
      <c r="AB70" s="1">
        <v>4</v>
      </c>
      <c r="AC70" s="1" t="str">
        <v>TOB NEW ENERGY</v>
      </c>
      <c r="AD70" s="1">
        <v>0</v>
      </c>
      <c r="AE70" s="1">
        <v>0</v>
      </c>
      <c r="AF70" s="1">
        <v>0</v>
      </c>
    </row>
    <row r="71" spans="1:32">
      <c r="A71" s="1" t="s">
        <v>482</v>
      </c>
      <c r="B71" s="115"/>
      <c r="C71" s="115"/>
      <c r="D71" s="123">
        <f>E71</f>
        <v>7.62</v>
      </c>
      <c r="E71" s="1">
        <f>Z21</f>
        <v>7.62</v>
      </c>
      <c r="R71" s="1" t="str">
        <v>Hydrothermal</v>
      </c>
      <c r="S71" s="1">
        <v>0</v>
      </c>
      <c r="T71" s="1">
        <v>0</v>
      </c>
      <c r="U71" s="1">
        <v>0</v>
      </c>
      <c r="V71" s="1">
        <v>10</v>
      </c>
      <c r="W71" s="1">
        <v>0</v>
      </c>
      <c r="X71" s="1">
        <v>0</v>
      </c>
      <c r="Y71" s="1">
        <v>420</v>
      </c>
      <c r="Z71" s="1">
        <v>0</v>
      </c>
      <c r="AA71" s="1">
        <v>0</v>
      </c>
      <c r="AB71" s="1">
        <v>8</v>
      </c>
      <c r="AC71" s="1" t="str">
        <v>TOB NEW ENERGY</v>
      </c>
      <c r="AD71" s="1">
        <v>0</v>
      </c>
      <c r="AE71" s="1">
        <v>0</v>
      </c>
      <c r="AF71" s="1">
        <v>0</v>
      </c>
    </row>
    <row r="72" spans="1:32">
      <c r="A72" s="1" t="s">
        <v>1175</v>
      </c>
      <c r="B72" s="115"/>
      <c r="C72" s="115"/>
      <c r="D72" s="115"/>
      <c r="R72" s="1" t="str">
        <v>Hydrothermal</v>
      </c>
      <c r="S72" s="1">
        <v>0</v>
      </c>
      <c r="T72" s="1">
        <v>0</v>
      </c>
      <c r="U72" s="1">
        <v>0</v>
      </c>
      <c r="V72" s="1">
        <v>20</v>
      </c>
      <c r="W72" s="1">
        <v>0</v>
      </c>
      <c r="X72" s="1">
        <v>0</v>
      </c>
      <c r="Y72" s="1">
        <v>420</v>
      </c>
      <c r="Z72" s="1">
        <v>0</v>
      </c>
      <c r="AA72" s="1">
        <v>0</v>
      </c>
      <c r="AB72" s="1">
        <v>16</v>
      </c>
      <c r="AC72" s="1" t="str">
        <v>TOB NEW ENERGY</v>
      </c>
      <c r="AD72" s="1">
        <v>0</v>
      </c>
      <c r="AE72" s="1">
        <v>0</v>
      </c>
      <c r="AF72" s="1">
        <v>0</v>
      </c>
    </row>
    <row r="73" spans="1:32">
      <c r="A73" s="1" t="s">
        <v>613</v>
      </c>
      <c r="B73" s="115"/>
      <c r="C73" s="115"/>
      <c r="D73" s="115"/>
      <c r="R73" s="1" t="str">
        <v>Hydrothermal</v>
      </c>
      <c r="S73" s="1">
        <v>0</v>
      </c>
      <c r="T73" s="1">
        <v>0</v>
      </c>
      <c r="U73" s="1">
        <v>0</v>
      </c>
      <c r="V73" s="1">
        <v>30</v>
      </c>
      <c r="W73" s="1">
        <v>0</v>
      </c>
      <c r="X73" s="1">
        <v>0</v>
      </c>
      <c r="Y73" s="1">
        <v>420</v>
      </c>
      <c r="Z73" s="1">
        <v>0</v>
      </c>
      <c r="AA73" s="1">
        <v>0</v>
      </c>
      <c r="AB73" s="1">
        <v>24</v>
      </c>
      <c r="AC73" s="1" t="str">
        <v>TOB NEW ENERGY</v>
      </c>
      <c r="AD73" s="1">
        <v>0</v>
      </c>
      <c r="AE73" s="1">
        <v>0</v>
      </c>
      <c r="AF73" s="1">
        <v>0</v>
      </c>
    </row>
    <row r="74" spans="1:32">
      <c r="A74" s="1" t="s">
        <v>625</v>
      </c>
      <c r="B74" s="116"/>
      <c r="C74" s="116"/>
      <c r="D74" s="120">
        <f>Z21</f>
        <v>7.62</v>
      </c>
      <c r="R74" s="1" t="str">
        <v>Hydrothermal</v>
      </c>
      <c r="S74" s="1">
        <v>0</v>
      </c>
      <c r="T74" s="1">
        <v>0</v>
      </c>
      <c r="U74" s="1">
        <v>0</v>
      </c>
      <c r="V74" s="1">
        <v>50</v>
      </c>
      <c r="W74" s="1">
        <v>0</v>
      </c>
      <c r="X74" s="1">
        <v>0</v>
      </c>
      <c r="Y74" s="1">
        <v>420</v>
      </c>
      <c r="Z74" s="1">
        <v>0</v>
      </c>
      <c r="AA74" s="1">
        <v>0</v>
      </c>
      <c r="AB74" s="1">
        <v>40</v>
      </c>
      <c r="AC74" s="1" t="str">
        <v>TOB NEW ENERGY</v>
      </c>
      <c r="AD74" s="1">
        <v>0</v>
      </c>
      <c r="AE74" s="1">
        <v>0</v>
      </c>
      <c r="AF74" s="1">
        <v>0</v>
      </c>
    </row>
    <row r="75" spans="1:32">
      <c r="B75" s="117"/>
      <c r="C75" s="117"/>
      <c r="D75" s="118"/>
      <c r="R75" s="1" t="str">
        <v>Hydrothermal</v>
      </c>
      <c r="S75" s="1">
        <v>0</v>
      </c>
      <c r="T75" s="1">
        <v>0</v>
      </c>
      <c r="U75" s="1">
        <v>0</v>
      </c>
      <c r="V75" s="1">
        <v>80</v>
      </c>
      <c r="W75" s="1">
        <v>0</v>
      </c>
      <c r="X75" s="1">
        <v>220</v>
      </c>
      <c r="Y75" s="1">
        <v>420</v>
      </c>
      <c r="Z75" s="1">
        <v>0</v>
      </c>
      <c r="AA75" s="1">
        <v>0</v>
      </c>
      <c r="AB75" s="1">
        <v>64</v>
      </c>
      <c r="AC75" s="1" t="str">
        <v>TOB NEW ENERGY</v>
      </c>
      <c r="AD75" s="1">
        <v>0</v>
      </c>
      <c r="AE75" s="1">
        <v>3.4375</v>
      </c>
      <c r="AF75" s="1">
        <v>0</v>
      </c>
    </row>
    <row r="76" spans="1:32">
      <c r="R76" s="1" t="str">
        <v>Hydrothermal</v>
      </c>
      <c r="S76" s="1">
        <v>0</v>
      </c>
      <c r="T76" s="1">
        <v>0</v>
      </c>
      <c r="U76" s="1">
        <v>0</v>
      </c>
      <c r="V76" s="1">
        <v>100</v>
      </c>
      <c r="W76" s="1">
        <v>0</v>
      </c>
      <c r="X76" s="1">
        <v>300</v>
      </c>
      <c r="Y76" s="1">
        <v>420</v>
      </c>
      <c r="Z76" s="1">
        <v>0</v>
      </c>
      <c r="AA76" s="1">
        <v>0</v>
      </c>
      <c r="AB76" s="1">
        <v>80</v>
      </c>
      <c r="AC76" s="1" t="str">
        <v>TOB NEW ENERGY</v>
      </c>
      <c r="AD76" s="1">
        <v>0</v>
      </c>
      <c r="AE76" s="1">
        <v>3.75</v>
      </c>
      <c r="AF76" s="1">
        <v>0</v>
      </c>
    </row>
    <row r="77" spans="1:32">
      <c r="A77" s="98"/>
    </row>
    <row r="78" spans="1:32">
      <c r="A78" s="98"/>
    </row>
    <row r="79" spans="1:32">
      <c r="A79" s="98"/>
    </row>
    <row r="80" spans="1:32">
      <c r="A80" s="98"/>
    </row>
    <row r="81" spans="1:16">
      <c r="A81" s="98"/>
      <c r="B81" s="1" t="s">
        <v>620</v>
      </c>
      <c r="C81" s="1" t="s">
        <v>618</v>
      </c>
      <c r="D81" s="1" t="s">
        <v>2</v>
      </c>
    </row>
    <row r="82" spans="1:16">
      <c r="A82" s="1" t="s">
        <v>483</v>
      </c>
      <c r="B82" s="115"/>
      <c r="C82" s="115"/>
      <c r="D82" s="115"/>
    </row>
    <row r="83" spans="1:16">
      <c r="A83" s="1" t="s">
        <v>484</v>
      </c>
      <c r="B83" s="115"/>
      <c r="C83" s="115"/>
      <c r="D83" s="115"/>
    </row>
    <row r="84" spans="1:16"/>
    <row r="85" spans="1:16"/>
    <row r="86" spans="1:16"/>
    <row r="87" spans="1:16"/>
    <row r="88" spans="1:16" ht="17" customHeight="1"/>
    <row r="89" spans="1:16" ht="17" customHeight="1"/>
    <row r="90" spans="1:16" ht="17" customHeight="1"/>
    <row r="91" spans="1:16" ht="17" customHeight="1"/>
    <row r="92" spans="1:16">
      <c r="A92" s="1" t="s">
        <v>621</v>
      </c>
      <c r="B92" s="119">
        <f>SUM(C48:C49,C38:C39,D29:D30)</f>
        <v>1</v>
      </c>
    </row>
    <row r="93" spans="1:16"/>
    <row r="94" spans="1:16"/>
    <row r="95" spans="1:16"/>
    <row r="96" spans="1:16" s="107" customFormat="1" ht="21">
      <c r="A96" s="107" t="s">
        <v>622</v>
      </c>
      <c r="B96" s="115">
        <f>E96</f>
        <v>1.25</v>
      </c>
      <c r="E96" s="1">
        <f>B92*(1/0.8)</f>
        <v>1.25</v>
      </c>
      <c r="F96" s="107" t="s">
        <v>1180</v>
      </c>
      <c r="O96" s="229"/>
      <c r="P96" s="229"/>
    </row>
    <row r="97" spans="1:16"/>
    <row r="98" spans="1:16"/>
    <row r="99" spans="1:16" s="107" customFormat="1" ht="42">
      <c r="A99" s="107" t="s">
        <v>623</v>
      </c>
      <c r="B99" s="121">
        <f>B92/B96</f>
        <v>0.8</v>
      </c>
      <c r="O99" s="229"/>
      <c r="P99" s="229"/>
    </row>
    <row r="100" spans="1:16"/>
    <row r="101" spans="1:16"/>
    <row r="102" spans="1:16"/>
    <row r="103" spans="1:16"/>
    <row r="104" spans="1:16"/>
    <row r="105" spans="1:16"/>
    <row r="106" spans="1:16"/>
    <row r="107" spans="1:16"/>
    <row r="108" spans="1:16">
      <c r="A108" s="101" t="s">
        <v>624</v>
      </c>
      <c r="B108" s="120">
        <f>D72*B64</f>
        <v>0</v>
      </c>
    </row>
    <row r="109" spans="1:16">
      <c r="A109" s="101" t="s">
        <v>626</v>
      </c>
      <c r="B109" s="120">
        <f>D71*B60*B96</f>
        <v>0</v>
      </c>
    </row>
    <row r="110" spans="1:16">
      <c r="A110" s="101" t="s">
        <v>485</v>
      </c>
      <c r="B110" s="115"/>
    </row>
    <row r="111" spans="1:16">
      <c r="A111" s="1" t="s">
        <v>627</v>
      </c>
      <c r="B111" s="1">
        <f>SUM(B108:B110)</f>
        <v>0</v>
      </c>
    </row>
    <row r="112" spans="1:16">
      <c r="A112" s="101"/>
    </row>
    <row r="113" spans="1:12">
      <c r="A113" s="101"/>
    </row>
    <row r="114" spans="1:12">
      <c r="A114" s="101"/>
    </row>
    <row r="115" spans="1:12">
      <c r="A115" s="101"/>
    </row>
    <row r="116" spans="1:12">
      <c r="A116" s="101"/>
    </row>
    <row r="117" spans="1:12">
      <c r="A117" s="101"/>
    </row>
    <row r="118" spans="1:12">
      <c r="A118" s="101"/>
    </row>
    <row r="119" spans="1:12">
      <c r="A119" s="101"/>
    </row>
    <row r="120" spans="1:12">
      <c r="A120" s="101"/>
    </row>
    <row r="121" spans="1:12">
      <c r="A121" s="101"/>
    </row>
    <row r="122" spans="1:12">
      <c r="A122" s="101"/>
    </row>
    <row r="123" spans="1:12">
      <c r="A123" s="101"/>
    </row>
    <row r="124" spans="1:12">
      <c r="A124" s="101"/>
      <c r="C124" s="126" t="s">
        <v>628</v>
      </c>
    </row>
    <row r="125" spans="1:12">
      <c r="A125" s="1" t="s">
        <v>486</v>
      </c>
      <c r="B125" s="122" t="s">
        <v>453</v>
      </c>
      <c r="C125" s="126">
        <f>ROUND(VLOOKUP(B125,State_energy_table[],8,FALSE),2)</f>
        <v>0.22</v>
      </c>
      <c r="D125" s="1">
        <f>C125*B111</f>
        <v>0</v>
      </c>
    </row>
    <row r="126" spans="1:12"/>
    <row r="127" spans="1:12"/>
    <row r="128" spans="1:12">
      <c r="A128" s="127" t="s">
        <v>636</v>
      </c>
      <c r="B128" s="128"/>
      <c r="C128" s="129"/>
      <c r="D128" s="129"/>
      <c r="E128" s="129"/>
      <c r="F128" s="129"/>
      <c r="G128" s="129"/>
      <c r="H128" s="129"/>
      <c r="I128" s="129"/>
      <c r="J128" s="124"/>
      <c r="K128" s="124"/>
      <c r="L128" s="124"/>
    </row>
    <row r="129" spans="1:12">
      <c r="A129" s="327" t="s">
        <v>629</v>
      </c>
      <c r="B129" s="327"/>
      <c r="C129" s="327"/>
      <c r="D129" s="327"/>
      <c r="E129" s="327"/>
      <c r="F129" s="327"/>
      <c r="G129" s="327"/>
      <c r="H129" s="327"/>
      <c r="I129" s="327"/>
      <c r="J129" s="124"/>
      <c r="K129" s="124"/>
      <c r="L129" s="124"/>
    </row>
    <row r="130" spans="1:12" ht="42">
      <c r="A130" s="130" t="s">
        <v>630</v>
      </c>
      <c r="B130" s="130" t="s">
        <v>631</v>
      </c>
      <c r="C130" s="130" t="s">
        <v>632</v>
      </c>
      <c r="D130" s="130" t="s">
        <v>633</v>
      </c>
      <c r="E130" s="130" t="s">
        <v>634</v>
      </c>
      <c r="F130" s="130" t="s">
        <v>10</v>
      </c>
      <c r="G130" s="130" t="s">
        <v>11</v>
      </c>
      <c r="H130" s="130" t="s">
        <v>12</v>
      </c>
      <c r="I130" s="130" t="s">
        <v>635</v>
      </c>
      <c r="K130" s="125"/>
    </row>
    <row r="131" spans="1:12">
      <c r="A131" s="131">
        <v>0</v>
      </c>
      <c r="B131" s="131">
        <v>0</v>
      </c>
      <c r="C131" s="131">
        <v>0</v>
      </c>
      <c r="D131" s="131">
        <v>0</v>
      </c>
      <c r="E131" s="131">
        <v>0</v>
      </c>
      <c r="F131" s="131">
        <v>0</v>
      </c>
      <c r="G131" s="131">
        <v>0</v>
      </c>
      <c r="H131" s="131">
        <v>0</v>
      </c>
      <c r="I131" s="131">
        <v>0</v>
      </c>
      <c r="K131" s="124"/>
    </row>
    <row r="132" spans="1:12">
      <c r="A132" s="132"/>
      <c r="B132" s="132"/>
      <c r="C132" s="132"/>
      <c r="D132" s="132"/>
      <c r="E132" s="132"/>
      <c r="F132" s="132"/>
      <c r="G132" s="132"/>
      <c r="H132" s="132"/>
      <c r="I132" s="132"/>
    </row>
    <row r="133" spans="1:12"/>
    <row r="134" spans="1:12"/>
    <row r="135" spans="1:12"/>
    <row r="136" spans="1:12"/>
    <row r="137" spans="1:12">
      <c r="A137" s="290"/>
      <c r="B137" s="290"/>
      <c r="C137" s="290"/>
      <c r="D137" s="290"/>
      <c r="E137" s="290"/>
    </row>
    <row r="138" spans="1:12">
      <c r="A138" s="290"/>
      <c r="B138" s="290"/>
      <c r="C138" s="290"/>
      <c r="D138" s="290"/>
      <c r="E138" s="290"/>
    </row>
    <row r="139" spans="1:12">
      <c r="A139" s="290"/>
      <c r="B139" s="290"/>
      <c r="C139" s="290"/>
      <c r="D139" s="290"/>
      <c r="E139" s="290"/>
    </row>
    <row r="140" spans="1:12">
      <c r="A140" s="290"/>
      <c r="B140" s="290"/>
      <c r="C140" s="290"/>
      <c r="D140" s="290"/>
      <c r="E140" s="290"/>
    </row>
    <row r="141" spans="1:12">
      <c r="A141" s="290" t="s">
        <v>640</v>
      </c>
      <c r="B141" s="297">
        <f>SUM(G29:G30)</f>
        <v>0</v>
      </c>
      <c r="C141" s="290"/>
      <c r="D141" s="290"/>
      <c r="E141" s="290"/>
    </row>
    <row r="142" spans="1:12">
      <c r="A142" s="290"/>
      <c r="B142" s="290"/>
      <c r="C142" s="290"/>
      <c r="D142" s="290"/>
      <c r="E142" s="290"/>
    </row>
    <row r="143" spans="1:12">
      <c r="A143" s="290" t="s">
        <v>637</v>
      </c>
      <c r="B143" s="298">
        <v>3</v>
      </c>
      <c r="C143" s="290"/>
      <c r="D143" s="290"/>
      <c r="E143" s="290"/>
    </row>
    <row r="144" spans="1:12">
      <c r="A144" s="290"/>
      <c r="B144" s="290"/>
      <c r="C144" s="290"/>
      <c r="D144" s="290"/>
      <c r="E144" s="290"/>
    </row>
    <row r="145" spans="1:5">
      <c r="A145" s="290"/>
      <c r="B145" s="290"/>
      <c r="C145" s="290"/>
      <c r="D145" s="290"/>
      <c r="E145" s="290"/>
    </row>
    <row r="146" spans="1:5">
      <c r="A146" s="290" t="s">
        <v>638</v>
      </c>
      <c r="B146" s="299" t="e">
        <f>B143/B141</f>
        <v>#DIV/0!</v>
      </c>
      <c r="C146" s="290"/>
      <c r="D146" s="290"/>
      <c r="E146" s="290"/>
    </row>
    <row r="147" spans="1:5">
      <c r="A147" s="290"/>
      <c r="B147" s="290"/>
      <c r="C147" s="290"/>
      <c r="D147" s="290"/>
      <c r="E147" s="290"/>
    </row>
    <row r="148" spans="1:5">
      <c r="A148" s="290" t="s">
        <v>639</v>
      </c>
      <c r="B148" s="292">
        <f>B141-B143</f>
        <v>-3</v>
      </c>
      <c r="C148" s="290"/>
      <c r="D148" s="290"/>
      <c r="E148" s="290"/>
    </row>
    <row r="149" spans="1:5"/>
    <row r="150" spans="1:5"/>
    <row r="151" spans="1:5"/>
    <row r="152" spans="1:5"/>
    <row r="153" spans="1:5"/>
    <row r="154" spans="1:5"/>
    <row r="155" spans="1:5"/>
    <row r="156" spans="1:5"/>
    <row r="157" spans="1:5">
      <c r="A157" s="290"/>
      <c r="B157" s="290"/>
      <c r="C157" s="290"/>
      <c r="D157" s="290"/>
    </row>
    <row r="158" spans="1:5">
      <c r="A158" s="291" t="s">
        <v>487</v>
      </c>
      <c r="B158" s="292">
        <f>B143</f>
        <v>3</v>
      </c>
      <c r="C158" s="290"/>
      <c r="D158" s="290"/>
    </row>
    <row r="159" spans="1:5">
      <c r="A159" s="291" t="s">
        <v>488</v>
      </c>
      <c r="B159" s="293"/>
      <c r="C159" s="290"/>
      <c r="D159" s="290"/>
    </row>
    <row r="160" spans="1:5">
      <c r="A160" s="290" t="s">
        <v>645</v>
      </c>
      <c r="B160" s="293"/>
      <c r="C160" s="290"/>
      <c r="D160" s="290"/>
    </row>
    <row r="161" spans="1:6">
      <c r="A161" s="290"/>
      <c r="B161" s="290"/>
      <c r="C161" s="290"/>
      <c r="D161" s="290"/>
    </row>
    <row r="162" spans="1:6">
      <c r="A162" s="290" t="s">
        <v>641</v>
      </c>
      <c r="B162" s="292">
        <f>SUM(B158:B159)</f>
        <v>3</v>
      </c>
      <c r="C162" s="290"/>
      <c r="D162" s="290"/>
    </row>
    <row r="163" spans="1:6">
      <c r="A163" s="291" t="s">
        <v>642</v>
      </c>
      <c r="B163" s="290">
        <f>B92</f>
        <v>1</v>
      </c>
      <c r="C163" s="290"/>
      <c r="D163" s="290"/>
    </row>
    <row r="164" spans="1:6">
      <c r="A164" s="291"/>
      <c r="B164" s="290"/>
      <c r="C164" s="290"/>
      <c r="D164" s="290"/>
    </row>
    <row r="165" spans="1:6">
      <c r="A165" s="101"/>
    </row>
    <row r="166" spans="1:6">
      <c r="A166" s="101"/>
    </row>
    <row r="167" spans="1:6">
      <c r="A167" s="101"/>
    </row>
    <row r="168" spans="1:6">
      <c r="A168" s="101"/>
    </row>
    <row r="169" spans="1:6">
      <c r="A169" s="133"/>
      <c r="B169" s="109" t="s">
        <v>178</v>
      </c>
      <c r="C169" s="109" t="s">
        <v>177</v>
      </c>
      <c r="D169" s="109" t="s">
        <v>179</v>
      </c>
      <c r="E169" s="109" t="s">
        <v>643</v>
      </c>
      <c r="F169" s="109" t="s">
        <v>644</v>
      </c>
    </row>
    <row r="170" spans="1:6">
      <c r="A170" s="101" t="s">
        <v>489</v>
      </c>
      <c r="B170" s="1" t="s">
        <v>191</v>
      </c>
      <c r="C170" s="1" t="str">
        <f>VLOOKUP(B170,GHG_Table[],2,FALSE)</f>
        <v>AR4-100</v>
      </c>
      <c r="D170" s="1">
        <f>VLOOKUP(B170,GHG_Table[],3,FALSE)</f>
        <v>1</v>
      </c>
      <c r="E170" s="135">
        <v>0.05</v>
      </c>
      <c r="F170" s="1">
        <f>D170*E170</f>
        <v>0.05</v>
      </c>
    </row>
    <row r="171" spans="1:6">
      <c r="A171" s="101" t="s">
        <v>543</v>
      </c>
      <c r="B171" s="1" t="s">
        <v>541</v>
      </c>
      <c r="C171" s="1" t="str">
        <f>VLOOKUP(B171,GHG_Table[],2,FALSE)</f>
        <v>NA</v>
      </c>
      <c r="D171" s="1">
        <f>VLOOKUP(B171,GHG_Table[],3,FALSE)</f>
        <v>0</v>
      </c>
      <c r="E171" s="135"/>
      <c r="F171" s="1">
        <f>D171*E171</f>
        <v>0</v>
      </c>
    </row>
    <row r="172" spans="1:6">
      <c r="A172" s="101" t="s">
        <v>490</v>
      </c>
    </row>
    <row r="173" spans="1:6">
      <c r="A173" s="101"/>
    </row>
    <row r="174" spans="1:6">
      <c r="A174" s="101"/>
    </row>
    <row r="175" spans="1:6">
      <c r="A175" s="133"/>
    </row>
    <row r="176" spans="1:6">
      <c r="A176" s="134" t="s">
        <v>646</v>
      </c>
    </row>
    <row r="177" spans="1:2">
      <c r="A177" s="127" t="s">
        <v>491</v>
      </c>
    </row>
    <row r="178" spans="1:2">
      <c r="A178" s="127" t="s">
        <v>492</v>
      </c>
    </row>
    <row r="179" spans="1:2">
      <c r="A179" s="291"/>
      <c r="B179" s="290"/>
    </row>
    <row r="180" spans="1:2">
      <c r="A180" s="291"/>
      <c r="B180" s="290"/>
    </row>
    <row r="181" spans="1:2">
      <c r="A181" s="291"/>
      <c r="B181" s="290"/>
    </row>
    <row r="182" spans="1:2">
      <c r="A182" s="291"/>
      <c r="B182" s="290"/>
    </row>
    <row r="183" spans="1:2">
      <c r="A183" s="290" t="s">
        <v>493</v>
      </c>
      <c r="B183" s="300">
        <f>SUM(C48:C50)/B143</f>
        <v>0.33333333333333331</v>
      </c>
    </row>
    <row r="184" spans="1:2">
      <c r="A184" s="290" t="s">
        <v>494</v>
      </c>
      <c r="B184" s="300">
        <f>ROUND(B160/B143,2)</f>
        <v>0</v>
      </c>
    </row>
    <row r="185" spans="1:2">
      <c r="A185" s="290"/>
      <c r="B185" s="290"/>
    </row>
    <row r="186" spans="1:2"/>
    <row r="187" spans="1:2" ht="21" customHeight="1"/>
    <row r="188" spans="1:2" ht="21" customHeight="1"/>
    <row r="189" spans="1:2">
      <c r="A189" s="1" t="s">
        <v>529</v>
      </c>
      <c r="B189" s="119">
        <f>ROUND(SUM(F170:F171)/B143,2)</f>
        <v>0.02</v>
      </c>
    </row>
    <row r="190" spans="1:2">
      <c r="A190" s="1" t="s">
        <v>495</v>
      </c>
    </row>
    <row r="191" spans="1:2"/>
    <row r="192" spans="1:2"/>
    <row r="193" spans="1:2"/>
    <row r="194" spans="1:2"/>
    <row r="195" spans="1:2">
      <c r="A195" s="98"/>
    </row>
    <row r="196" spans="1:2">
      <c r="A196" s="1" t="s">
        <v>496</v>
      </c>
      <c r="B196" s="119">
        <f>B111</f>
        <v>0</v>
      </c>
    </row>
    <row r="197" spans="1:2"/>
    <row r="198" spans="1:2"/>
    <row r="199" spans="1:2"/>
    <row r="200" spans="1:2"/>
    <row r="201" spans="1:2"/>
    <row r="202" spans="1:2"/>
    <row r="203" spans="1:2"/>
    <row r="204" spans="1:2">
      <c r="A204" s="100" t="s">
        <v>497</v>
      </c>
      <c r="B204" s="119">
        <f>SUM(D125,F170:F171)</f>
        <v>0.05</v>
      </c>
    </row>
    <row r="205" spans="1:2">
      <c r="A205" s="102" t="s">
        <v>498</v>
      </c>
      <c r="B205" s="119"/>
    </row>
    <row r="206" spans="1:2">
      <c r="A206" s="102" t="s">
        <v>499</v>
      </c>
      <c r="B206" s="119"/>
    </row>
    <row r="207" spans="1:2">
      <c r="A207" s="102" t="s">
        <v>500</v>
      </c>
      <c r="B207" s="119"/>
    </row>
    <row r="208" spans="1:2">
      <c r="A208" s="100" t="s">
        <v>753</v>
      </c>
      <c r="B208" s="119">
        <f>B111</f>
        <v>0</v>
      </c>
    </row>
    <row r="209" spans="1:2">
      <c r="A209" s="100" t="s">
        <v>501</v>
      </c>
      <c r="B209" s="119">
        <f>SUM(C48:C50)</f>
        <v>1</v>
      </c>
    </row>
    <row r="210" spans="1:2"/>
    <row r="211" spans="1:2"/>
    <row r="212" spans="1:2"/>
    <row r="213" spans="1:2"/>
    <row r="214" spans="1:2"/>
    <row r="215" spans="1:2"/>
    <row r="216" spans="1:2"/>
    <row r="217" spans="1:2"/>
    <row r="218" spans="1:2"/>
    <row r="219" spans="1:2" ht="20" customHeight="1"/>
  </sheetData>
  <mergeCells count="1">
    <mergeCell ref="A129:I129"/>
  </mergeCells>
  <dataValidations count="4">
    <dataValidation type="list" allowBlank="1" showInputMessage="1" showErrorMessage="1" sqref="B48" xr:uid="{A09B72A3-7CA9-AE4C-B299-7B24B4603426}">
      <formula1>"Municipal water, RO water, DIW, UPW"</formula1>
    </dataValidation>
    <dataValidation type="list" allowBlank="1" showInputMessage="1" showErrorMessage="1" sqref="B62" xr:uid="{82ECB349-AFAF-9B43-AD65-D0AF0648685C}">
      <formula1>"Active Process Time Only,Includes Warm-up/Cool-down"</formula1>
    </dataValidation>
    <dataValidation type="list" allowBlank="1" showInputMessage="1" showErrorMessage="1" sqref="B170:B171" xr:uid="{E5E1E67E-11C7-EA47-8BE2-2E809C6E7317}">
      <formula1>GHG_chemical_gas</formula1>
    </dataValidation>
    <dataValidation type="list" allowBlank="1" showInputMessage="1" showErrorMessage="1" sqref="B15:B20 B22:B27" xr:uid="{62DDC282-556C-1D41-87BD-55E742241806}">
      <formula1>"Precursor Synthesis,Calcination,Milling,Filtering,Washing,Drying"</formula1>
    </dataValidation>
  </dataValidations>
  <hyperlinks>
    <hyperlink ref="Y35" location="All_Equipment!A1" display="Click here to add your process into database" xr:uid="{7CD4C187-5EAD-BA40-A13A-20C4E30C8F79}"/>
  </hyperlinks>
  <pageMargins left="0.7" right="0.7" top="0.75" bottom="0.75" header="0.3" footer="0.3"/>
  <pageSetup scale="28" orientation="portrait" horizontalDpi="0" verticalDpi="0"/>
  <drawing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r:uid="{53C3690F-A846-8944-940E-E370B07A5A8A}">
          <x14:formula1>
            <xm:f>'Precursors Chemicals'!$B$10:$B$17</xm:f>
          </x14:formula1>
          <xm:sqref>B31:B36</xm:sqref>
        </x14:dataValidation>
        <x14:dataValidation type="list" allowBlank="1" showInputMessage="1" showErrorMessage="1" xr:uid="{6A7AD303-8CE5-6845-AD22-074C1C23102A}">
          <x14:formula1>
            <xm:f>'State Output emission'!$B$5:$B$54</xm:f>
          </x14:formula1>
          <xm:sqref>B125:B126</xm:sqref>
        </x14:dataValidation>
        <x14:dataValidation type="list" allowBlank="1" showInputMessage="1" showErrorMessage="1" xr:uid="{BA0BED10-F2E8-804D-9DAB-3773FD633BC4}">
          <x14:formula1>
            <xm:f>_xlfn.ANCHORARRAY(Solvents!$X$10)</xm:f>
          </x14:formula1>
          <xm:sqref>B38:B39</xm:sqref>
        </x14:dataValidation>
        <x14:dataValidation type="list" allowBlank="1" showInputMessage="1" showErrorMessage="1" xr:uid="{6238ECD1-D55C-3749-8E30-BD27332934C5}">
          <x14:formula1>
            <xm:f>_xlfn.ANCHORARRAY('Process Overview'!$B$20)</xm:f>
          </x14:formula1>
          <xm:sqref>B14</xm:sqref>
        </x14:dataValidation>
        <x14:dataValidation type="list" allowBlank="1" showInputMessage="1" showErrorMessage="1" xr:uid="{B8F54274-4D01-AE4A-9D53-086107EE3905}">
          <x14:formula1>
            <xm:f>_xlfn.ANCHORARRAY('Precursors Chemicals'!$Y$9)</xm:f>
          </x14:formula1>
          <xm:sqref>B29:B30</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A74BF-8EFC-114C-815C-512CEDBF85AF}">
  <sheetPr>
    <tabColor rgb="FFFFCD00"/>
    <pageSetUpPr fitToPage="1"/>
  </sheetPr>
  <dimension ref="A1:BA219"/>
  <sheetViews>
    <sheetView showGridLines="0" zoomScale="66" zoomScaleNormal="159" workbookViewId="0">
      <selection activeCell="E38" sqref="E38"/>
    </sheetView>
  </sheetViews>
  <sheetFormatPr baseColWidth="10" defaultColWidth="10.83203125" defaultRowHeight="20" customHeight="1" zeroHeight="1"/>
  <cols>
    <col min="1" max="1" width="48.1640625" style="1" bestFit="1" customWidth="1"/>
    <col min="2" max="2" width="27.5" style="1" customWidth="1"/>
    <col min="3" max="3" width="27.1640625" style="1" customWidth="1"/>
    <col min="4" max="6" width="30.33203125" style="1" customWidth="1"/>
    <col min="7" max="7" width="30.6640625" style="1" customWidth="1"/>
    <col min="8" max="8" width="12.6640625" style="1" bestFit="1" customWidth="1"/>
    <col min="9" max="14" width="10.83203125" style="1"/>
    <col min="15" max="16" width="10.83203125" style="227"/>
    <col min="17" max="17" width="10.83203125" style="1"/>
    <col min="18" max="18" width="41.33203125" style="1" customWidth="1"/>
    <col min="19" max="21" width="11" style="1" bestFit="1" customWidth="1"/>
    <col min="22" max="22" width="14.1640625" style="1" bestFit="1" customWidth="1"/>
    <col min="23" max="24" width="11" style="1" bestFit="1" customWidth="1"/>
    <col min="25" max="25" width="50.83203125" style="1" customWidth="1"/>
    <col min="26" max="26" width="20.1640625" style="1" customWidth="1"/>
    <col min="27" max="27" width="11.1640625" style="1" bestFit="1" customWidth="1"/>
    <col min="28" max="28" width="15.83203125" style="1" bestFit="1" customWidth="1"/>
    <col min="29" max="30" width="10.83203125" style="1"/>
    <col min="31" max="31" width="17.5" style="1" bestFit="1" customWidth="1"/>
    <col min="32" max="32" width="10.83203125" style="1"/>
    <col min="33" max="33" width="50.1640625" style="1" bestFit="1" customWidth="1"/>
    <col min="34" max="38" width="10.83203125" style="1"/>
    <col min="39" max="39" width="17.6640625" style="1" customWidth="1"/>
    <col min="40" max="42" width="11.33203125" style="1" bestFit="1" customWidth="1"/>
    <col min="43" max="43" width="14.5" style="1" bestFit="1" customWidth="1"/>
    <col min="44" max="47" width="11.33203125" style="1" bestFit="1" customWidth="1"/>
    <col min="48" max="48" width="13" style="1" bestFit="1" customWidth="1"/>
    <col min="49" max="49" width="16" style="1" bestFit="1" customWidth="1"/>
    <col min="50" max="51" width="11.33203125" style="1" bestFit="1" customWidth="1"/>
    <col min="52" max="52" width="15.83203125" style="1" bestFit="1" customWidth="1"/>
    <col min="53" max="16384" width="10.83203125" style="1"/>
  </cols>
  <sheetData>
    <row r="1" spans="1:44"/>
    <row r="2" spans="1:44"/>
    <row r="3" spans="1:44"/>
    <row r="4" spans="1:44" ht="26" customHeight="1"/>
    <row r="5" spans="1:44"/>
    <row r="6" spans="1:44"/>
    <row r="7" spans="1:44"/>
    <row r="8" spans="1:44">
      <c r="A8" s="98"/>
    </row>
    <row r="9" spans="1:44">
      <c r="A9" s="98"/>
    </row>
    <row r="10" spans="1:44">
      <c r="A10" s="98"/>
    </row>
    <row r="11" spans="1:44">
      <c r="A11" s="98"/>
    </row>
    <row r="12" spans="1:44">
      <c r="A12" s="98"/>
    </row>
    <row r="13" spans="1:44">
      <c r="A13" s="98"/>
    </row>
    <row r="14" spans="1:44" ht="30">
      <c r="A14" s="1" t="s">
        <v>472</v>
      </c>
      <c r="B14" s="233" t="s">
        <v>4</v>
      </c>
    </row>
    <row r="15" spans="1:44"/>
    <row r="16" spans="1:44">
      <c r="AR16" s="1" t="s">
        <v>595</v>
      </c>
    </row>
    <row r="17" spans="1:48">
      <c r="AU17" s="407">
        <f>ROUND(_xlfn.PERCENTRANK.INC(INDEX(_xlfn.ANCHORARRAY(R45),0,7), Z26),4)</f>
        <v>0.16400000000000001</v>
      </c>
      <c r="AV17" s="407">
        <f>ROUND(_xlfn.PERCENTRANK.INC(AV20:AV24, Z26),4)</f>
        <v>0.16400000000000001</v>
      </c>
    </row>
    <row r="18" spans="1:48">
      <c r="G18" s="301"/>
      <c r="AS18" s="1" t="s">
        <v>598</v>
      </c>
      <c r="AT18" s="1" t="s">
        <v>599</v>
      </c>
    </row>
    <row r="19" spans="1:48" ht="26">
      <c r="A19" s="99"/>
      <c r="R19" s="143" t="s">
        <v>600</v>
      </c>
      <c r="Y19" s="1" t="s">
        <v>1129</v>
      </c>
      <c r="Z19" s="120" t="str">
        <f>B14</f>
        <v>Mixing</v>
      </c>
      <c r="AG19" s="143" t="s">
        <v>1134</v>
      </c>
      <c r="AS19" s="1">
        <v>0</v>
      </c>
      <c r="AT19" s="231">
        <f>AV17</f>
        <v>0.16400000000000001</v>
      </c>
    </row>
    <row r="20" spans="1:48">
      <c r="A20" s="98"/>
      <c r="R20" s="51" t="str" cm="1">
        <f t="array" ref="R20:R28">_xlfn.UNIQUE([3]!Equipment_Database[Tool Used for process])</f>
        <v>Annealing</v>
      </c>
      <c r="Z20" s="137" t="s">
        <v>590</v>
      </c>
      <c r="AA20" s="137" t="s">
        <v>8</v>
      </c>
      <c r="AB20" s="137" t="s">
        <v>1</v>
      </c>
      <c r="AG20" s="1" t="str" cm="1">
        <f t="array" ref="AG20:AG34">_xlfn.UNIQUE([3]!Process_time_database[Process Name])</f>
        <v>Annealing</v>
      </c>
      <c r="AR20" s="1" t="s">
        <v>596</v>
      </c>
      <c r="AS20" s="407">
        <v>0.25</v>
      </c>
      <c r="AT20" s="407">
        <v>0.04</v>
      </c>
      <c r="AV20" s="1">
        <f>ROUND(MIN(INDEX(_xlfn.ANCHORARRAY(R45),0,7)),2)</f>
        <v>0.33</v>
      </c>
    </row>
    <row r="21" spans="1:48">
      <c r="A21" s="98"/>
      <c r="R21" s="1" t="str">
        <v>Calcination</v>
      </c>
      <c r="Y21" s="51" t="s">
        <v>1227</v>
      </c>
      <c r="Z21" s="138">
        <f>ROUND(AVERAGE(INDEX(_xlfn.ANCHORARRAY(R45),0,14)),2)</f>
        <v>0.1</v>
      </c>
      <c r="AA21" s="138">
        <f>ROUND(MIN(INDEX(_xlfn.ANCHORARRAY(R45),0,14)),2)</f>
        <v>0.02</v>
      </c>
      <c r="AB21" s="138">
        <f>ROUND(MAX(INDEX(_xlfn.ANCHORARRAY(R45),0,14)),2)</f>
        <v>0.16</v>
      </c>
      <c r="AG21" s="1" t="str">
        <v>Calcination</v>
      </c>
      <c r="AR21" s="1" t="s">
        <v>2</v>
      </c>
      <c r="AS21" s="407">
        <v>0.5</v>
      </c>
      <c r="AT21" s="407">
        <v>1.38</v>
      </c>
      <c r="AV21" s="1">
        <f>ROUND(PERCENTILE(INDEX(_xlfn.ANCHORARRAY(R45),0,7),0.25),2)</f>
        <v>2.2000000000000002</v>
      </c>
    </row>
    <row r="22" spans="1:48">
      <c r="A22" s="98"/>
      <c r="R22" s="1" t="str">
        <v>Centrifuge</v>
      </c>
      <c r="Y22" s="51" t="s">
        <v>1181</v>
      </c>
      <c r="Z22" s="138">
        <f>ROUND(AVERAGE(INDEX(_xlfn.ANCHORARRAY(R45),0,11)),2)</f>
        <v>140.4</v>
      </c>
      <c r="AA22" s="138">
        <f>ROUND(MIN(INDEX(_xlfn.ANCHORARRAY(R45),0,11)),2)</f>
        <v>20</v>
      </c>
      <c r="AB22" s="138">
        <f>ROUND(MAX(INDEX(_xlfn.ANCHORARRAY(R45),0,11)),2)</f>
        <v>460</v>
      </c>
      <c r="AG22" s="1" t="str">
        <v>centrifuge</v>
      </c>
      <c r="AR22" s="1" t="s">
        <v>597</v>
      </c>
      <c r="AS22" s="407">
        <v>0.25</v>
      </c>
      <c r="AV22" s="1">
        <f>ROUND(AVERAGE(INDEX(_xlfn.ANCHORARRAY(R45),0,7)),2)</f>
        <v>14.71</v>
      </c>
    </row>
    <row r="23" spans="1:48">
      <c r="A23" s="98"/>
      <c r="R23" s="1" t="str">
        <v>Drying</v>
      </c>
      <c r="Y23" s="51" t="s">
        <v>647</v>
      </c>
      <c r="Z23" s="138">
        <f>ROUND(AVERAGE(INDEX(_xlfn.ANCHORARRAY(AM45),0,7)),2)</f>
        <v>1.6</v>
      </c>
      <c r="AA23" s="138">
        <f>ROUND(MIN(INDEX(_xlfn.ANCHORARRAY(AM45),0,7)),2)</f>
        <v>0</v>
      </c>
      <c r="AB23" s="138">
        <f>ROUND(MAX(INDEX(_xlfn.ANCHORARRAY(AM45),0,7)),2)</f>
        <v>4</v>
      </c>
      <c r="AG23" s="1" t="str">
        <v>drying</v>
      </c>
      <c r="AR23" s="1" t="s">
        <v>1</v>
      </c>
      <c r="AS23" s="407">
        <v>1</v>
      </c>
      <c r="AV23" s="1">
        <f>ROUND(PERCENTILE(INDEX(_xlfn.ANCHORARRAY(R45),0,7),0.75),2)</f>
        <v>18.5</v>
      </c>
    </row>
    <row r="24" spans="1:48">
      <c r="A24" s="98"/>
      <c r="G24" s="1" t="s">
        <v>659</v>
      </c>
      <c r="R24" s="1" t="str">
        <v>Filtration</v>
      </c>
      <c r="Y24" s="51"/>
      <c r="AG24" s="1" t="str">
        <v>Emulsification</v>
      </c>
      <c r="AV24" s="1">
        <f>ROUND(MAX(INDEX(_xlfn.ANCHORARRAY(R45),0,7)),2)</f>
        <v>45</v>
      </c>
    </row>
    <row r="25" spans="1:48">
      <c r="A25" s="98"/>
      <c r="R25" s="1" t="str">
        <v>Hydrothermal</v>
      </c>
      <c r="Y25" s="51"/>
      <c r="AG25" s="1" t="str">
        <v>Filtration</v>
      </c>
    </row>
    <row r="26" spans="1:48">
      <c r="A26" s="98"/>
      <c r="E26" s="290"/>
      <c r="F26" s="290"/>
      <c r="G26" s="290"/>
      <c r="H26" s="290"/>
      <c r="I26" s="290"/>
      <c r="J26" s="290"/>
      <c r="K26" s="290"/>
      <c r="R26" s="1" t="str">
        <v>Milling</v>
      </c>
      <c r="Y26" s="51" t="s">
        <v>648</v>
      </c>
      <c r="Z26" s="139">
        <v>1.56</v>
      </c>
      <c r="AG26" s="1" t="str">
        <v>hydrothermal</v>
      </c>
    </row>
    <row r="27" spans="1:48">
      <c r="A27" s="98"/>
      <c r="E27" s="290"/>
      <c r="F27" s="290"/>
      <c r="G27" s="290"/>
      <c r="H27" s="290"/>
      <c r="I27" s="290"/>
      <c r="J27" s="290"/>
      <c r="K27" s="290"/>
      <c r="R27" s="1" t="str">
        <v>Sonication</v>
      </c>
      <c r="AG27" s="1" t="str">
        <v>Milling</v>
      </c>
    </row>
    <row r="28" spans="1:48" s="104" customFormat="1" ht="42">
      <c r="A28" s="103"/>
      <c r="B28" s="103" t="s">
        <v>609</v>
      </c>
      <c r="C28" s="103" t="s">
        <v>537</v>
      </c>
      <c r="D28" s="103" t="s">
        <v>473</v>
      </c>
      <c r="E28" s="294" t="s">
        <v>534</v>
      </c>
      <c r="F28" s="294" t="s">
        <v>607</v>
      </c>
      <c r="G28" s="295" t="s">
        <v>608</v>
      </c>
      <c r="H28" s="294"/>
      <c r="I28" s="294"/>
      <c r="J28" s="296"/>
      <c r="K28" s="296"/>
      <c r="O28" s="228"/>
      <c r="P28" s="228"/>
      <c r="R28" s="104" t="str">
        <v>Mixing</v>
      </c>
      <c r="Y28" s="1"/>
      <c r="Z28" s="1"/>
      <c r="AG28" s="104" t="str">
        <v>mixing</v>
      </c>
    </row>
    <row r="29" spans="1:48">
      <c r="A29" s="101" t="s">
        <v>474</v>
      </c>
      <c r="B29" s="115" t="s">
        <v>524</v>
      </c>
      <c r="C29" s="1" t="str">
        <f>_xlfn.IFNA(VLOOKUP(B29,[3]!Cerium_precursor_table[#Data],2,FALSE),0)</f>
        <v>Ce2(CO3)3·xH2O</v>
      </c>
      <c r="D29" s="115">
        <v>6</v>
      </c>
      <c r="E29" s="290" t="str">
        <f>_xlfn.IFNA(VLOOKUP(B29,[3]!Cerium_precursor_table[#Data],9,FALSE),0)</f>
        <v>CeO2</v>
      </c>
      <c r="F29" s="290">
        <f>_xlfn.IFNA(VLOOKUP(B29,[3]!Cerium_precursor_table[#Data],11,FALSE),0)</f>
        <v>2</v>
      </c>
      <c r="G29" s="297">
        <f>IFERROR(ROUND(D29*(VLOOKUP(B29,[3]!Cerium_precursor_table[#Data],10,FALSE)*F29)/(VLOOKUP(B29,[3]!Cerium_precursor_table[#Data],7,FALSE)),2),0)</f>
        <v>4.49</v>
      </c>
      <c r="H29" s="292"/>
      <c r="I29" s="290"/>
      <c r="J29" s="290"/>
      <c r="K29" s="290"/>
      <c r="Z29" s="136"/>
      <c r="AG29" s="1" t="str">
        <v>Outgassing</v>
      </c>
    </row>
    <row r="30" spans="1:48">
      <c r="A30" s="101" t="s">
        <v>475</v>
      </c>
      <c r="B30" s="115" t="s">
        <v>1182</v>
      </c>
      <c r="C30" s="1">
        <f>_xlfn.IFNA(VLOOKUP(B30,[3]!Cerium_precursor_table[#Data],2,FALSE),0)</f>
        <v>0</v>
      </c>
      <c r="D30" s="115">
        <v>3.3</v>
      </c>
      <c r="E30" s="290">
        <f>_xlfn.IFNA(VLOOKUP(B30,[3]!Cerium_precursor_table[#Data],9,FALSE),0)</f>
        <v>0</v>
      </c>
      <c r="F30" s="290">
        <f>_xlfn.IFNA(VLOOKUP(B30,[3]!Cerium_precursor_table[#Data],11,FALSE),0)</f>
        <v>0</v>
      </c>
      <c r="G30" s="297">
        <f>IFERROR(ROUND(D30*(VLOOKUP(B30,[3]!Cerium_precursor_table[#Data],10,FALSE)*F30)/(VLOOKUP(B30,[3]!Cerium_precursor_table[#Data],7,FALSE)),2),0)</f>
        <v>0</v>
      </c>
      <c r="H30" s="292"/>
      <c r="I30" s="290"/>
      <c r="J30" s="290"/>
      <c r="K30" s="290"/>
      <c r="Y30" s="51" t="s">
        <v>650</v>
      </c>
      <c r="Z30" s="139">
        <v>2</v>
      </c>
      <c r="AG30" s="1" t="str">
        <v>sintering</v>
      </c>
    </row>
    <row r="31" spans="1:48">
      <c r="A31" s="101"/>
      <c r="B31" s="105"/>
      <c r="E31" s="290"/>
      <c r="F31" s="290"/>
      <c r="G31" s="290"/>
      <c r="H31" s="292"/>
      <c r="I31" s="290"/>
      <c r="J31" s="290"/>
      <c r="K31" s="290"/>
      <c r="Y31" s="51" t="s">
        <v>651</v>
      </c>
      <c r="Z31" s="138">
        <f>ROUND(Z21*Z23,2)</f>
        <v>0.16</v>
      </c>
      <c r="AG31" s="1" t="str">
        <v>Sonication</v>
      </c>
    </row>
    <row r="32" spans="1:48">
      <c r="A32" s="101"/>
      <c r="B32" s="105"/>
      <c r="E32" s="290"/>
      <c r="F32" s="290"/>
      <c r="G32" s="290"/>
      <c r="H32" s="292"/>
      <c r="I32" s="290"/>
      <c r="J32" s="290"/>
      <c r="K32" s="290"/>
      <c r="Y32" s="1" t="s">
        <v>649</v>
      </c>
      <c r="Z32" s="150">
        <f>ROUND(Z26*Z30,2)</f>
        <v>3.12</v>
      </c>
      <c r="AG32" s="1" t="str">
        <v>Sonochemical Method</v>
      </c>
    </row>
    <row r="33" spans="1:53">
      <c r="A33" s="101"/>
      <c r="B33" s="105"/>
      <c r="E33" s="290"/>
      <c r="F33" s="290"/>
      <c r="G33" s="290"/>
      <c r="H33" s="292"/>
      <c r="I33" s="290"/>
      <c r="J33" s="290"/>
      <c r="K33" s="290"/>
      <c r="AG33" s="1" t="str">
        <v>Stirring</v>
      </c>
    </row>
    <row r="34" spans="1:53">
      <c r="A34" s="101"/>
      <c r="B34" s="105"/>
      <c r="E34" s="290"/>
      <c r="F34" s="290"/>
      <c r="G34" s="290"/>
      <c r="H34" s="292"/>
      <c r="I34" s="290"/>
      <c r="J34" s="290"/>
      <c r="K34" s="290"/>
      <c r="Y34" s="140" t="s">
        <v>588</v>
      </c>
      <c r="AG34" s="1" t="str">
        <v>Washing</v>
      </c>
    </row>
    <row r="35" spans="1:53">
      <c r="A35" s="101"/>
      <c r="B35" s="105"/>
      <c r="E35" s="290"/>
      <c r="F35" s="290"/>
      <c r="G35" s="290"/>
      <c r="H35" s="292"/>
      <c r="I35" s="290"/>
      <c r="J35" s="290"/>
      <c r="K35" s="290"/>
      <c r="Y35" s="141" t="s">
        <v>589</v>
      </c>
    </row>
    <row r="36" spans="1:53">
      <c r="A36" s="101"/>
      <c r="B36" s="105"/>
      <c r="E36" s="290"/>
      <c r="F36" s="290"/>
      <c r="G36" s="290"/>
      <c r="H36" s="292"/>
      <c r="I36" s="290"/>
      <c r="J36" s="290"/>
      <c r="K36" s="290"/>
    </row>
    <row r="37" spans="1:53">
      <c r="A37" s="101"/>
      <c r="C37" s="101" t="s">
        <v>476</v>
      </c>
    </row>
    <row r="38" spans="1:53">
      <c r="A38" s="101" t="s">
        <v>477</v>
      </c>
      <c r="B38" s="115"/>
      <c r="C38" s="115"/>
    </row>
    <row r="39" spans="1:53">
      <c r="A39" s="101" t="s">
        <v>478</v>
      </c>
      <c r="B39" s="115"/>
      <c r="C39" s="115"/>
    </row>
    <row r="40" spans="1:53" ht="23" customHeight="1">
      <c r="A40" s="101"/>
    </row>
    <row r="41" spans="1:53">
      <c r="A41" s="101"/>
    </row>
    <row r="42" spans="1:53">
      <c r="A42" s="101"/>
    </row>
    <row r="43" spans="1:53">
      <c r="A43" s="101"/>
    </row>
    <row r="44" spans="1:53" ht="31" customHeight="1">
      <c r="A44" s="101"/>
      <c r="R44" s="154" t="s">
        <v>115</v>
      </c>
      <c r="S44" s="154" t="s">
        <v>98</v>
      </c>
      <c r="T44" s="154" t="s">
        <v>99</v>
      </c>
      <c r="U44" s="155" t="s">
        <v>100</v>
      </c>
      <c r="V44" s="156" t="s">
        <v>46</v>
      </c>
      <c r="W44" s="157" t="s">
        <v>47</v>
      </c>
      <c r="X44" s="154" t="s">
        <v>48</v>
      </c>
      <c r="Y44" s="154" t="s">
        <v>154</v>
      </c>
      <c r="Z44" s="154" t="s">
        <v>159</v>
      </c>
      <c r="AA44" s="154" t="s">
        <v>160</v>
      </c>
      <c r="AB44" s="158" t="s">
        <v>587</v>
      </c>
      <c r="AC44" s="154" t="s">
        <v>67</v>
      </c>
      <c r="AD44" s="154" t="s">
        <v>45</v>
      </c>
      <c r="AE44" s="154" t="s">
        <v>1228</v>
      </c>
      <c r="AM44" s="154" t="s">
        <v>115</v>
      </c>
      <c r="AN44" s="154" t="s">
        <v>98</v>
      </c>
      <c r="AO44" s="154" t="s">
        <v>99</v>
      </c>
      <c r="AP44" s="155" t="s">
        <v>100</v>
      </c>
      <c r="AQ44" s="156" t="s">
        <v>46</v>
      </c>
      <c r="AR44" s="157" t="s">
        <v>47</v>
      </c>
      <c r="AS44" s="154" t="s">
        <v>1131</v>
      </c>
      <c r="AT44" s="154" t="s">
        <v>154</v>
      </c>
      <c r="AU44" s="154" t="s">
        <v>159</v>
      </c>
      <c r="AV44" s="154" t="s">
        <v>160</v>
      </c>
      <c r="AW44" s="158" t="s">
        <v>587</v>
      </c>
      <c r="AX44" s="154" t="s">
        <v>67</v>
      </c>
      <c r="AY44" s="154" t="s">
        <v>45</v>
      </c>
      <c r="AZ44" s="154" t="s">
        <v>101</v>
      </c>
    </row>
    <row r="45" spans="1:53" ht="23" customHeight="1">
      <c r="A45" s="101"/>
      <c r="R45" s="159" t="str" cm="1">
        <f t="array" ref="R45:AF49">_xlfn._xlws.FILTER([3]!Equipment_Database[#All],[3]!Equipment_Database[[#All],[Tool Used for process]]=Z19)</f>
        <v>Mixing</v>
      </c>
      <c r="S45" s="1">
        <v>0</v>
      </c>
      <c r="T45" s="1">
        <v>0</v>
      </c>
      <c r="U45" s="1">
        <v>0</v>
      </c>
      <c r="V45" s="1">
        <v>50</v>
      </c>
      <c r="W45" s="1">
        <v>0</v>
      </c>
      <c r="X45" s="1">
        <v>0.33</v>
      </c>
      <c r="Y45" s="1">
        <v>0</v>
      </c>
      <c r="Z45" s="1">
        <v>0</v>
      </c>
      <c r="AA45" s="1">
        <v>0</v>
      </c>
      <c r="AB45" s="1">
        <v>20</v>
      </c>
      <c r="AC45" s="1">
        <v>0</v>
      </c>
      <c r="AD45" s="1" t="str">
        <v>Arrow Model A</v>
      </c>
      <c r="AE45" s="1">
        <v>1.6500000000000001E-2</v>
      </c>
      <c r="AF45" s="1">
        <v>0</v>
      </c>
      <c r="AM45" s="151" t="str" cm="1">
        <f t="array" ref="AM45:BA49">_xlfn._xlws.FILTER([3]!Process_time_database[#All],[3]!Process_time_database[[#All],[Process Name]]=Z19)</f>
        <v>mixing</v>
      </c>
      <c r="AN45" s="1">
        <v>0</v>
      </c>
      <c r="AO45" s="1">
        <v>0</v>
      </c>
      <c r="AP45" s="1" t="str">
        <v>leeSynthesisNanosizedCeria2005_emulsion1</v>
      </c>
      <c r="AQ45" s="1" t="str">
        <v>colloidal</v>
      </c>
      <c r="AR45" s="1">
        <v>25</v>
      </c>
      <c r="AS45" s="1">
        <v>4</v>
      </c>
      <c r="AT45" s="1" t="str">
        <v>h</v>
      </c>
      <c r="AU45" s="1">
        <v>0</v>
      </c>
      <c r="AV45" s="1">
        <v>0</v>
      </c>
      <c r="AW45" s="1">
        <v>0</v>
      </c>
      <c r="AX45" s="1" t="str">
        <v>agitator</v>
      </c>
      <c r="AY45" s="1">
        <v>0</v>
      </c>
      <c r="AZ45" s="1">
        <v>0</v>
      </c>
      <c r="BA45" s="1" t="str">
        <v>10.1016/j.matlet.2004.09.033</v>
      </c>
    </row>
    <row r="46" spans="1:53" ht="14" customHeight="1">
      <c r="A46" s="101"/>
      <c r="R46" s="1" t="str">
        <v>Mixing</v>
      </c>
      <c r="S46" s="1">
        <v>0</v>
      </c>
      <c r="T46" s="1">
        <v>0</v>
      </c>
      <c r="U46" s="1">
        <v>0</v>
      </c>
      <c r="V46" s="1">
        <v>60</v>
      </c>
      <c r="W46" s="1">
        <v>0</v>
      </c>
      <c r="X46" s="1">
        <v>2.2000000000000002</v>
      </c>
      <c r="Y46" s="1">
        <v>0</v>
      </c>
      <c r="Z46" s="1">
        <v>0</v>
      </c>
      <c r="AA46" s="1">
        <v>0</v>
      </c>
      <c r="AB46" s="1">
        <v>24</v>
      </c>
      <c r="AC46" s="1" t="str">
        <v>Quadro Liquids</v>
      </c>
      <c r="AD46" s="1" t="str">
        <v>Quadro Ytron® ZCO</v>
      </c>
      <c r="AE46" s="1">
        <v>9.1666666666666674E-2</v>
      </c>
      <c r="AF46" s="1">
        <v>0</v>
      </c>
      <c r="AM46" s="1" t="str">
        <v>Mixing</v>
      </c>
      <c r="AN46" s="1">
        <v>0</v>
      </c>
      <c r="AO46" s="1">
        <v>0</v>
      </c>
      <c r="AP46" s="1" t="str">
        <v>xiaolansongSynthesisCeO2coatedSiO22008_process1</v>
      </c>
      <c r="AQ46" s="1" t="str">
        <v>colloidal</v>
      </c>
      <c r="AR46" s="1" t="str">
        <v>room</v>
      </c>
      <c r="AS46" s="1">
        <v>0</v>
      </c>
      <c r="AT46" s="1">
        <v>0</v>
      </c>
      <c r="AU46" s="1">
        <v>0</v>
      </c>
      <c r="AV46" s="1">
        <v>0</v>
      </c>
      <c r="AW46" s="1">
        <v>0</v>
      </c>
      <c r="AX46" s="1" t="str">
        <v>agitator</v>
      </c>
      <c r="AY46" s="1">
        <v>0</v>
      </c>
      <c r="AZ46" s="1">
        <v>0</v>
      </c>
      <c r="BA46" s="1" t="str">
        <v>10.1016/j.matchemphys.2008.01.042</v>
      </c>
    </row>
    <row r="47" spans="1:53" s="107" customFormat="1" ht="42">
      <c r="A47" s="112"/>
      <c r="B47" s="103" t="s">
        <v>611</v>
      </c>
      <c r="C47" s="103" t="s">
        <v>479</v>
      </c>
      <c r="D47" s="114" t="s">
        <v>610</v>
      </c>
      <c r="E47" s="113" t="s">
        <v>603</v>
      </c>
      <c r="F47" s="106"/>
      <c r="O47" s="229"/>
      <c r="P47" s="229"/>
      <c r="R47" s="107" t="str">
        <v>Mixing</v>
      </c>
      <c r="S47" s="107">
        <v>0</v>
      </c>
      <c r="T47" s="107">
        <v>0</v>
      </c>
      <c r="U47" s="107">
        <v>0</v>
      </c>
      <c r="V47" s="107">
        <v>115</v>
      </c>
      <c r="W47" s="107">
        <v>0</v>
      </c>
      <c r="X47" s="107">
        <v>7.5</v>
      </c>
      <c r="Y47" s="107">
        <v>0</v>
      </c>
      <c r="Z47" s="107">
        <v>0</v>
      </c>
      <c r="AA47" s="107">
        <v>0</v>
      </c>
      <c r="AB47" s="107">
        <v>46</v>
      </c>
      <c r="AC47" s="107" t="str">
        <v>Quadro Liquids</v>
      </c>
      <c r="AD47" s="107" t="str">
        <v>Quadro Ytron® Z1</v>
      </c>
      <c r="AE47" s="107">
        <v>0.16304347826086957</v>
      </c>
      <c r="AF47" s="107">
        <v>0</v>
      </c>
      <c r="AM47" s="107" t="str">
        <v>mixing</v>
      </c>
      <c r="AN47" s="107">
        <v>0</v>
      </c>
      <c r="AO47" s="107">
        <v>0</v>
      </c>
      <c r="AP47" s="107" t="str">
        <v>xiaolansongSynthesisCeO2coatedSiO22008_process1</v>
      </c>
      <c r="AQ47" s="107" t="str">
        <v>colloidal</v>
      </c>
      <c r="AR47" s="107">
        <v>0</v>
      </c>
      <c r="AS47" s="107">
        <v>4</v>
      </c>
      <c r="AT47" s="107" t="str">
        <v>h</v>
      </c>
      <c r="AU47" s="107">
        <v>0</v>
      </c>
      <c r="AV47" s="107">
        <v>0</v>
      </c>
      <c r="AW47" s="107">
        <v>0</v>
      </c>
      <c r="AX47" s="107">
        <v>0</v>
      </c>
      <c r="AY47" s="107">
        <v>0</v>
      </c>
      <c r="AZ47" s="107">
        <v>0</v>
      </c>
      <c r="BA47" s="107" t="str">
        <v>10.1016/j.matchemphys.2008.01.042</v>
      </c>
    </row>
    <row r="48" spans="1:53">
      <c r="A48" s="101" t="s">
        <v>528</v>
      </c>
      <c r="B48" s="115" t="s">
        <v>612</v>
      </c>
      <c r="C48" s="115">
        <v>0</v>
      </c>
      <c r="D48" s="108"/>
      <c r="E48" s="108"/>
      <c r="F48" s="108"/>
      <c r="G48" s="108"/>
      <c r="R48" s="1" t="str">
        <v>Mixing</v>
      </c>
      <c r="S48" s="1">
        <v>0</v>
      </c>
      <c r="T48" s="1">
        <v>0</v>
      </c>
      <c r="U48" s="1">
        <v>0</v>
      </c>
      <c r="V48" s="1">
        <v>380</v>
      </c>
      <c r="W48" s="1">
        <v>0</v>
      </c>
      <c r="X48" s="1">
        <v>18.5</v>
      </c>
      <c r="Y48" s="1">
        <v>0</v>
      </c>
      <c r="Z48" s="1">
        <v>0</v>
      </c>
      <c r="AA48" s="1">
        <v>0</v>
      </c>
      <c r="AB48" s="1">
        <v>152</v>
      </c>
      <c r="AC48" s="1" t="str">
        <v>Quadro Liquids</v>
      </c>
      <c r="AD48" s="1" t="str">
        <v>Quadro Ytron® Z3</v>
      </c>
      <c r="AE48" s="1">
        <v>0.12171052631578948</v>
      </c>
      <c r="AF48" s="1">
        <v>0</v>
      </c>
      <c r="AM48" s="1" t="str">
        <v>mixing</v>
      </c>
      <c r="AN48" s="1">
        <v>0</v>
      </c>
      <c r="AO48" s="1">
        <v>0</v>
      </c>
      <c r="AP48" s="1" t="str">
        <v>xueyunzhouRoomtemperatureHomogeneousNucleation2002_colloidal</v>
      </c>
      <c r="AQ48" s="1" t="str">
        <v>colloidal</v>
      </c>
      <c r="AR48" s="1" t="str">
        <v>room</v>
      </c>
      <c r="AS48" s="1">
        <v>0</v>
      </c>
      <c r="AT48" s="1">
        <v>0</v>
      </c>
      <c r="AU48" s="1">
        <v>0</v>
      </c>
      <c r="AV48" s="1">
        <v>0</v>
      </c>
      <c r="AW48" s="1">
        <v>0</v>
      </c>
      <c r="AX48" s="1" t="str">
        <v>semibatch reactor</v>
      </c>
      <c r="AY48" s="1">
        <v>0</v>
      </c>
      <c r="AZ48" s="1">
        <v>0</v>
      </c>
      <c r="BA48" s="1" t="str">
        <v>10.1063/1.1481244</v>
      </c>
    </row>
    <row r="49" spans="1:53">
      <c r="A49" s="101" t="s">
        <v>540</v>
      </c>
      <c r="B49" s="115"/>
      <c r="C49" s="115"/>
      <c r="D49" s="108"/>
      <c r="E49" s="108"/>
      <c r="F49" s="108"/>
      <c r="G49" s="108"/>
      <c r="R49" s="1" t="str">
        <v>Mixing</v>
      </c>
      <c r="S49" s="1">
        <v>0</v>
      </c>
      <c r="T49" s="1">
        <v>0</v>
      </c>
      <c r="U49" s="1">
        <v>0</v>
      </c>
      <c r="V49" s="1">
        <v>1150</v>
      </c>
      <c r="W49" s="1">
        <v>0</v>
      </c>
      <c r="X49" s="1">
        <v>45</v>
      </c>
      <c r="Y49" s="1">
        <v>0</v>
      </c>
      <c r="Z49" s="1">
        <v>0</v>
      </c>
      <c r="AA49" s="1">
        <v>0</v>
      </c>
      <c r="AB49" s="1">
        <v>460</v>
      </c>
      <c r="AC49" s="1" t="str">
        <v>Quadro Liquids</v>
      </c>
      <c r="AD49" s="1" t="str">
        <v>Quadro Ytron® Z 5</v>
      </c>
      <c r="AE49" s="1">
        <v>9.7826086956521743E-2</v>
      </c>
      <c r="AF49" s="1">
        <v>0</v>
      </c>
      <c r="AM49" s="1" t="str">
        <v>mixing</v>
      </c>
      <c r="AN49" s="1">
        <v>0</v>
      </c>
      <c r="AO49" s="1">
        <v>0</v>
      </c>
      <c r="AP49" s="1" t="str">
        <v>hakutaProductionUltrafineCeria1998_process1</v>
      </c>
      <c r="AQ49" s="1" t="str">
        <v>colloidal</v>
      </c>
      <c r="AR49" s="1">
        <v>450</v>
      </c>
      <c r="AS49" s="1">
        <v>0</v>
      </c>
      <c r="AT49" s="1">
        <v>0</v>
      </c>
      <c r="AU49" s="1">
        <v>0</v>
      </c>
      <c r="AV49" s="1">
        <v>0</v>
      </c>
      <c r="AW49" s="1">
        <v>0</v>
      </c>
      <c r="AX49" s="1" t="str">
        <v>High-pressure pump</v>
      </c>
      <c r="AY49" s="1">
        <v>0</v>
      </c>
      <c r="AZ49" s="1">
        <v>0</v>
      </c>
      <c r="BA49" s="1" t="str">
        <v>10.1023/a:1006597828280</v>
      </c>
    </row>
    <row r="50" spans="1:53">
      <c r="A50" s="101" t="s">
        <v>539</v>
      </c>
      <c r="B50" s="115"/>
      <c r="C50" s="115"/>
      <c r="D50" s="108"/>
      <c r="E50" s="108"/>
      <c r="F50" s="108"/>
      <c r="G50" s="108"/>
    </row>
    <row r="51" spans="1:53"/>
    <row r="52" spans="1:53"/>
    <row r="53" spans="1:53"/>
    <row r="54" spans="1:53"/>
    <row r="55" spans="1:53"/>
    <row r="56" spans="1:53"/>
    <row r="57" spans="1:53"/>
    <row r="58" spans="1:53"/>
    <row r="59" spans="1:53">
      <c r="C59" s="289"/>
    </row>
    <row r="60" spans="1:53" ht="25">
      <c r="A60" s="1" t="s">
        <v>614</v>
      </c>
      <c r="B60" s="111">
        <f>5/60</f>
        <v>8.3333333333333329E-2</v>
      </c>
      <c r="C60" s="166">
        <f>Z23</f>
        <v>1.6</v>
      </c>
    </row>
    <row r="61" spans="1:53">
      <c r="A61" s="1" t="s">
        <v>615</v>
      </c>
      <c r="B61" s="110"/>
    </row>
    <row r="62" spans="1:53" ht="31" customHeight="1">
      <c r="A62" s="1" t="s">
        <v>480</v>
      </c>
      <c r="B62" s="110" t="s">
        <v>481</v>
      </c>
    </row>
    <row r="63" spans="1:53">
      <c r="A63" s="1" t="s">
        <v>616</v>
      </c>
      <c r="B63" s="110"/>
    </row>
    <row r="64" spans="1:53">
      <c r="A64" s="1" t="s">
        <v>617</v>
      </c>
      <c r="B64" s="110"/>
    </row>
    <row r="65" spans="1:5"/>
    <row r="66" spans="1:5"/>
    <row r="67" spans="1:5"/>
    <row r="68" spans="1:5"/>
    <row r="69" spans="1:5"/>
    <row r="70" spans="1:5">
      <c r="B70" s="1" t="s">
        <v>620</v>
      </c>
      <c r="C70" s="1" t="s">
        <v>619</v>
      </c>
      <c r="D70" s="1" t="s">
        <v>2</v>
      </c>
    </row>
    <row r="71" spans="1:5">
      <c r="A71" s="1" t="s">
        <v>482</v>
      </c>
      <c r="B71" s="115"/>
      <c r="C71" s="115"/>
      <c r="D71" s="123">
        <f>E71</f>
        <v>0.1</v>
      </c>
      <c r="E71" s="1">
        <f>Z21</f>
        <v>0.1</v>
      </c>
    </row>
    <row r="72" spans="1:5">
      <c r="A72" s="1" t="s">
        <v>1175</v>
      </c>
      <c r="B72" s="115"/>
      <c r="C72" s="115"/>
      <c r="D72" s="115"/>
    </row>
    <row r="73" spans="1:5">
      <c r="A73" s="1" t="s">
        <v>613</v>
      </c>
      <c r="B73" s="115"/>
      <c r="C73" s="115"/>
      <c r="D73" s="115"/>
    </row>
    <row r="74" spans="1:5">
      <c r="A74" s="1" t="s">
        <v>625</v>
      </c>
      <c r="B74" s="116"/>
      <c r="C74" s="116"/>
      <c r="D74" s="120">
        <f>Z21</f>
        <v>0.1</v>
      </c>
    </row>
    <row r="75" spans="1:5">
      <c r="B75" s="117"/>
      <c r="C75" s="117"/>
      <c r="D75" s="118"/>
    </row>
    <row r="76" spans="1:5"/>
    <row r="77" spans="1:5">
      <c r="A77" s="98"/>
    </row>
    <row r="78" spans="1:5">
      <c r="A78" s="98"/>
    </row>
    <row r="79" spans="1:5">
      <c r="A79" s="98"/>
    </row>
    <row r="80" spans="1:5">
      <c r="A80" s="98"/>
    </row>
    <row r="81" spans="1:16">
      <c r="A81" s="98"/>
      <c r="B81" s="1" t="s">
        <v>620</v>
      </c>
      <c r="C81" s="1" t="s">
        <v>618</v>
      </c>
      <c r="D81" s="1" t="s">
        <v>2</v>
      </c>
    </row>
    <row r="82" spans="1:16">
      <c r="A82" s="1" t="s">
        <v>483</v>
      </c>
      <c r="B82" s="115"/>
      <c r="C82" s="115"/>
      <c r="D82" s="115"/>
    </row>
    <row r="83" spans="1:16">
      <c r="A83" s="1" t="s">
        <v>484</v>
      </c>
      <c r="B83" s="115"/>
      <c r="C83" s="115"/>
      <c r="D83" s="115"/>
    </row>
    <row r="84" spans="1:16"/>
    <row r="85" spans="1:16"/>
    <row r="86" spans="1:16"/>
    <row r="87" spans="1:16"/>
    <row r="88" spans="1:16" ht="17" customHeight="1"/>
    <row r="89" spans="1:16" ht="17" customHeight="1"/>
    <row r="90" spans="1:16" ht="17" customHeight="1"/>
    <row r="91" spans="1:16" ht="17" customHeight="1"/>
    <row r="92" spans="1:16">
      <c r="A92" s="1" t="s">
        <v>621</v>
      </c>
      <c r="B92" s="119">
        <f>SUM(C48:C49,C38:C39,D29:D30)</f>
        <v>9.3000000000000007</v>
      </c>
    </row>
    <row r="93" spans="1:16"/>
    <row r="94" spans="1:16"/>
    <row r="95" spans="1:16"/>
    <row r="96" spans="1:16" s="107" customFormat="1" ht="21">
      <c r="A96" s="107" t="s">
        <v>622</v>
      </c>
      <c r="B96" s="115">
        <f>E96</f>
        <v>11.625</v>
      </c>
      <c r="E96" s="1">
        <f>B92*(1/0.8)</f>
        <v>11.625</v>
      </c>
      <c r="F96" s="107" t="s">
        <v>1180</v>
      </c>
      <c r="O96" s="229"/>
      <c r="P96" s="229"/>
    </row>
    <row r="97" spans="1:16"/>
    <row r="98" spans="1:16"/>
    <row r="99" spans="1:16" s="107" customFormat="1" ht="42">
      <c r="A99" s="107" t="s">
        <v>623</v>
      </c>
      <c r="B99" s="408">
        <f>B92/B96</f>
        <v>0.8</v>
      </c>
      <c r="O99" s="229"/>
      <c r="P99" s="229"/>
    </row>
    <row r="100" spans="1:16"/>
    <row r="101" spans="1:16"/>
    <row r="102" spans="1:16"/>
    <row r="103" spans="1:16"/>
    <row r="104" spans="1:16"/>
    <row r="105" spans="1:16"/>
    <row r="106" spans="1:16"/>
    <row r="107" spans="1:16"/>
    <row r="108" spans="1:16">
      <c r="A108" s="101" t="s">
        <v>624</v>
      </c>
      <c r="B108" s="120">
        <f>D72*B64</f>
        <v>0</v>
      </c>
    </row>
    <row r="109" spans="1:16">
      <c r="A109" s="101" t="s">
        <v>626</v>
      </c>
      <c r="B109" s="120">
        <f>D71*B60*B96</f>
        <v>9.6875000000000003E-2</v>
      </c>
    </row>
    <row r="110" spans="1:16">
      <c r="A110" s="101" t="s">
        <v>485</v>
      </c>
      <c r="B110" s="115"/>
    </row>
    <row r="111" spans="1:16">
      <c r="A111" s="1" t="s">
        <v>627</v>
      </c>
      <c r="B111" s="1">
        <f>SUM(B108:B110)</f>
        <v>9.6875000000000003E-2</v>
      </c>
    </row>
    <row r="112" spans="1:16">
      <c r="A112" s="101"/>
    </row>
    <row r="113" spans="1:12">
      <c r="A113" s="101"/>
    </row>
    <row r="114" spans="1:12">
      <c r="A114" s="101"/>
    </row>
    <row r="115" spans="1:12">
      <c r="A115" s="101"/>
    </row>
    <row r="116" spans="1:12">
      <c r="A116" s="101"/>
    </row>
    <row r="117" spans="1:12">
      <c r="A117" s="101"/>
    </row>
    <row r="118" spans="1:12">
      <c r="A118" s="101"/>
    </row>
    <row r="119" spans="1:12">
      <c r="A119" s="101"/>
    </row>
    <row r="120" spans="1:12">
      <c r="A120" s="101"/>
    </row>
    <row r="121" spans="1:12">
      <c r="A121" s="101"/>
    </row>
    <row r="122" spans="1:12">
      <c r="A122" s="101"/>
    </row>
    <row r="123" spans="1:12">
      <c r="A123" s="101"/>
    </row>
    <row r="124" spans="1:12">
      <c r="A124" s="101"/>
      <c r="C124" s="126" t="s">
        <v>628</v>
      </c>
    </row>
    <row r="125" spans="1:12">
      <c r="A125" s="1" t="s">
        <v>486</v>
      </c>
      <c r="B125" s="122" t="s">
        <v>423</v>
      </c>
      <c r="C125" s="126">
        <f>ROUND(VLOOKUP(B125,[3]!State_energy_table[#Data],8,FALSE),2)</f>
        <v>0.32</v>
      </c>
      <c r="D125" s="1">
        <f>C125*B111</f>
        <v>3.1000000000000003E-2</v>
      </c>
    </row>
    <row r="126" spans="1:12"/>
    <row r="127" spans="1:12"/>
    <row r="128" spans="1:12">
      <c r="A128" s="127" t="s">
        <v>636</v>
      </c>
      <c r="B128" s="128"/>
      <c r="C128" s="129"/>
      <c r="D128" s="129"/>
      <c r="E128" s="129"/>
      <c r="F128" s="129"/>
      <c r="G128" s="129"/>
      <c r="H128" s="129"/>
      <c r="I128" s="129"/>
      <c r="J128" s="124"/>
      <c r="K128" s="124"/>
      <c r="L128" s="124"/>
    </row>
    <row r="129" spans="1:12">
      <c r="A129" s="327" t="s">
        <v>629</v>
      </c>
      <c r="B129" s="327"/>
      <c r="C129" s="327"/>
      <c r="D129" s="327"/>
      <c r="E129" s="327"/>
      <c r="F129" s="327"/>
      <c r="G129" s="327"/>
      <c r="H129" s="327"/>
      <c r="I129" s="327"/>
      <c r="J129" s="124"/>
      <c r="K129" s="124"/>
      <c r="L129" s="124"/>
    </row>
    <row r="130" spans="1:12" ht="42">
      <c r="A130" s="130" t="s">
        <v>630</v>
      </c>
      <c r="B130" s="130" t="s">
        <v>631</v>
      </c>
      <c r="C130" s="130" t="s">
        <v>632</v>
      </c>
      <c r="D130" s="130" t="s">
        <v>633</v>
      </c>
      <c r="E130" s="130" t="s">
        <v>634</v>
      </c>
      <c r="F130" s="130" t="s">
        <v>10</v>
      </c>
      <c r="G130" s="130" t="s">
        <v>11</v>
      </c>
      <c r="H130" s="130" t="s">
        <v>12</v>
      </c>
      <c r="I130" s="130" t="s">
        <v>635</v>
      </c>
      <c r="K130" s="125"/>
    </row>
    <row r="131" spans="1:12">
      <c r="A131" s="409">
        <v>0</v>
      </c>
      <c r="B131" s="409">
        <v>0</v>
      </c>
      <c r="C131" s="409">
        <v>0</v>
      </c>
      <c r="D131" s="409">
        <v>0</v>
      </c>
      <c r="E131" s="409">
        <v>0</v>
      </c>
      <c r="F131" s="409">
        <v>0</v>
      </c>
      <c r="G131" s="409">
        <v>0</v>
      </c>
      <c r="H131" s="409">
        <v>0</v>
      </c>
      <c r="I131" s="409">
        <v>0</v>
      </c>
      <c r="K131" s="124"/>
    </row>
    <row r="132" spans="1:12">
      <c r="A132" s="132"/>
      <c r="B132" s="132"/>
      <c r="C132" s="132"/>
      <c r="D132" s="132"/>
      <c r="E132" s="132"/>
      <c r="F132" s="132"/>
      <c r="G132" s="132"/>
      <c r="H132" s="132"/>
      <c r="I132" s="132"/>
    </row>
    <row r="133" spans="1:12"/>
    <row r="134" spans="1:12"/>
    <row r="135" spans="1:12"/>
    <row r="136" spans="1:12"/>
    <row r="137" spans="1:12">
      <c r="A137" s="290"/>
      <c r="B137" s="290"/>
      <c r="C137" s="290"/>
      <c r="D137" s="290"/>
      <c r="E137" s="290"/>
    </row>
    <row r="138" spans="1:12">
      <c r="A138" s="290"/>
      <c r="B138" s="290"/>
      <c r="C138" s="290"/>
      <c r="D138" s="290"/>
      <c r="E138" s="290"/>
    </row>
    <row r="139" spans="1:12">
      <c r="A139" s="290"/>
      <c r="B139" s="290"/>
      <c r="C139" s="290"/>
      <c r="D139" s="290"/>
      <c r="E139" s="290"/>
    </row>
    <row r="140" spans="1:12">
      <c r="A140" s="290"/>
      <c r="B140" s="290"/>
      <c r="C140" s="290"/>
      <c r="D140" s="290"/>
      <c r="E140" s="290"/>
    </row>
    <row r="141" spans="1:12">
      <c r="A141" s="290" t="s">
        <v>640</v>
      </c>
      <c r="B141" s="297">
        <f>SUM(G29:G30)</f>
        <v>4.49</v>
      </c>
      <c r="C141" s="290"/>
      <c r="D141" s="290"/>
      <c r="E141" s="290"/>
    </row>
    <row r="142" spans="1:12">
      <c r="A142" s="290"/>
      <c r="B142" s="290"/>
      <c r="C142" s="290"/>
      <c r="D142" s="290"/>
      <c r="E142" s="290"/>
    </row>
    <row r="143" spans="1:12">
      <c r="A143" s="290" t="s">
        <v>637</v>
      </c>
      <c r="B143" s="410">
        <v>3</v>
      </c>
      <c r="C143" s="290"/>
      <c r="D143" s="290"/>
      <c r="E143" s="290"/>
    </row>
    <row r="144" spans="1:12">
      <c r="A144" s="290"/>
      <c r="B144" s="290"/>
      <c r="C144" s="290"/>
      <c r="D144" s="290"/>
      <c r="E144" s="290"/>
    </row>
    <row r="145" spans="1:5">
      <c r="A145" s="290"/>
      <c r="B145" s="290"/>
      <c r="C145" s="290"/>
      <c r="D145" s="290"/>
      <c r="E145" s="290"/>
    </row>
    <row r="146" spans="1:5">
      <c r="A146" s="290" t="s">
        <v>638</v>
      </c>
      <c r="B146" s="411">
        <f>B143/B141</f>
        <v>0.66815144766146994</v>
      </c>
      <c r="C146" s="290"/>
      <c r="D146" s="290"/>
      <c r="E146" s="290"/>
    </row>
    <row r="147" spans="1:5">
      <c r="A147" s="290"/>
      <c r="B147" s="290"/>
      <c r="C147" s="290"/>
      <c r="D147" s="290"/>
      <c r="E147" s="290"/>
    </row>
    <row r="148" spans="1:5">
      <c r="A148" s="290" t="s">
        <v>639</v>
      </c>
      <c r="B148" s="292">
        <f>B141-B143</f>
        <v>1.4900000000000002</v>
      </c>
      <c r="C148" s="290"/>
      <c r="D148" s="290"/>
      <c r="E148" s="290"/>
    </row>
    <row r="149" spans="1:5"/>
    <row r="150" spans="1:5"/>
    <row r="151" spans="1:5"/>
    <row r="152" spans="1:5"/>
    <row r="153" spans="1:5"/>
    <row r="154" spans="1:5"/>
    <row r="155" spans="1:5"/>
    <row r="156" spans="1:5"/>
    <row r="157" spans="1:5">
      <c r="A157" s="290"/>
      <c r="B157" s="290"/>
      <c r="C157" s="290"/>
      <c r="D157" s="290"/>
    </row>
    <row r="158" spans="1:5">
      <c r="A158" s="291" t="s">
        <v>487</v>
      </c>
      <c r="B158" s="292">
        <f>B143</f>
        <v>3</v>
      </c>
      <c r="C158" s="290"/>
      <c r="D158" s="290"/>
    </row>
    <row r="159" spans="1:5">
      <c r="A159" s="291" t="s">
        <v>488</v>
      </c>
      <c r="B159" s="412"/>
      <c r="C159" s="290"/>
      <c r="D159" s="290"/>
    </row>
    <row r="160" spans="1:5">
      <c r="A160" s="290" t="s">
        <v>645</v>
      </c>
      <c r="B160" s="412"/>
      <c r="C160" s="290"/>
      <c r="D160" s="290"/>
    </row>
    <row r="161" spans="1:6">
      <c r="A161" s="290"/>
      <c r="B161" s="290"/>
      <c r="C161" s="290"/>
      <c r="D161" s="290"/>
    </row>
    <row r="162" spans="1:6">
      <c r="A162" s="290" t="s">
        <v>641</v>
      </c>
      <c r="B162" s="292">
        <f>SUM(B158:B159)</f>
        <v>3</v>
      </c>
      <c r="C162" s="290"/>
      <c r="D162" s="290"/>
    </row>
    <row r="163" spans="1:6">
      <c r="A163" s="291" t="s">
        <v>642</v>
      </c>
      <c r="B163" s="290">
        <f>B92</f>
        <v>9.3000000000000007</v>
      </c>
      <c r="C163" s="290"/>
      <c r="D163" s="290"/>
    </row>
    <row r="164" spans="1:6">
      <c r="A164" s="291"/>
      <c r="B164" s="290"/>
      <c r="C164" s="290"/>
      <c r="D164" s="290"/>
    </row>
    <row r="165" spans="1:6">
      <c r="A165" s="101"/>
    </row>
    <row r="166" spans="1:6">
      <c r="A166" s="101"/>
    </row>
    <row r="167" spans="1:6">
      <c r="A167" s="101"/>
    </row>
    <row r="168" spans="1:6">
      <c r="A168" s="101"/>
    </row>
    <row r="169" spans="1:6">
      <c r="A169" s="133"/>
      <c r="B169" s="109" t="s">
        <v>178</v>
      </c>
      <c r="C169" s="109" t="s">
        <v>177</v>
      </c>
      <c r="D169" s="109" t="s">
        <v>179</v>
      </c>
      <c r="E169" s="109" t="s">
        <v>643</v>
      </c>
      <c r="F169" s="109" t="s">
        <v>644</v>
      </c>
    </row>
    <row r="170" spans="1:6">
      <c r="A170" s="101" t="s">
        <v>489</v>
      </c>
      <c r="B170" s="1" t="s">
        <v>191</v>
      </c>
      <c r="C170" s="1" t="str">
        <f>VLOOKUP(B170,[3]!GHG_Table[#Data],2,FALSE)</f>
        <v>AR4-100</v>
      </c>
      <c r="D170" s="1">
        <f>VLOOKUP(B170,[3]!GHG_Table[#Data],3,FALSE)</f>
        <v>1</v>
      </c>
      <c r="E170" s="413">
        <v>0</v>
      </c>
      <c r="F170" s="1">
        <f>D170*E170</f>
        <v>0</v>
      </c>
    </row>
    <row r="171" spans="1:6">
      <c r="A171" s="101" t="s">
        <v>543</v>
      </c>
      <c r="B171" s="1" t="s">
        <v>541</v>
      </c>
      <c r="C171" s="1" t="str">
        <f>VLOOKUP(B171,[3]!GHG_Table[#Data],2,FALSE)</f>
        <v>NA</v>
      </c>
      <c r="D171" s="1">
        <f>VLOOKUP(B171,[3]!GHG_Table[#Data],3,FALSE)</f>
        <v>0</v>
      </c>
      <c r="E171" s="413">
        <v>0</v>
      </c>
      <c r="F171" s="1">
        <f>D171*E171</f>
        <v>0</v>
      </c>
    </row>
    <row r="172" spans="1:6">
      <c r="A172" s="101" t="s">
        <v>490</v>
      </c>
    </row>
    <row r="173" spans="1:6">
      <c r="A173" s="101"/>
    </row>
    <row r="174" spans="1:6">
      <c r="A174" s="101"/>
    </row>
    <row r="175" spans="1:6">
      <c r="A175" s="133"/>
    </row>
    <row r="176" spans="1:6">
      <c r="A176" s="134" t="s">
        <v>646</v>
      </c>
    </row>
    <row r="177" spans="1:2">
      <c r="A177" s="127" t="s">
        <v>491</v>
      </c>
    </row>
    <row r="178" spans="1:2">
      <c r="A178" s="127" t="s">
        <v>492</v>
      </c>
    </row>
    <row r="179" spans="1:2">
      <c r="A179" s="291"/>
      <c r="B179" s="290"/>
    </row>
    <row r="180" spans="1:2">
      <c r="A180" s="291"/>
      <c r="B180" s="290"/>
    </row>
    <row r="181" spans="1:2">
      <c r="A181" s="291"/>
      <c r="B181" s="290"/>
    </row>
    <row r="182" spans="1:2">
      <c r="A182" s="291"/>
      <c r="B182" s="290"/>
    </row>
    <row r="183" spans="1:2">
      <c r="A183" s="290" t="s">
        <v>493</v>
      </c>
      <c r="B183" s="300">
        <f>SUM(C48:C50)/B143</f>
        <v>0</v>
      </c>
    </row>
    <row r="184" spans="1:2">
      <c r="A184" s="290" t="s">
        <v>494</v>
      </c>
      <c r="B184" s="300">
        <f>ROUND(B160/B143,2)</f>
        <v>0</v>
      </c>
    </row>
    <row r="185" spans="1:2">
      <c r="A185" s="290"/>
      <c r="B185" s="290"/>
    </row>
    <row r="186" spans="1:2"/>
    <row r="187" spans="1:2" ht="21" customHeight="1"/>
    <row r="188" spans="1:2" ht="21" customHeight="1"/>
    <row r="189" spans="1:2">
      <c r="A189" s="1" t="s">
        <v>529</v>
      </c>
      <c r="B189" s="119">
        <f>ROUND(SUM(F170:F171)/B143,2)</f>
        <v>0</v>
      </c>
    </row>
    <row r="190" spans="1:2">
      <c r="A190" s="1" t="s">
        <v>495</v>
      </c>
    </row>
    <row r="191" spans="1:2"/>
    <row r="192" spans="1:2"/>
    <row r="193" spans="1:2"/>
    <row r="194" spans="1:2"/>
    <row r="195" spans="1:2">
      <c r="A195" s="98"/>
    </row>
    <row r="196" spans="1:2">
      <c r="A196" s="1" t="s">
        <v>496</v>
      </c>
      <c r="B196" s="119">
        <f>B111</f>
        <v>9.6875000000000003E-2</v>
      </c>
    </row>
    <row r="197" spans="1:2"/>
    <row r="198" spans="1:2"/>
    <row r="199" spans="1:2"/>
    <row r="200" spans="1:2"/>
    <row r="201" spans="1:2"/>
    <row r="202" spans="1:2"/>
    <row r="203" spans="1:2"/>
    <row r="204" spans="1:2">
      <c r="A204" s="100" t="s">
        <v>497</v>
      </c>
      <c r="B204" s="119">
        <f>SUM(D125,F170:F171)</f>
        <v>3.1000000000000003E-2</v>
      </c>
    </row>
    <row r="205" spans="1:2">
      <c r="A205" s="102" t="s">
        <v>498</v>
      </c>
      <c r="B205" s="119"/>
    </row>
    <row r="206" spans="1:2">
      <c r="A206" s="102" t="s">
        <v>499</v>
      </c>
      <c r="B206" s="119"/>
    </row>
    <row r="207" spans="1:2">
      <c r="A207" s="102" t="s">
        <v>500</v>
      </c>
      <c r="B207" s="119"/>
    </row>
    <row r="208" spans="1:2">
      <c r="A208" s="100" t="s">
        <v>753</v>
      </c>
      <c r="B208" s="119">
        <f>B111</f>
        <v>9.6875000000000003E-2</v>
      </c>
    </row>
    <row r="209" spans="1:2">
      <c r="A209" s="100" t="s">
        <v>501</v>
      </c>
      <c r="B209" s="119">
        <f>SUM(C48:C50)</f>
        <v>0</v>
      </c>
    </row>
    <row r="210" spans="1:2"/>
    <row r="211" spans="1:2"/>
    <row r="212" spans="1:2"/>
    <row r="213" spans="1:2"/>
    <row r="214" spans="1:2"/>
    <row r="215" spans="1:2"/>
    <row r="216" spans="1:2"/>
    <row r="217" spans="1:2"/>
    <row r="218" spans="1:2"/>
    <row r="219" spans="1:2" ht="20" customHeight="1"/>
  </sheetData>
  <mergeCells count="1">
    <mergeCell ref="A129:I129"/>
  </mergeCells>
  <dataValidations count="4">
    <dataValidation type="list" allowBlank="1" showInputMessage="1" showErrorMessage="1" sqref="B48" xr:uid="{0A865065-FF3B-A34E-8A47-0B2BDF02972C}">
      <formula1>"Municipal water, RO water, DIW, UPW"</formula1>
    </dataValidation>
    <dataValidation type="list" allowBlank="1" showInputMessage="1" showErrorMessage="1" sqref="B62" xr:uid="{07A33F78-D9E8-634B-B45C-D9E056319767}">
      <formula1>"Active Process Time Only,Includes Warm-up/Cool-down"</formula1>
    </dataValidation>
    <dataValidation type="list" allowBlank="1" showInputMessage="1" showErrorMessage="1" sqref="B170:B171" xr:uid="{B36D274A-56B8-6B4B-88EA-845C4FE092D7}">
      <formula1>GHG_chemical_gas</formula1>
    </dataValidation>
    <dataValidation type="list" allowBlank="1" showInputMessage="1" showErrorMessage="1" sqref="B15:B20 B22:B27" xr:uid="{FD701DE2-7561-5D4A-9A08-DC39F13809EC}">
      <formula1>"Precursor Synthesis,Calcination,Milling,Filtering,Washing,Drying"</formula1>
    </dataValidation>
  </dataValidations>
  <hyperlinks>
    <hyperlink ref="Y35" location="All_Equipment!A1" display="Click here to add your process into database" xr:uid="{2A2FA8B0-56AC-2B45-ADCC-7D59DC42CFEA}"/>
  </hyperlinks>
  <pageMargins left="0.7" right="0.7" top="0.75" bottom="0.75" header="0.3" footer="0.3"/>
  <pageSetup scale="28" orientation="portrait" horizontalDpi="0" verticalDpi="0"/>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7E6B14-27EB-E645-8833-F60171E53F08}">
  <sheetPr>
    <tabColor rgb="FFFFCD00"/>
    <pageSetUpPr fitToPage="1"/>
  </sheetPr>
  <dimension ref="A1:BA219"/>
  <sheetViews>
    <sheetView showGridLines="0" topLeftCell="A7" zoomScale="86" zoomScaleNormal="159" workbookViewId="0">
      <selection activeCell="D207" sqref="D207"/>
    </sheetView>
  </sheetViews>
  <sheetFormatPr baseColWidth="10" defaultColWidth="10.83203125" defaultRowHeight="20" customHeight="1" zeroHeight="1"/>
  <cols>
    <col min="1" max="1" width="48.1640625" style="1" bestFit="1" customWidth="1"/>
    <col min="2" max="2" width="27.5" style="1" customWidth="1"/>
    <col min="3" max="3" width="27.1640625" style="1" customWidth="1"/>
    <col min="4" max="6" width="30.33203125" style="1" customWidth="1"/>
    <col min="7" max="7" width="30.6640625" style="1" customWidth="1"/>
    <col min="8" max="8" width="12.6640625" style="1" bestFit="1" customWidth="1"/>
    <col min="9" max="14" width="10.83203125" style="1"/>
    <col min="15" max="16" width="10.83203125" style="227"/>
    <col min="17" max="17" width="10.83203125" style="1"/>
    <col min="18" max="18" width="41.33203125" style="1" customWidth="1"/>
    <col min="19" max="21" width="11" style="1" bestFit="1" customWidth="1"/>
    <col min="22" max="22" width="14.1640625" style="1" bestFit="1" customWidth="1"/>
    <col min="23" max="24" width="11" style="1" bestFit="1" customWidth="1"/>
    <col min="25" max="25" width="50.83203125" style="1" customWidth="1"/>
    <col min="26" max="26" width="20.1640625" style="1" customWidth="1"/>
    <col min="27" max="27" width="11.1640625" style="1" bestFit="1" customWidth="1"/>
    <col min="28" max="28" width="15.83203125" style="1" bestFit="1" customWidth="1"/>
    <col min="29" max="30" width="10.83203125" style="1"/>
    <col min="31" max="31" width="17.5" style="1" bestFit="1" customWidth="1"/>
    <col min="32" max="32" width="10.83203125" style="1"/>
    <col min="33" max="33" width="50.1640625" style="1" bestFit="1" customWidth="1"/>
    <col min="34" max="38" width="10.83203125" style="1"/>
    <col min="39" max="39" width="17.6640625" style="1" customWidth="1"/>
    <col min="40" max="42" width="11.33203125" style="1" bestFit="1" customWidth="1"/>
    <col min="43" max="43" width="14.5" style="1" bestFit="1" customWidth="1"/>
    <col min="44" max="47" width="11.33203125" style="1" bestFit="1" customWidth="1"/>
    <col min="48" max="48" width="13" style="1" bestFit="1" customWidth="1"/>
    <col min="49" max="49" width="16" style="1" bestFit="1" customWidth="1"/>
    <col min="50" max="51" width="11.33203125" style="1" bestFit="1" customWidth="1"/>
    <col min="52" max="52" width="15.83203125" style="1" bestFit="1" customWidth="1"/>
    <col min="53" max="16384" width="10.83203125" style="1"/>
  </cols>
  <sheetData>
    <row r="1" spans="1:44"/>
    <row r="2" spans="1:44"/>
    <row r="3" spans="1:44"/>
    <row r="4" spans="1:44" ht="26" customHeight="1"/>
    <row r="5" spans="1:44"/>
    <row r="6" spans="1:44"/>
    <row r="7" spans="1:44"/>
    <row r="8" spans="1:44">
      <c r="A8" s="98"/>
    </row>
    <row r="9" spans="1:44">
      <c r="A9" s="98"/>
    </row>
    <row r="10" spans="1:44">
      <c r="A10" s="98"/>
    </row>
    <row r="11" spans="1:44">
      <c r="A11" s="98"/>
    </row>
    <row r="12" spans="1:44">
      <c r="A12" s="98"/>
    </row>
    <row r="13" spans="1:44">
      <c r="A13" s="98"/>
    </row>
    <row r="14" spans="1:44" ht="30">
      <c r="A14" s="1" t="s">
        <v>472</v>
      </c>
      <c r="B14" s="233" t="s">
        <v>3</v>
      </c>
    </row>
    <row r="15" spans="1:44"/>
    <row r="16" spans="1:44">
      <c r="AR16" s="1" t="s">
        <v>595</v>
      </c>
    </row>
    <row r="17" spans="1:48">
      <c r="AU17" s="407">
        <f>ROUND(_xlfn.PERCENTRANK.INC(INDEX(_xlfn.ANCHORARRAY(R45),0,7), Z26),4)</f>
        <v>2.1999999999999999E-2</v>
      </c>
      <c r="AV17" s="407">
        <f>ROUND(_xlfn.PERCENTRANK.INC(AV20:AV24, Z26),4)</f>
        <v>5.5E-2</v>
      </c>
    </row>
    <row r="18" spans="1:48">
      <c r="G18" s="301"/>
      <c r="AS18" s="1" t="s">
        <v>598</v>
      </c>
      <c r="AT18" s="1" t="s">
        <v>599</v>
      </c>
    </row>
    <row r="19" spans="1:48" ht="26">
      <c r="A19" s="99"/>
      <c r="R19" s="143" t="s">
        <v>600</v>
      </c>
      <c r="Y19" s="1" t="s">
        <v>1129</v>
      </c>
      <c r="Z19" s="120" t="str">
        <f>B14</f>
        <v>Calcination</v>
      </c>
      <c r="AG19" s="143" t="s">
        <v>1134</v>
      </c>
      <c r="AS19" s="1">
        <v>0</v>
      </c>
      <c r="AT19" s="231">
        <f>AV17</f>
        <v>5.5E-2</v>
      </c>
    </row>
    <row r="20" spans="1:48">
      <c r="A20" s="98"/>
      <c r="R20" s="51" t="str" cm="1">
        <f t="array" ref="R20:R28">_xlfn.UNIQUE([3]!Equipment_Database[Tool Used for process])</f>
        <v>Annealing</v>
      </c>
      <c r="Z20" s="137" t="s">
        <v>590</v>
      </c>
      <c r="AA20" s="137" t="s">
        <v>8</v>
      </c>
      <c r="AB20" s="137" t="s">
        <v>1</v>
      </c>
      <c r="AG20" s="1" t="str" cm="1">
        <f t="array" ref="AG20:AG34">_xlfn.UNIQUE([3]!Process_time_database[Process Name])</f>
        <v>Annealing</v>
      </c>
      <c r="AR20" s="1" t="s">
        <v>596</v>
      </c>
      <c r="AS20" s="407">
        <v>0.25</v>
      </c>
      <c r="AT20" s="407">
        <v>0.04</v>
      </c>
      <c r="AV20" s="1">
        <f>ROUND(MIN(INDEX(_xlfn.ANCHORARRAY(R45),0,7)),2)</f>
        <v>1.1000000000000001</v>
      </c>
    </row>
    <row r="21" spans="1:48">
      <c r="A21" s="98"/>
      <c r="R21" s="1" t="str">
        <v>Calcination</v>
      </c>
      <c r="Y21" s="51" t="s">
        <v>1130</v>
      </c>
      <c r="Z21" s="138">
        <f>ROUND(AVERAGE(INDEX(_xlfn.ANCHORARRAY(R45),0,14)),2)</f>
        <v>0.53</v>
      </c>
      <c r="AA21" s="138">
        <f>ROUND(MIN(INDEX(_xlfn.ANCHORARRAY(R45),0,14)),2)</f>
        <v>0.12</v>
      </c>
      <c r="AB21" s="138">
        <f>ROUND(MAX(INDEX(_xlfn.ANCHORARRAY(R45),0,14)),2)</f>
        <v>2.25</v>
      </c>
      <c r="AG21" s="1" t="str">
        <v>Calcination</v>
      </c>
      <c r="AR21" s="1" t="s">
        <v>2</v>
      </c>
      <c r="AS21" s="407">
        <v>0.5</v>
      </c>
      <c r="AT21" s="407">
        <v>1.38</v>
      </c>
      <c r="AV21" s="1">
        <f>ROUND(PERCENTILE(INDEX(_xlfn.ANCHORARRAY(R45),0,7),0.25),2)</f>
        <v>3.19</v>
      </c>
    </row>
    <row r="22" spans="1:48">
      <c r="A22" s="98"/>
      <c r="R22" s="1" t="str">
        <v>Centrifuge</v>
      </c>
      <c r="Y22" s="51" t="s">
        <v>1181</v>
      </c>
      <c r="Z22" s="138">
        <f>ROUND(AVERAGE(INDEX(_xlfn.ANCHORARRAY(R45),0,11)),2)</f>
        <v>184.96</v>
      </c>
      <c r="AA22" s="138">
        <f>ROUND(MIN(INDEX(_xlfn.ANCHORARRAY(R45),0,11)),2)</f>
        <v>1.2</v>
      </c>
      <c r="AB22" s="138">
        <f>ROUND(MAX(INDEX(_xlfn.ANCHORARRAY(R45),0,11)),2)</f>
        <v>1040</v>
      </c>
      <c r="AG22" s="1" t="str">
        <v>centrifuge</v>
      </c>
      <c r="AR22" s="1" t="s">
        <v>597</v>
      </c>
      <c r="AS22" s="407">
        <v>0.25</v>
      </c>
      <c r="AV22" s="1">
        <f>ROUND(AVERAGE(INDEX(_xlfn.ANCHORARRAY(R45),0,7)),2)</f>
        <v>35.51</v>
      </c>
    </row>
    <row r="23" spans="1:48">
      <c r="A23" s="98"/>
      <c r="R23" s="1" t="str">
        <v>Drying</v>
      </c>
      <c r="Y23" s="51" t="s">
        <v>647</v>
      </c>
      <c r="Z23" s="138">
        <f>ROUND(AVERAGE(INDEX(_xlfn.ANCHORARRAY(AM45),0,7)),2)</f>
        <v>3.39</v>
      </c>
      <c r="AA23" s="138">
        <f>ROUND(MIN(INDEX(_xlfn.ANCHORARRAY(AM45),0,7)),2)</f>
        <v>0</v>
      </c>
      <c r="AB23" s="138">
        <f>ROUND(MAX(INDEX(_xlfn.ANCHORARRAY(AM45),0,7)),2)</f>
        <v>12</v>
      </c>
      <c r="AG23" s="1" t="str">
        <v>drying</v>
      </c>
      <c r="AR23" s="1" t="s">
        <v>1</v>
      </c>
      <c r="AS23" s="407">
        <v>1</v>
      </c>
      <c r="AV23" s="1">
        <f>ROUND(PERCENTILE(INDEX(_xlfn.ANCHORARRAY(R45),0,7),0.75),2)</f>
        <v>72.5</v>
      </c>
    </row>
    <row r="24" spans="1:48">
      <c r="A24" s="98"/>
      <c r="G24" s="1" t="s">
        <v>659</v>
      </c>
      <c r="R24" s="1" t="str">
        <v>Filtration</v>
      </c>
      <c r="Y24" s="51"/>
      <c r="AG24" s="1" t="str">
        <v>Emulsification</v>
      </c>
      <c r="AV24" s="1">
        <f>ROUND(MAX(INDEX(_xlfn.ANCHORARRAY(R45),0,7)),2)</f>
        <v>120</v>
      </c>
    </row>
    <row r="25" spans="1:48">
      <c r="A25" s="98"/>
      <c r="R25" s="1" t="str">
        <v>Hydrothermal</v>
      </c>
      <c r="Y25" s="51"/>
      <c r="AG25" s="1" t="str">
        <v>Filtration</v>
      </c>
    </row>
    <row r="26" spans="1:48">
      <c r="A26" s="98"/>
      <c r="E26" s="290"/>
      <c r="F26" s="290"/>
      <c r="G26" s="290"/>
      <c r="H26" s="290"/>
      <c r="I26" s="290"/>
      <c r="J26" s="290"/>
      <c r="K26" s="290"/>
      <c r="R26" s="1" t="str">
        <v>Milling</v>
      </c>
      <c r="Y26" s="51" t="s">
        <v>648</v>
      </c>
      <c r="Z26" s="139">
        <v>1.56</v>
      </c>
      <c r="AG26" s="1" t="str">
        <v>hydrothermal</v>
      </c>
    </row>
    <row r="27" spans="1:48">
      <c r="A27" s="98"/>
      <c r="E27" s="290"/>
      <c r="F27" s="290"/>
      <c r="G27" s="290"/>
      <c r="H27" s="290"/>
      <c r="I27" s="290"/>
      <c r="J27" s="290"/>
      <c r="K27" s="290"/>
      <c r="R27" s="1" t="str">
        <v>Sonication</v>
      </c>
      <c r="AG27" s="1" t="str">
        <v>Milling</v>
      </c>
    </row>
    <row r="28" spans="1:48" s="104" customFormat="1" ht="42">
      <c r="A28" s="103"/>
      <c r="B28" s="103" t="s">
        <v>609</v>
      </c>
      <c r="C28" s="103" t="s">
        <v>537</v>
      </c>
      <c r="D28" s="103" t="s">
        <v>473</v>
      </c>
      <c r="E28" s="294" t="s">
        <v>534</v>
      </c>
      <c r="F28" s="294" t="s">
        <v>607</v>
      </c>
      <c r="G28" s="295" t="s">
        <v>608</v>
      </c>
      <c r="H28" s="294"/>
      <c r="I28" s="294"/>
      <c r="J28" s="296"/>
      <c r="K28" s="296"/>
      <c r="O28" s="228"/>
      <c r="P28" s="228"/>
      <c r="R28" s="104" t="str">
        <v>Mixing</v>
      </c>
      <c r="Y28" s="1"/>
      <c r="Z28" s="1"/>
      <c r="AG28" s="104" t="str">
        <v>mixing</v>
      </c>
    </row>
    <row r="29" spans="1:48">
      <c r="A29" s="101" t="s">
        <v>474</v>
      </c>
      <c r="B29" s="115" t="s">
        <v>765</v>
      </c>
      <c r="C29" s="1">
        <f>_xlfn.IFNA(VLOOKUP(B29,[3]!Cerium_precursor_table[#Data],2,FALSE),0)</f>
        <v>0</v>
      </c>
      <c r="D29" s="115">
        <v>6</v>
      </c>
      <c r="E29" s="290" t="str">
        <f>_xlfn.IFNA(VLOOKUP(B29,[3]!Cerium_precursor_table[#Data],9,FALSE),0)</f>
        <v>CeO2</v>
      </c>
      <c r="F29" s="290">
        <f>_xlfn.IFNA(VLOOKUP(B29,[3]!Cerium_precursor_table[#Data],11,FALSE),0)</f>
        <v>0</v>
      </c>
      <c r="G29" s="297">
        <f>IFERROR(ROUND(D29*(VLOOKUP(B29,[3]!Cerium_precursor_table[#Data],10,FALSE)*F29)/(VLOOKUP(B29,[3]!Cerium_precursor_table[#Data],7,FALSE)),2),0)</f>
        <v>0</v>
      </c>
      <c r="H29" s="292"/>
      <c r="I29" s="290"/>
      <c r="J29" s="290"/>
      <c r="K29" s="290"/>
      <c r="Z29" s="136"/>
      <c r="AG29" s="1" t="str">
        <v>Outgassing</v>
      </c>
    </row>
    <row r="30" spans="1:48">
      <c r="A30" s="101" t="s">
        <v>475</v>
      </c>
      <c r="B30" s="115" t="s">
        <v>1182</v>
      </c>
      <c r="C30" s="1">
        <f>_xlfn.IFNA(VLOOKUP(B30,[3]!Cerium_precursor_table[#Data],2,FALSE),0)</f>
        <v>0</v>
      </c>
      <c r="D30" s="115">
        <v>3.3</v>
      </c>
      <c r="E30" s="290">
        <f>_xlfn.IFNA(VLOOKUP(B30,[3]!Cerium_precursor_table[#Data],9,FALSE),0)</f>
        <v>0</v>
      </c>
      <c r="F30" s="290">
        <f>_xlfn.IFNA(VLOOKUP(B30,[3]!Cerium_precursor_table[#Data],11,FALSE),0)</f>
        <v>0</v>
      </c>
      <c r="G30" s="297">
        <f>IFERROR(ROUND(D30*(VLOOKUP(B30,[3]!Cerium_precursor_table[#Data],10,FALSE)*F30)/(VLOOKUP(B30,[3]!Cerium_precursor_table[#Data],7,FALSE)),2),0)</f>
        <v>0</v>
      </c>
      <c r="H30" s="292"/>
      <c r="I30" s="290"/>
      <c r="J30" s="290"/>
      <c r="K30" s="290"/>
      <c r="Y30" s="51" t="s">
        <v>650</v>
      </c>
      <c r="Z30" s="139">
        <v>2</v>
      </c>
      <c r="AG30" s="1" t="str">
        <v>sintering</v>
      </c>
    </row>
    <row r="31" spans="1:48">
      <c r="A31" s="101"/>
      <c r="B31" s="105"/>
      <c r="E31" s="290"/>
      <c r="F31" s="290"/>
      <c r="G31" s="290"/>
      <c r="H31" s="292"/>
      <c r="I31" s="290"/>
      <c r="J31" s="290"/>
      <c r="K31" s="290"/>
      <c r="Y31" s="51" t="s">
        <v>651</v>
      </c>
      <c r="Z31" s="138">
        <f>ROUND(Z21*Z23,2)</f>
        <v>1.8</v>
      </c>
      <c r="AG31" s="1" t="str">
        <v>Sonication</v>
      </c>
    </row>
    <row r="32" spans="1:48">
      <c r="A32" s="101"/>
      <c r="B32" s="105"/>
      <c r="E32" s="290"/>
      <c r="F32" s="290"/>
      <c r="G32" s="290"/>
      <c r="H32" s="292"/>
      <c r="I32" s="290"/>
      <c r="J32" s="290"/>
      <c r="K32" s="290"/>
      <c r="Y32" s="1" t="s">
        <v>649</v>
      </c>
      <c r="Z32" s="150">
        <f>ROUND(Z26*Z30,2)</f>
        <v>3.12</v>
      </c>
      <c r="AG32" s="1" t="str">
        <v>Sonochemical Method</v>
      </c>
    </row>
    <row r="33" spans="1:53">
      <c r="A33" s="101"/>
      <c r="B33" s="105"/>
      <c r="E33" s="290"/>
      <c r="F33" s="290"/>
      <c r="G33" s="290"/>
      <c r="H33" s="292"/>
      <c r="I33" s="290"/>
      <c r="J33" s="290"/>
      <c r="K33" s="290"/>
      <c r="AG33" s="1" t="str">
        <v>Stirring</v>
      </c>
    </row>
    <row r="34" spans="1:53">
      <c r="A34" s="101"/>
      <c r="B34" s="105"/>
      <c r="E34" s="290"/>
      <c r="F34" s="290"/>
      <c r="G34" s="290"/>
      <c r="H34" s="292"/>
      <c r="I34" s="290"/>
      <c r="J34" s="290"/>
      <c r="K34" s="290"/>
      <c r="Y34" s="140" t="s">
        <v>588</v>
      </c>
      <c r="AG34" s="1" t="str">
        <v>Washing</v>
      </c>
    </row>
    <row r="35" spans="1:53">
      <c r="A35" s="101"/>
      <c r="B35" s="105"/>
      <c r="E35" s="290"/>
      <c r="F35" s="290"/>
      <c r="G35" s="290"/>
      <c r="H35" s="292"/>
      <c r="I35" s="290"/>
      <c r="J35" s="290"/>
      <c r="K35" s="290"/>
      <c r="Y35" s="141" t="s">
        <v>589</v>
      </c>
    </row>
    <row r="36" spans="1:53">
      <c r="A36" s="101"/>
      <c r="B36" s="105"/>
      <c r="E36" s="290"/>
      <c r="F36" s="290"/>
      <c r="G36" s="290"/>
      <c r="H36" s="292"/>
      <c r="I36" s="290"/>
      <c r="J36" s="290"/>
      <c r="K36" s="290"/>
    </row>
    <row r="37" spans="1:53">
      <c r="A37" s="101"/>
      <c r="C37" s="101" t="s">
        <v>476</v>
      </c>
    </row>
    <row r="38" spans="1:53">
      <c r="A38" s="101" t="s">
        <v>477</v>
      </c>
      <c r="B38" s="115"/>
      <c r="C38" s="115"/>
    </row>
    <row r="39" spans="1:53">
      <c r="A39" s="101" t="s">
        <v>478</v>
      </c>
      <c r="B39" s="115"/>
      <c r="C39" s="115"/>
    </row>
    <row r="40" spans="1:53" ht="23" customHeight="1">
      <c r="A40" s="101"/>
    </row>
    <row r="41" spans="1:53">
      <c r="A41" s="101"/>
    </row>
    <row r="42" spans="1:53">
      <c r="A42" s="101"/>
    </row>
    <row r="43" spans="1:53">
      <c r="A43" s="101"/>
    </row>
    <row r="44" spans="1:53" ht="31" customHeight="1">
      <c r="A44" s="101"/>
      <c r="R44" s="154" t="s">
        <v>115</v>
      </c>
      <c r="S44" s="154" t="s">
        <v>98</v>
      </c>
      <c r="T44" s="154" t="s">
        <v>99</v>
      </c>
      <c r="U44" s="155" t="s">
        <v>100</v>
      </c>
      <c r="V44" s="156" t="s">
        <v>46</v>
      </c>
      <c r="W44" s="157" t="s">
        <v>47</v>
      </c>
      <c r="X44" s="154" t="s">
        <v>48</v>
      </c>
      <c r="Y44" s="154" t="s">
        <v>154</v>
      </c>
      <c r="Z44" s="154" t="s">
        <v>159</v>
      </c>
      <c r="AA44" s="154" t="s">
        <v>160</v>
      </c>
      <c r="AB44" s="158" t="s">
        <v>587</v>
      </c>
      <c r="AC44" s="154" t="s">
        <v>67</v>
      </c>
      <c r="AD44" s="154" t="s">
        <v>45</v>
      </c>
      <c r="AE44" s="154" t="s">
        <v>101</v>
      </c>
      <c r="AM44" s="154" t="s">
        <v>115</v>
      </c>
      <c r="AN44" s="154" t="s">
        <v>98</v>
      </c>
      <c r="AO44" s="154" t="s">
        <v>99</v>
      </c>
      <c r="AP44" s="155" t="s">
        <v>100</v>
      </c>
      <c r="AQ44" s="156" t="s">
        <v>46</v>
      </c>
      <c r="AR44" s="157" t="s">
        <v>47</v>
      </c>
      <c r="AS44" s="154" t="s">
        <v>1131</v>
      </c>
      <c r="AT44" s="154" t="s">
        <v>154</v>
      </c>
      <c r="AU44" s="154" t="s">
        <v>159</v>
      </c>
      <c r="AV44" s="154" t="s">
        <v>160</v>
      </c>
      <c r="AW44" s="158" t="s">
        <v>587</v>
      </c>
      <c r="AX44" s="154" t="s">
        <v>67</v>
      </c>
      <c r="AY44" s="154" t="s">
        <v>45</v>
      </c>
      <c r="AZ44" s="154" t="s">
        <v>101</v>
      </c>
    </row>
    <row r="45" spans="1:53" ht="23" customHeight="1">
      <c r="A45" s="101"/>
      <c r="R45" s="159" t="str" cm="1">
        <f t="array" ref="R45:AF68">_xlfn._xlws.FILTER([3]!Equipment_Database[#All],[3]!Equipment_Database[[#All],[Tool Used for process]]=Z19)</f>
        <v>Calcination</v>
      </c>
      <c r="S45" s="1">
        <v>6</v>
      </c>
      <c r="T45" s="1">
        <v>6</v>
      </c>
      <c r="U45" s="1">
        <v>6</v>
      </c>
      <c r="V45" s="1">
        <v>3.5396136000000005</v>
      </c>
      <c r="W45" s="1">
        <v>1200</v>
      </c>
      <c r="X45" s="1">
        <v>2</v>
      </c>
      <c r="Y45" s="1">
        <v>0</v>
      </c>
      <c r="Z45" s="1">
        <v>0</v>
      </c>
      <c r="AA45" s="1">
        <v>0</v>
      </c>
      <c r="AB45" s="1">
        <v>2.8316908800000005</v>
      </c>
      <c r="AC45" s="1" t="str">
        <v>SentroTech</v>
      </c>
      <c r="AD45" s="1" t="str">
        <v>ST-1200°C-666</v>
      </c>
      <c r="AE45" s="1">
        <v>0.70629178280928728</v>
      </c>
      <c r="AF45" s="1">
        <v>0</v>
      </c>
      <c r="AM45" s="151" t="str" cm="1">
        <f t="array" ref="AM45:BA89">_xlfn._xlws.FILTER([3]!Process_time_database[#All],[3]!Process_time_database[[#All],[Process Name]]=Z19)</f>
        <v>Calcination</v>
      </c>
      <c r="AN45" s="1" t="str">
        <v>Cerium(III) carbonate</v>
      </c>
      <c r="AO45" s="1">
        <v>0</v>
      </c>
      <c r="AP45" s="1">
        <v>0</v>
      </c>
      <c r="AQ45" s="1" t="str">
        <v>calcined</v>
      </c>
      <c r="AR45" s="1">
        <v>650</v>
      </c>
      <c r="AS45" s="1">
        <v>0</v>
      </c>
      <c r="AT45" s="1">
        <v>0</v>
      </c>
      <c r="AU45" s="1">
        <v>0</v>
      </c>
      <c r="AV45" s="1">
        <v>0</v>
      </c>
      <c r="AW45" s="1">
        <v>0</v>
      </c>
      <c r="AX45" s="1">
        <v>0</v>
      </c>
      <c r="AY45" s="1">
        <v>0</v>
      </c>
      <c r="AZ45" s="1">
        <v>0</v>
      </c>
      <c r="BA45" s="1" t="str">
        <v>10.1143/JJAP.46.7671</v>
      </c>
    </row>
    <row r="46" spans="1:53" ht="14" customHeight="1">
      <c r="A46" s="101"/>
      <c r="R46" s="1" t="str">
        <v>Calcination</v>
      </c>
      <c r="S46" s="1">
        <v>6</v>
      </c>
      <c r="T46" s="1">
        <v>6</v>
      </c>
      <c r="U46" s="1">
        <v>8</v>
      </c>
      <c r="V46" s="1">
        <v>4.7194848</v>
      </c>
      <c r="W46" s="1">
        <v>1200</v>
      </c>
      <c r="X46" s="1">
        <v>3</v>
      </c>
      <c r="Y46" s="1">
        <v>0</v>
      </c>
      <c r="Z46" s="1">
        <v>0</v>
      </c>
      <c r="AA46" s="1">
        <v>0</v>
      </c>
      <c r="AB46" s="1">
        <v>3.77558784</v>
      </c>
      <c r="AC46" s="1" t="str">
        <v>SentroTech</v>
      </c>
      <c r="AD46" s="1" t="str">
        <v>ST-1200°C-668</v>
      </c>
      <c r="AE46" s="1">
        <v>0.79457825566044837</v>
      </c>
      <c r="AF46" s="1">
        <v>0</v>
      </c>
      <c r="AM46" s="1" t="str">
        <v>Calcination</v>
      </c>
      <c r="AN46" s="1" t="str">
        <v>Cerium(III) carbonate</v>
      </c>
      <c r="AO46" s="1">
        <v>0</v>
      </c>
      <c r="AP46" s="1">
        <v>0</v>
      </c>
      <c r="AQ46" s="1" t="str">
        <v>calcined</v>
      </c>
      <c r="AR46" s="1">
        <v>680</v>
      </c>
      <c r="AS46" s="1">
        <v>0</v>
      </c>
      <c r="AT46" s="1">
        <v>0</v>
      </c>
      <c r="AU46" s="1">
        <v>0</v>
      </c>
      <c r="AV46" s="1">
        <v>0</v>
      </c>
      <c r="AW46" s="1">
        <v>0</v>
      </c>
      <c r="AX46" s="1">
        <v>0</v>
      </c>
      <c r="AY46" s="1">
        <v>0</v>
      </c>
      <c r="AZ46" s="1">
        <v>0</v>
      </c>
      <c r="BA46" s="1" t="str">
        <v>10.1143/JJAP.46.7671</v>
      </c>
    </row>
    <row r="47" spans="1:53" s="107" customFormat="1" ht="42">
      <c r="A47" s="112"/>
      <c r="B47" s="103" t="s">
        <v>611</v>
      </c>
      <c r="C47" s="103" t="s">
        <v>479</v>
      </c>
      <c r="D47" s="114" t="s">
        <v>610</v>
      </c>
      <c r="E47" s="113" t="s">
        <v>603</v>
      </c>
      <c r="F47" s="106"/>
      <c r="O47" s="229"/>
      <c r="P47" s="229"/>
      <c r="R47" s="107" t="str">
        <v>Calcination</v>
      </c>
      <c r="S47" s="107">
        <v>6</v>
      </c>
      <c r="T47" s="107">
        <v>7</v>
      </c>
      <c r="U47" s="107">
        <v>8</v>
      </c>
      <c r="V47" s="107">
        <v>5.5060656000000003</v>
      </c>
      <c r="W47" s="107">
        <v>1200</v>
      </c>
      <c r="X47" s="107">
        <v>3</v>
      </c>
      <c r="Y47" s="107">
        <v>0</v>
      </c>
      <c r="Z47" s="107">
        <v>0</v>
      </c>
      <c r="AA47" s="107">
        <v>0</v>
      </c>
      <c r="AB47" s="107">
        <v>4.4048524800000006</v>
      </c>
      <c r="AC47" s="107" t="str">
        <v>SentroTech</v>
      </c>
      <c r="AD47" s="107" t="str">
        <v>ST-1200°C-678</v>
      </c>
      <c r="AE47" s="107">
        <v>0.68106707628038421</v>
      </c>
      <c r="AF47" s="107">
        <v>0</v>
      </c>
      <c r="AM47" s="107" t="str">
        <v>Calcination</v>
      </c>
      <c r="AN47" s="107" t="str">
        <v>Cerium(III) carbonate</v>
      </c>
      <c r="AO47" s="107">
        <v>0</v>
      </c>
      <c r="AP47" s="107">
        <v>0</v>
      </c>
      <c r="AQ47" s="107" t="str">
        <v>calcined</v>
      </c>
      <c r="AR47" s="107">
        <v>550</v>
      </c>
      <c r="AS47" s="107">
        <v>0</v>
      </c>
      <c r="AT47" s="107">
        <v>0</v>
      </c>
      <c r="AU47" s="107">
        <v>0</v>
      </c>
      <c r="AV47" s="107">
        <v>0</v>
      </c>
      <c r="AW47" s="107">
        <v>0</v>
      </c>
      <c r="AX47" s="107">
        <v>0</v>
      </c>
      <c r="AY47" s="107">
        <v>0</v>
      </c>
      <c r="AZ47" s="107">
        <v>0</v>
      </c>
      <c r="BA47" s="107" t="str">
        <v>10.1143/JJAP.46.7671</v>
      </c>
    </row>
    <row r="48" spans="1:53">
      <c r="A48" s="101" t="s">
        <v>528</v>
      </c>
      <c r="B48" s="115"/>
      <c r="C48" s="115"/>
      <c r="D48" s="108"/>
      <c r="E48" s="108"/>
      <c r="F48" s="108"/>
      <c r="G48" s="108"/>
      <c r="R48" s="1" t="str">
        <v>Calcination</v>
      </c>
      <c r="S48" s="1">
        <v>7</v>
      </c>
      <c r="T48" s="1">
        <v>8</v>
      </c>
      <c r="U48" s="1">
        <v>12</v>
      </c>
      <c r="V48" s="1">
        <v>11.012131200000001</v>
      </c>
      <c r="W48" s="1">
        <v>1200</v>
      </c>
      <c r="X48" s="1">
        <v>4</v>
      </c>
      <c r="Y48" s="1">
        <v>0</v>
      </c>
      <c r="Z48" s="1">
        <v>0</v>
      </c>
      <c r="AA48" s="1">
        <v>0</v>
      </c>
      <c r="AB48" s="1">
        <v>8.8097049600000013</v>
      </c>
      <c r="AC48" s="1" t="str">
        <v>SentroTech</v>
      </c>
      <c r="AD48" s="1" t="str">
        <v>ST-1200°C-7812</v>
      </c>
      <c r="AE48" s="1">
        <v>0.45404471752025616</v>
      </c>
      <c r="AF48" s="1">
        <v>0</v>
      </c>
      <c r="AM48" s="1" t="str">
        <v>Calcination</v>
      </c>
      <c r="AN48" s="1" t="str">
        <v>Cerium(III) carbonate</v>
      </c>
      <c r="AO48" s="1">
        <v>0</v>
      </c>
      <c r="AP48" s="1">
        <v>0</v>
      </c>
      <c r="AQ48" s="1" t="str">
        <v>calcined</v>
      </c>
      <c r="AR48" s="1">
        <v>580</v>
      </c>
      <c r="AS48" s="1">
        <v>0</v>
      </c>
      <c r="AT48" s="1">
        <v>0</v>
      </c>
      <c r="AU48" s="1">
        <v>0</v>
      </c>
      <c r="AV48" s="1">
        <v>0</v>
      </c>
      <c r="AW48" s="1">
        <v>0</v>
      </c>
      <c r="AX48" s="1">
        <v>0</v>
      </c>
      <c r="AY48" s="1">
        <v>0</v>
      </c>
      <c r="AZ48" s="1">
        <v>0</v>
      </c>
      <c r="BA48" s="1" t="str">
        <v>10.1143/JJAP.46.7671</v>
      </c>
    </row>
    <row r="49" spans="1:53">
      <c r="A49" s="101" t="s">
        <v>540</v>
      </c>
      <c r="B49" s="115"/>
      <c r="C49" s="115"/>
      <c r="D49" s="108"/>
      <c r="E49" s="108"/>
      <c r="F49" s="108"/>
      <c r="G49" s="108"/>
      <c r="R49" s="1" t="str">
        <v>Calcination</v>
      </c>
      <c r="S49" s="1">
        <v>10</v>
      </c>
      <c r="T49" s="1">
        <v>10</v>
      </c>
      <c r="U49" s="1">
        <v>16</v>
      </c>
      <c r="V49" s="1">
        <v>26.219360000000002</v>
      </c>
      <c r="W49" s="1">
        <v>1200</v>
      </c>
      <c r="X49" s="1">
        <v>7</v>
      </c>
      <c r="Y49" s="1">
        <v>0</v>
      </c>
      <c r="Z49" s="1">
        <v>0</v>
      </c>
      <c r="AA49" s="1">
        <v>0</v>
      </c>
      <c r="AB49" s="1">
        <v>20.975488000000002</v>
      </c>
      <c r="AC49" s="1" t="str">
        <v>SentroTech</v>
      </c>
      <c r="AD49" s="1" t="str">
        <v>ST-1200°C-101016</v>
      </c>
      <c r="AE49" s="1">
        <v>0.33372286737738827</v>
      </c>
      <c r="AF49" s="1">
        <v>0</v>
      </c>
      <c r="AM49" s="1" t="str">
        <v>Calcination</v>
      </c>
      <c r="AN49" s="1" t="str">
        <v>Cerium(III) carbonate</v>
      </c>
      <c r="AO49" s="1">
        <v>0</v>
      </c>
      <c r="AP49" s="1">
        <v>0</v>
      </c>
      <c r="AQ49" s="1" t="str">
        <v>calcined</v>
      </c>
      <c r="AR49" s="1">
        <v>400</v>
      </c>
      <c r="AS49" s="1">
        <v>4</v>
      </c>
      <c r="AT49" s="1">
        <v>0</v>
      </c>
      <c r="AU49" s="1">
        <v>0</v>
      </c>
      <c r="AV49" s="1">
        <v>0</v>
      </c>
      <c r="AW49" s="1">
        <v>0</v>
      </c>
      <c r="AX49" s="1">
        <v>0</v>
      </c>
      <c r="AY49" s="1">
        <v>0</v>
      </c>
      <c r="AZ49" s="1">
        <v>0</v>
      </c>
      <c r="BA49" s="1" t="str">
        <v>10.1143/JJAP.43.L365</v>
      </c>
    </row>
    <row r="50" spans="1:53">
      <c r="A50" s="101" t="s">
        <v>539</v>
      </c>
      <c r="B50" s="115"/>
      <c r="C50" s="115"/>
      <c r="D50" s="108"/>
      <c r="E50" s="108"/>
      <c r="F50" s="108"/>
      <c r="G50" s="108"/>
      <c r="R50" s="1" t="str">
        <v>Calcination</v>
      </c>
      <c r="S50" s="1">
        <v>12</v>
      </c>
      <c r="T50" s="1">
        <v>12</v>
      </c>
      <c r="U50" s="1">
        <v>16</v>
      </c>
      <c r="V50" s="1">
        <v>37.7558784</v>
      </c>
      <c r="W50" s="1">
        <v>1200</v>
      </c>
      <c r="X50" s="1">
        <v>8</v>
      </c>
      <c r="Y50" s="1">
        <v>0</v>
      </c>
      <c r="Z50" s="1">
        <v>0</v>
      </c>
      <c r="AA50" s="1">
        <v>0</v>
      </c>
      <c r="AB50" s="1">
        <v>30.20470272</v>
      </c>
      <c r="AC50" s="1" t="str">
        <v>SentroTech</v>
      </c>
      <c r="AD50" s="1" t="str">
        <v>ST-1200°C-121216</v>
      </c>
      <c r="AE50" s="1">
        <v>0.26485941855348277</v>
      </c>
      <c r="AF50" s="1">
        <v>0</v>
      </c>
      <c r="AM50" s="1" t="str">
        <v>Calcination</v>
      </c>
      <c r="AN50" s="1" t="str">
        <v>Cerium(III) carbonate</v>
      </c>
      <c r="AO50" s="1">
        <v>0</v>
      </c>
      <c r="AP50" s="1">
        <v>0</v>
      </c>
      <c r="AQ50" s="1" t="str">
        <v>calcined</v>
      </c>
      <c r="AR50" s="1">
        <v>700</v>
      </c>
      <c r="AS50" s="1">
        <v>4</v>
      </c>
      <c r="AT50" s="1">
        <v>0</v>
      </c>
      <c r="AU50" s="1">
        <v>0</v>
      </c>
      <c r="AV50" s="1">
        <v>0</v>
      </c>
      <c r="AW50" s="1">
        <v>0</v>
      </c>
      <c r="AX50" s="1">
        <v>0</v>
      </c>
      <c r="AY50" s="1">
        <v>0</v>
      </c>
      <c r="AZ50" s="1">
        <v>0</v>
      </c>
      <c r="BA50" s="1" t="str">
        <v>10.1143/JJAP.43.L365</v>
      </c>
    </row>
    <row r="51" spans="1:53">
      <c r="R51" s="1" t="str">
        <v>Calcination</v>
      </c>
      <c r="S51" s="1">
        <v>16</v>
      </c>
      <c r="T51" s="1">
        <v>16</v>
      </c>
      <c r="U51" s="1">
        <v>22</v>
      </c>
      <c r="V51" s="1">
        <v>92.292147200000016</v>
      </c>
      <c r="W51" s="1">
        <v>1200</v>
      </c>
      <c r="X51" s="1">
        <v>14</v>
      </c>
      <c r="Y51" s="1">
        <v>0</v>
      </c>
      <c r="Z51" s="1">
        <v>0</v>
      </c>
      <c r="AA51" s="1">
        <v>0</v>
      </c>
      <c r="AB51" s="1">
        <v>73.833717760000013</v>
      </c>
      <c r="AC51" s="1" t="str">
        <v>SentroTech</v>
      </c>
      <c r="AD51" s="1" t="str">
        <v>ST-1200°C-161622</v>
      </c>
      <c r="AE51" s="1">
        <v>0.18961526555533423</v>
      </c>
      <c r="AF51" s="1">
        <v>0</v>
      </c>
      <c r="AM51" s="1" t="str">
        <v>Calcination</v>
      </c>
      <c r="AN51" s="1" t="str">
        <v>Cerium(III) carbonate</v>
      </c>
      <c r="AO51" s="1">
        <v>0</v>
      </c>
      <c r="AP51" s="1">
        <v>0</v>
      </c>
      <c r="AQ51" s="1" t="str">
        <v>calcined</v>
      </c>
      <c r="AR51" s="1">
        <v>800</v>
      </c>
      <c r="AS51" s="1">
        <v>4</v>
      </c>
      <c r="AT51" s="1">
        <v>0</v>
      </c>
      <c r="AU51" s="1">
        <v>0</v>
      </c>
      <c r="AV51" s="1">
        <v>0</v>
      </c>
      <c r="AW51" s="1">
        <v>0</v>
      </c>
      <c r="AX51" s="1">
        <v>0</v>
      </c>
      <c r="AY51" s="1">
        <v>0</v>
      </c>
      <c r="AZ51" s="1">
        <v>0</v>
      </c>
      <c r="BA51" s="1" t="str">
        <v>10.1143/JJAP.43.L365</v>
      </c>
    </row>
    <row r="52" spans="1:53">
      <c r="R52" s="1" t="str">
        <v>Calcination</v>
      </c>
      <c r="S52" s="1">
        <v>12</v>
      </c>
      <c r="T52" s="1">
        <v>12</v>
      </c>
      <c r="U52" s="1">
        <v>12</v>
      </c>
      <c r="V52" s="1">
        <v>28.316908800000004</v>
      </c>
      <c r="W52" s="1">
        <v>1200</v>
      </c>
      <c r="X52" s="1">
        <v>6</v>
      </c>
      <c r="Y52" s="1">
        <v>0</v>
      </c>
      <c r="Z52" s="1">
        <v>0</v>
      </c>
      <c r="AA52" s="1">
        <v>0</v>
      </c>
      <c r="AB52" s="1">
        <v>22.653527040000004</v>
      </c>
      <c r="AC52" s="1" t="str">
        <v>SentroTech</v>
      </c>
      <c r="AD52" s="1" t="str">
        <v>ST-1200°C-121212</v>
      </c>
      <c r="AE52" s="1">
        <v>0.26485941855348272</v>
      </c>
      <c r="AF52" s="1">
        <v>0</v>
      </c>
      <c r="AM52" s="1" t="str">
        <v>Calcination</v>
      </c>
      <c r="AN52" s="1" t="str">
        <v>Cerium(III) carbonate</v>
      </c>
      <c r="AO52" s="1">
        <v>0</v>
      </c>
      <c r="AP52" s="1">
        <v>0</v>
      </c>
      <c r="AQ52" s="1" t="str">
        <v>calcined</v>
      </c>
      <c r="AR52" s="1">
        <v>900</v>
      </c>
      <c r="AS52" s="1">
        <v>4</v>
      </c>
      <c r="AT52" s="1">
        <v>0</v>
      </c>
      <c r="AU52" s="1">
        <v>0</v>
      </c>
      <c r="AV52" s="1">
        <v>0</v>
      </c>
      <c r="AW52" s="1">
        <v>0</v>
      </c>
      <c r="AX52" s="1">
        <v>0</v>
      </c>
      <c r="AY52" s="1">
        <v>0</v>
      </c>
      <c r="AZ52" s="1">
        <v>0</v>
      </c>
      <c r="BA52" s="1" t="str">
        <v>10.1143/JJAP.43.L365</v>
      </c>
    </row>
    <row r="53" spans="1:53">
      <c r="R53" s="1" t="str">
        <v>Calcination</v>
      </c>
      <c r="S53" s="1">
        <v>24</v>
      </c>
      <c r="T53" s="1">
        <v>24</v>
      </c>
      <c r="U53" s="1">
        <v>24</v>
      </c>
      <c r="V53" s="1">
        <v>226.53527040000003</v>
      </c>
      <c r="W53" s="1">
        <v>1200</v>
      </c>
      <c r="X53" s="1">
        <v>23</v>
      </c>
      <c r="Y53" s="1">
        <v>0</v>
      </c>
      <c r="Z53" s="1">
        <v>0</v>
      </c>
      <c r="AA53" s="1">
        <v>0</v>
      </c>
      <c r="AB53" s="1">
        <v>181.22821632000003</v>
      </c>
      <c r="AC53" s="1" t="str">
        <v>SentroTech</v>
      </c>
      <c r="AD53" s="1" t="str">
        <v>ST-1200°C-242424</v>
      </c>
      <c r="AE53" s="1">
        <v>0.12691180472354383</v>
      </c>
      <c r="AF53" s="1">
        <v>0</v>
      </c>
      <c r="AM53" s="1" t="str">
        <v>Calcination</v>
      </c>
      <c r="AN53" s="1">
        <v>0</v>
      </c>
      <c r="AO53" s="1">
        <v>0</v>
      </c>
      <c r="AP53" s="1">
        <v>0</v>
      </c>
      <c r="AQ53" s="1" t="str">
        <v>calcined</v>
      </c>
      <c r="AR53" s="1">
        <v>400</v>
      </c>
      <c r="AS53" s="1">
        <v>4</v>
      </c>
      <c r="AT53" s="1">
        <v>0</v>
      </c>
      <c r="AU53" s="1">
        <v>0</v>
      </c>
      <c r="AV53" s="1">
        <v>0</v>
      </c>
      <c r="AW53" s="1">
        <v>0</v>
      </c>
      <c r="AX53" s="1">
        <v>0</v>
      </c>
      <c r="AY53" s="1">
        <v>0</v>
      </c>
      <c r="AZ53" s="1">
        <v>0</v>
      </c>
      <c r="BA53" s="1" t="str">
        <v>10.1143/JJAP.45.4893</v>
      </c>
    </row>
    <row r="54" spans="1:53">
      <c r="R54" s="1" t="str">
        <v>Calcination</v>
      </c>
      <c r="S54" s="1">
        <v>0</v>
      </c>
      <c r="T54" s="1">
        <v>0</v>
      </c>
      <c r="U54" s="1">
        <v>0</v>
      </c>
      <c r="V54" s="1">
        <v>1.5</v>
      </c>
      <c r="W54" s="1">
        <v>1150</v>
      </c>
      <c r="X54" s="1">
        <v>1.1000000000000001</v>
      </c>
      <c r="Y54" s="1">
        <v>0</v>
      </c>
      <c r="Z54" s="1">
        <v>0</v>
      </c>
      <c r="AA54" s="1">
        <v>0</v>
      </c>
      <c r="AB54" s="1">
        <v>1.2000000000000002</v>
      </c>
      <c r="AC54" s="1" t="str">
        <v>Yamaha</v>
      </c>
      <c r="AD54" s="1" t="str">
        <v>FP104</v>
      </c>
      <c r="AE54" s="1">
        <v>0.91666666666666663</v>
      </c>
      <c r="AF54" s="1">
        <v>0</v>
      </c>
      <c r="AM54" s="1" t="str">
        <v>Calcination</v>
      </c>
      <c r="AN54" s="1">
        <v>0</v>
      </c>
      <c r="AO54" s="1">
        <v>0</v>
      </c>
      <c r="AP54" s="1">
        <v>0</v>
      </c>
      <c r="AQ54" s="1" t="str">
        <v>calcined</v>
      </c>
      <c r="AR54" s="1">
        <v>500</v>
      </c>
      <c r="AS54" s="1">
        <v>4</v>
      </c>
      <c r="AT54" s="1">
        <v>0</v>
      </c>
      <c r="AU54" s="1">
        <v>0</v>
      </c>
      <c r="AV54" s="1">
        <v>0</v>
      </c>
      <c r="AW54" s="1">
        <v>0</v>
      </c>
      <c r="AX54" s="1">
        <v>0</v>
      </c>
      <c r="AY54" s="1">
        <v>0</v>
      </c>
      <c r="AZ54" s="1">
        <v>0</v>
      </c>
      <c r="BA54" s="1" t="str">
        <v>10.1143/JJAP.45.4893</v>
      </c>
    </row>
    <row r="55" spans="1:53">
      <c r="R55" s="1" t="str">
        <v>Calcination</v>
      </c>
      <c r="S55" s="1">
        <v>0</v>
      </c>
      <c r="T55" s="1">
        <v>0</v>
      </c>
      <c r="U55" s="1">
        <v>0</v>
      </c>
      <c r="V55" s="1">
        <v>7.5</v>
      </c>
      <c r="W55" s="1">
        <v>1150</v>
      </c>
      <c r="X55" s="1">
        <v>2.4</v>
      </c>
      <c r="Y55" s="1">
        <v>0</v>
      </c>
      <c r="Z55" s="1">
        <v>0</v>
      </c>
      <c r="AA55" s="1">
        <v>0</v>
      </c>
      <c r="AB55" s="1">
        <v>6</v>
      </c>
      <c r="AC55" s="1" t="str">
        <v>Yamaha</v>
      </c>
      <c r="AD55" s="1" t="str">
        <v>FP303</v>
      </c>
      <c r="AE55" s="1">
        <v>0.39999999999999997</v>
      </c>
      <c r="AF55" s="1">
        <v>0</v>
      </c>
      <c r="AM55" s="1" t="str">
        <v>Calcination</v>
      </c>
      <c r="AN55" s="1">
        <v>0</v>
      </c>
      <c r="AO55" s="1">
        <v>0</v>
      </c>
      <c r="AP55" s="1">
        <v>0</v>
      </c>
      <c r="AQ55" s="1" t="str">
        <v>calcined</v>
      </c>
      <c r="AR55" s="1">
        <v>800</v>
      </c>
      <c r="AS55" s="1">
        <v>4</v>
      </c>
      <c r="AT55" s="1">
        <v>0</v>
      </c>
      <c r="AU55" s="1">
        <v>0</v>
      </c>
      <c r="AV55" s="1">
        <v>0</v>
      </c>
      <c r="AW55" s="1">
        <v>0</v>
      </c>
      <c r="AX55" s="1">
        <v>0</v>
      </c>
      <c r="AY55" s="1">
        <v>0</v>
      </c>
      <c r="AZ55" s="1">
        <v>0</v>
      </c>
      <c r="BA55" s="1" t="str">
        <v>10.1143/JJAP.45.4893</v>
      </c>
    </row>
    <row r="56" spans="1:53">
      <c r="R56" s="1" t="str">
        <v>Calcination</v>
      </c>
      <c r="S56" s="1">
        <v>0</v>
      </c>
      <c r="T56" s="1">
        <v>0</v>
      </c>
      <c r="U56" s="1">
        <v>0</v>
      </c>
      <c r="V56" s="1">
        <v>7.5</v>
      </c>
      <c r="W56" s="1">
        <v>1150</v>
      </c>
      <c r="X56" s="1">
        <v>2.4</v>
      </c>
      <c r="Y56" s="1">
        <v>0</v>
      </c>
      <c r="Z56" s="1">
        <v>0</v>
      </c>
      <c r="AA56" s="1">
        <v>0</v>
      </c>
      <c r="AB56" s="1">
        <v>6</v>
      </c>
      <c r="AC56" s="1" t="str">
        <v>Yamaha</v>
      </c>
      <c r="AD56" s="1" t="str">
        <v>FP313</v>
      </c>
      <c r="AE56" s="1">
        <v>0.39999999999999997</v>
      </c>
      <c r="AF56" s="1">
        <v>0</v>
      </c>
      <c r="AM56" s="1" t="str">
        <v>Calcination</v>
      </c>
      <c r="AN56" s="1">
        <v>0</v>
      </c>
      <c r="AO56" s="1">
        <v>0</v>
      </c>
      <c r="AP56" s="1">
        <v>0</v>
      </c>
      <c r="AQ56" s="1" t="str">
        <v>calcined</v>
      </c>
      <c r="AR56" s="1">
        <v>900</v>
      </c>
      <c r="AS56" s="1">
        <v>4</v>
      </c>
      <c r="AT56" s="1">
        <v>0</v>
      </c>
      <c r="AU56" s="1">
        <v>0</v>
      </c>
      <c r="AV56" s="1">
        <v>0</v>
      </c>
      <c r="AW56" s="1">
        <v>0</v>
      </c>
      <c r="AX56" s="1">
        <v>0</v>
      </c>
      <c r="AY56" s="1">
        <v>0</v>
      </c>
      <c r="AZ56" s="1">
        <v>0</v>
      </c>
      <c r="BA56" s="1" t="str">
        <v>10.1143/JJAP.45.4893</v>
      </c>
    </row>
    <row r="57" spans="1:53">
      <c r="R57" s="1" t="str">
        <v>Calcination</v>
      </c>
      <c r="S57" s="1">
        <v>0</v>
      </c>
      <c r="T57" s="1">
        <v>0</v>
      </c>
      <c r="U57" s="1">
        <v>0</v>
      </c>
      <c r="V57" s="1">
        <v>11.3</v>
      </c>
      <c r="W57" s="1">
        <v>1150</v>
      </c>
      <c r="X57" s="1">
        <v>3.25</v>
      </c>
      <c r="Y57" s="1">
        <v>0</v>
      </c>
      <c r="Z57" s="1">
        <v>0</v>
      </c>
      <c r="AA57" s="1">
        <v>0</v>
      </c>
      <c r="AB57" s="1">
        <v>9.0400000000000009</v>
      </c>
      <c r="AC57" s="1" t="str">
        <v>Yamaha</v>
      </c>
      <c r="AD57" s="1" t="str">
        <v>FP413</v>
      </c>
      <c r="AE57" s="1">
        <v>0.35951327433628316</v>
      </c>
      <c r="AF57" s="1">
        <v>0</v>
      </c>
      <c r="AM57" s="1" t="str">
        <v>Calcination</v>
      </c>
      <c r="AN57" s="1" t="str">
        <v>Cerium(III) nitrate hexahydrate</v>
      </c>
      <c r="AO57" s="1">
        <v>0</v>
      </c>
      <c r="AP57" s="1">
        <v>0</v>
      </c>
      <c r="AQ57" s="1" t="str">
        <v>calcined</v>
      </c>
      <c r="AR57" s="1">
        <v>800</v>
      </c>
      <c r="AS57" s="1">
        <v>4</v>
      </c>
      <c r="AT57" s="1">
        <v>0</v>
      </c>
      <c r="AU57" s="1">
        <v>0</v>
      </c>
      <c r="AV57" s="1">
        <v>0</v>
      </c>
      <c r="AW57" s="1">
        <v>0</v>
      </c>
      <c r="AX57" s="1">
        <v>0</v>
      </c>
      <c r="AY57" s="1">
        <v>0</v>
      </c>
      <c r="AZ57" s="1">
        <v>0</v>
      </c>
      <c r="BA57" s="1" t="str">
        <v>10.1149/1.2735923</v>
      </c>
    </row>
    <row r="58" spans="1:53">
      <c r="R58" s="1" t="str">
        <v>Calcination</v>
      </c>
      <c r="S58" s="1">
        <v>0</v>
      </c>
      <c r="T58" s="1">
        <v>0</v>
      </c>
      <c r="U58" s="1">
        <v>0</v>
      </c>
      <c r="V58" s="1">
        <v>5</v>
      </c>
      <c r="W58" s="1">
        <v>1100</v>
      </c>
      <c r="X58" s="1">
        <v>9</v>
      </c>
      <c r="Y58" s="1">
        <v>0</v>
      </c>
      <c r="Z58" s="1">
        <v>0</v>
      </c>
      <c r="AA58" s="1">
        <v>0</v>
      </c>
      <c r="AB58" s="1">
        <v>4</v>
      </c>
      <c r="AC58" s="1" t="str">
        <v>Carbolite</v>
      </c>
      <c r="AD58" s="1" t="str">
        <v>GLO 5/11-1G</v>
      </c>
      <c r="AE58" s="1">
        <v>2.25</v>
      </c>
      <c r="AF58" s="1">
        <v>0</v>
      </c>
      <c r="AM58" s="1" t="str">
        <v>Calcination</v>
      </c>
      <c r="AN58" s="1" t="str">
        <v>Cerium(III) nitrate hexahydrate</v>
      </c>
      <c r="AO58" s="1">
        <v>0</v>
      </c>
      <c r="AP58" s="1">
        <v>0</v>
      </c>
      <c r="AQ58" s="1" t="str">
        <v>calcined</v>
      </c>
      <c r="AR58" s="1">
        <v>700</v>
      </c>
      <c r="AS58" s="1">
        <v>5</v>
      </c>
      <c r="AT58" s="1">
        <v>0</v>
      </c>
      <c r="AU58" s="1">
        <v>0</v>
      </c>
      <c r="AV58" s="1">
        <v>0</v>
      </c>
      <c r="AW58" s="1">
        <v>0</v>
      </c>
      <c r="AX58" s="1">
        <v>0</v>
      </c>
      <c r="AY58" s="1">
        <v>0</v>
      </c>
      <c r="AZ58" s="1">
        <v>0</v>
      </c>
      <c r="BA58" s="1" t="str">
        <v>10.1149/1.2735923</v>
      </c>
    </row>
    <row r="59" spans="1:53">
      <c r="C59" s="289"/>
      <c r="R59" s="1" t="str">
        <v>Calcination</v>
      </c>
      <c r="S59" s="1">
        <v>0</v>
      </c>
      <c r="T59" s="1">
        <v>0</v>
      </c>
      <c r="U59" s="1">
        <v>0</v>
      </c>
      <c r="V59" s="1">
        <v>10</v>
      </c>
      <c r="W59" s="1">
        <v>1100</v>
      </c>
      <c r="X59" s="1">
        <v>14</v>
      </c>
      <c r="Y59" s="1">
        <v>0</v>
      </c>
      <c r="Z59" s="1">
        <v>0</v>
      </c>
      <c r="AA59" s="1">
        <v>0</v>
      </c>
      <c r="AB59" s="1">
        <v>8</v>
      </c>
      <c r="AC59" s="1" t="str">
        <v>Carbolite</v>
      </c>
      <c r="AD59" s="1" t="str">
        <v>GLO 10/11-1G</v>
      </c>
      <c r="AE59" s="1">
        <v>1.75</v>
      </c>
      <c r="AF59" s="1">
        <v>0</v>
      </c>
      <c r="AM59" s="1" t="str">
        <v>Calcination</v>
      </c>
      <c r="AN59" s="1" t="str">
        <v>Cerium(III) acetate hydrate</v>
      </c>
      <c r="AO59" s="1">
        <v>0</v>
      </c>
      <c r="AP59" s="1">
        <v>0</v>
      </c>
      <c r="AQ59" s="1" t="str">
        <v>calcined</v>
      </c>
      <c r="AR59" s="1">
        <v>600</v>
      </c>
      <c r="AS59" s="1">
        <v>6</v>
      </c>
      <c r="AT59" s="1">
        <v>0</v>
      </c>
      <c r="AU59" s="1">
        <v>0</v>
      </c>
      <c r="AV59" s="1">
        <v>0</v>
      </c>
      <c r="AW59" s="1">
        <v>0</v>
      </c>
      <c r="AX59" s="1">
        <v>0</v>
      </c>
      <c r="AY59" s="1">
        <v>0</v>
      </c>
      <c r="AZ59" s="1">
        <v>0</v>
      </c>
      <c r="BA59" s="1" t="str">
        <v>10.1149/1.2735923</v>
      </c>
    </row>
    <row r="60" spans="1:53" ht="25">
      <c r="A60" s="1" t="s">
        <v>614</v>
      </c>
      <c r="B60" s="111">
        <v>2</v>
      </c>
      <c r="C60" s="166">
        <f>Z23</f>
        <v>3.39</v>
      </c>
      <c r="R60" s="1" t="str">
        <v>Calcination</v>
      </c>
      <c r="S60" s="1">
        <v>0</v>
      </c>
      <c r="T60" s="1">
        <v>0</v>
      </c>
      <c r="U60" s="1">
        <v>0</v>
      </c>
      <c r="V60" s="1">
        <v>40</v>
      </c>
      <c r="W60" s="1">
        <v>1100</v>
      </c>
      <c r="X60" s="1">
        <v>25</v>
      </c>
      <c r="Y60" s="1">
        <v>0</v>
      </c>
      <c r="Z60" s="1">
        <v>0</v>
      </c>
      <c r="AA60" s="1">
        <v>0</v>
      </c>
      <c r="AB60" s="1">
        <v>32</v>
      </c>
      <c r="AC60" s="1" t="str">
        <v>Carbolite</v>
      </c>
      <c r="AD60" s="1" t="str">
        <v>GLO 40/11-1G</v>
      </c>
      <c r="AE60" s="1">
        <v>0.78125</v>
      </c>
      <c r="AF60" s="1">
        <v>0</v>
      </c>
      <c r="AM60" s="1" t="str">
        <v>Calcination</v>
      </c>
      <c r="AN60" s="1" t="str">
        <v>Cerium oxalate</v>
      </c>
      <c r="AO60" s="1">
        <v>0</v>
      </c>
      <c r="AP60" s="1">
        <v>0</v>
      </c>
      <c r="AQ60" s="1" t="str">
        <v>calcined</v>
      </c>
      <c r="AR60" s="1">
        <v>900</v>
      </c>
      <c r="AS60" s="1">
        <v>2</v>
      </c>
      <c r="AT60" s="1">
        <v>0</v>
      </c>
      <c r="AU60" s="1">
        <v>0</v>
      </c>
      <c r="AV60" s="1">
        <v>0</v>
      </c>
      <c r="AW60" s="1">
        <v>0</v>
      </c>
      <c r="AX60" s="1">
        <v>0</v>
      </c>
      <c r="AY60" s="1">
        <v>0</v>
      </c>
      <c r="AZ60" s="1">
        <v>0</v>
      </c>
      <c r="BA60" s="1" t="str">
        <v>10.1149/1.2735923</v>
      </c>
    </row>
    <row r="61" spans="1:53">
      <c r="A61" s="1" t="s">
        <v>615</v>
      </c>
      <c r="B61" s="110"/>
      <c r="R61" s="1" t="str">
        <v>Calcination</v>
      </c>
      <c r="S61" s="1">
        <v>0</v>
      </c>
      <c r="T61" s="1">
        <v>0</v>
      </c>
      <c r="U61" s="1">
        <v>0</v>
      </c>
      <c r="V61" s="1">
        <v>120</v>
      </c>
      <c r="W61" s="1">
        <v>1100</v>
      </c>
      <c r="X61" s="1">
        <v>60</v>
      </c>
      <c r="Y61" s="1">
        <v>0</v>
      </c>
      <c r="Z61" s="1">
        <v>0</v>
      </c>
      <c r="AA61" s="1">
        <v>0</v>
      </c>
      <c r="AB61" s="1">
        <v>96</v>
      </c>
      <c r="AC61" s="1" t="str">
        <v>Carbolite</v>
      </c>
      <c r="AD61" s="1" t="str">
        <v>GLO 120/11-1G</v>
      </c>
      <c r="AE61" s="1">
        <v>0.625</v>
      </c>
      <c r="AF61" s="1">
        <v>0</v>
      </c>
      <c r="AM61" s="1" t="str">
        <v>Calcination</v>
      </c>
      <c r="AN61" s="1">
        <v>0</v>
      </c>
      <c r="AO61" s="1">
        <v>0</v>
      </c>
      <c r="AP61" s="1" t="str">
        <v>kangEffectsGrainSize2004_process1</v>
      </c>
      <c r="AQ61" s="1" t="str">
        <v>calcined</v>
      </c>
      <c r="AR61" s="1">
        <v>400</v>
      </c>
      <c r="AS61" s="1">
        <v>4</v>
      </c>
      <c r="AT61" s="1" t="str">
        <v>h</v>
      </c>
      <c r="AU61" s="1">
        <v>0</v>
      </c>
      <c r="AV61" s="1">
        <v>0</v>
      </c>
      <c r="AW61" s="1">
        <v>0</v>
      </c>
      <c r="AX61" s="1">
        <v>0</v>
      </c>
      <c r="AY61" s="1">
        <v>0</v>
      </c>
      <c r="AZ61" s="1">
        <v>0</v>
      </c>
      <c r="BA61" s="1" t="str">
        <v>https://doi.org/10.1143/JJAP.43.L365</v>
      </c>
    </row>
    <row r="62" spans="1:53" ht="31" customHeight="1">
      <c r="A62" s="1" t="s">
        <v>480</v>
      </c>
      <c r="B62" s="110" t="s">
        <v>481</v>
      </c>
      <c r="R62" s="1" t="str">
        <v>Calcination</v>
      </c>
      <c r="S62" s="1">
        <v>0</v>
      </c>
      <c r="T62" s="1">
        <v>0</v>
      </c>
      <c r="U62" s="1">
        <v>0</v>
      </c>
      <c r="V62" s="1">
        <v>260</v>
      </c>
      <c r="W62" s="1">
        <v>1100</v>
      </c>
      <c r="X62" s="1">
        <v>70</v>
      </c>
      <c r="Y62" s="1">
        <v>0</v>
      </c>
      <c r="Z62" s="1">
        <v>0</v>
      </c>
      <c r="AA62" s="1">
        <v>0</v>
      </c>
      <c r="AB62" s="1">
        <v>208</v>
      </c>
      <c r="AC62" s="1" t="str">
        <v>Carbolite</v>
      </c>
      <c r="AD62" s="1" t="str">
        <v>GLO 260/11-1G</v>
      </c>
      <c r="AE62" s="1">
        <v>0.33653846153846156</v>
      </c>
      <c r="AF62" s="1">
        <v>0</v>
      </c>
      <c r="AM62" s="1" t="str">
        <v>Calcination</v>
      </c>
      <c r="AN62" s="1">
        <v>0</v>
      </c>
      <c r="AO62" s="1">
        <v>0</v>
      </c>
      <c r="AP62" s="1" t="str">
        <v>kangEffectsGrainSize2004_process2</v>
      </c>
      <c r="AQ62" s="1" t="str">
        <v>calcined</v>
      </c>
      <c r="AR62" s="1">
        <v>600</v>
      </c>
      <c r="AS62" s="1">
        <v>4</v>
      </c>
      <c r="AT62" s="1" t="str">
        <v>h</v>
      </c>
      <c r="AU62" s="1">
        <v>0</v>
      </c>
      <c r="AV62" s="1">
        <v>0</v>
      </c>
      <c r="AW62" s="1">
        <v>0</v>
      </c>
      <c r="AX62" s="1">
        <v>0</v>
      </c>
      <c r="AY62" s="1">
        <v>0</v>
      </c>
      <c r="AZ62" s="1">
        <v>0</v>
      </c>
      <c r="BA62" s="1" t="str">
        <v>https://doi.org/10.1143/JJAP.43.L365</v>
      </c>
    </row>
    <row r="63" spans="1:53">
      <c r="A63" s="1" t="s">
        <v>616</v>
      </c>
      <c r="B63" s="110"/>
      <c r="R63" s="1" t="str">
        <v>Calcination</v>
      </c>
      <c r="S63" s="1">
        <v>0</v>
      </c>
      <c r="T63" s="1">
        <v>0</v>
      </c>
      <c r="U63" s="1">
        <v>0</v>
      </c>
      <c r="V63" s="1">
        <v>400</v>
      </c>
      <c r="W63" s="1">
        <v>1100</v>
      </c>
      <c r="X63" s="1">
        <v>80</v>
      </c>
      <c r="Y63" s="1">
        <v>0</v>
      </c>
      <c r="Z63" s="1">
        <v>0</v>
      </c>
      <c r="AA63" s="1">
        <v>0</v>
      </c>
      <c r="AB63" s="1">
        <v>320</v>
      </c>
      <c r="AC63" s="1" t="str">
        <v>Carbolite</v>
      </c>
      <c r="AD63" s="1" t="str">
        <v>GLO 400/11-1G</v>
      </c>
      <c r="AE63" s="1">
        <v>0.25</v>
      </c>
      <c r="AF63" s="1">
        <v>0</v>
      </c>
      <c r="AM63" s="1" t="str">
        <v>Calcination</v>
      </c>
      <c r="AN63" s="1">
        <v>0</v>
      </c>
      <c r="AO63" s="1">
        <v>0</v>
      </c>
      <c r="AP63" s="1" t="str">
        <v>kangEffectsGrainSize2004_process3</v>
      </c>
      <c r="AQ63" s="1" t="str">
        <v>calcined</v>
      </c>
      <c r="AR63" s="1">
        <v>700</v>
      </c>
      <c r="AS63" s="1">
        <v>4</v>
      </c>
      <c r="AT63" s="1" t="str">
        <v>h</v>
      </c>
      <c r="AU63" s="1">
        <v>0</v>
      </c>
      <c r="AV63" s="1">
        <v>0</v>
      </c>
      <c r="AW63" s="1">
        <v>0</v>
      </c>
      <c r="AX63" s="1">
        <v>0</v>
      </c>
      <c r="AY63" s="1">
        <v>0</v>
      </c>
      <c r="AZ63" s="1">
        <v>0</v>
      </c>
      <c r="BA63" s="1" t="str">
        <v>https://doi.org/10.1143/JJAP.43.L365</v>
      </c>
    </row>
    <row r="64" spans="1:53">
      <c r="A64" s="1" t="s">
        <v>617</v>
      </c>
      <c r="B64" s="110"/>
      <c r="R64" s="1" t="str">
        <v>Calcination</v>
      </c>
      <c r="S64" s="1">
        <v>0</v>
      </c>
      <c r="T64" s="1">
        <v>0</v>
      </c>
      <c r="U64" s="1">
        <v>0</v>
      </c>
      <c r="V64" s="1">
        <v>550</v>
      </c>
      <c r="W64" s="1">
        <v>1100</v>
      </c>
      <c r="X64" s="1">
        <v>90</v>
      </c>
      <c r="Y64" s="1">
        <v>0</v>
      </c>
      <c r="Z64" s="1">
        <v>0</v>
      </c>
      <c r="AA64" s="1">
        <v>0</v>
      </c>
      <c r="AB64" s="1">
        <v>440</v>
      </c>
      <c r="AC64" s="1" t="str">
        <v>Carbolite</v>
      </c>
      <c r="AD64" s="1" t="str">
        <v>GLO 550/11-1G</v>
      </c>
      <c r="AE64" s="1">
        <v>0.20454545454545456</v>
      </c>
      <c r="AF64" s="1">
        <v>0</v>
      </c>
      <c r="AM64" s="1" t="str">
        <v>Calcination</v>
      </c>
      <c r="AN64" s="1">
        <v>0</v>
      </c>
      <c r="AO64" s="1">
        <v>0</v>
      </c>
      <c r="AP64" s="1" t="str">
        <v>kangEffectsGrainSize2004_process4</v>
      </c>
      <c r="AQ64" s="1" t="str">
        <v>calcined</v>
      </c>
      <c r="AR64" s="1">
        <v>800</v>
      </c>
      <c r="AS64" s="1">
        <v>4</v>
      </c>
      <c r="AT64" s="1" t="str">
        <v>h</v>
      </c>
      <c r="AU64" s="1">
        <v>0</v>
      </c>
      <c r="AV64" s="1">
        <v>0</v>
      </c>
      <c r="AW64" s="1">
        <v>0</v>
      </c>
      <c r="AX64" s="1">
        <v>0</v>
      </c>
      <c r="AY64" s="1">
        <v>0</v>
      </c>
      <c r="AZ64" s="1">
        <v>0</v>
      </c>
      <c r="BA64" s="1" t="str">
        <v>https://doi.org/10.1143/JJAP.43.L365</v>
      </c>
    </row>
    <row r="65" spans="1:53">
      <c r="R65" s="1" t="str">
        <v>Calcination</v>
      </c>
      <c r="S65" s="1">
        <v>0</v>
      </c>
      <c r="T65" s="1">
        <v>0</v>
      </c>
      <c r="U65" s="1">
        <v>0</v>
      </c>
      <c r="V65" s="1">
        <v>600</v>
      </c>
      <c r="W65" s="1">
        <v>1100</v>
      </c>
      <c r="X65" s="1">
        <v>95</v>
      </c>
      <c r="Y65" s="1">
        <v>0</v>
      </c>
      <c r="Z65" s="1">
        <v>0</v>
      </c>
      <c r="AA65" s="1">
        <v>0</v>
      </c>
      <c r="AB65" s="1">
        <v>480</v>
      </c>
      <c r="AC65" s="1" t="str">
        <v>Carbolite</v>
      </c>
      <c r="AD65" s="1" t="str">
        <v>GLO 600/11-1G</v>
      </c>
      <c r="AE65" s="1">
        <v>0.19791666666666666</v>
      </c>
      <c r="AF65" s="1">
        <v>0</v>
      </c>
      <c r="AM65" s="1" t="str">
        <v>Calcination</v>
      </c>
      <c r="AN65" s="1">
        <v>0</v>
      </c>
      <c r="AO65" s="1">
        <v>0</v>
      </c>
      <c r="AP65" s="1" t="str">
        <v>kangEffectsGrainSize2004_process5</v>
      </c>
      <c r="AQ65" s="1" t="str">
        <v>calcined</v>
      </c>
      <c r="AR65" s="1">
        <v>900</v>
      </c>
      <c r="AS65" s="1">
        <v>4</v>
      </c>
      <c r="AT65" s="1" t="str">
        <v>h</v>
      </c>
      <c r="AU65" s="1">
        <v>0</v>
      </c>
      <c r="AV65" s="1">
        <v>0</v>
      </c>
      <c r="AW65" s="1">
        <v>0</v>
      </c>
      <c r="AX65" s="1">
        <v>0</v>
      </c>
      <c r="AY65" s="1">
        <v>0</v>
      </c>
      <c r="AZ65" s="1">
        <v>0</v>
      </c>
      <c r="BA65" s="1" t="str">
        <v>https://doi.org/10.1143/JJAP.43.L365</v>
      </c>
    </row>
    <row r="66" spans="1:53">
      <c r="R66" s="1" t="str">
        <v>Calcination</v>
      </c>
      <c r="S66" s="1">
        <v>0</v>
      </c>
      <c r="T66" s="1">
        <v>0</v>
      </c>
      <c r="U66" s="1">
        <v>0</v>
      </c>
      <c r="V66" s="1">
        <v>850</v>
      </c>
      <c r="W66" s="1">
        <v>1100</v>
      </c>
      <c r="X66" s="1">
        <v>100</v>
      </c>
      <c r="Y66" s="1">
        <v>0</v>
      </c>
      <c r="Z66" s="1">
        <v>0</v>
      </c>
      <c r="AA66" s="1">
        <v>0</v>
      </c>
      <c r="AB66" s="1">
        <v>680</v>
      </c>
      <c r="AC66" s="1" t="str">
        <v>Carbolite</v>
      </c>
      <c r="AD66" s="1" t="str">
        <v>GLO 850/11-1G</v>
      </c>
      <c r="AE66" s="1">
        <v>0.14705882352941177</v>
      </c>
      <c r="AF66" s="1">
        <v>0</v>
      </c>
      <c r="AM66" s="1" t="str">
        <v>Calcination</v>
      </c>
      <c r="AN66" s="1">
        <v>0</v>
      </c>
      <c r="AO66" s="1">
        <v>0</v>
      </c>
      <c r="AP66" s="1" t="str">
        <v>kangEffectsGrainSize2004_process6</v>
      </c>
      <c r="AQ66" s="1" t="str">
        <v>calcined</v>
      </c>
      <c r="AR66" s="1">
        <v>900</v>
      </c>
      <c r="AS66" s="1">
        <v>4</v>
      </c>
      <c r="AT66" s="1" t="str">
        <v>h</v>
      </c>
      <c r="AU66" s="1">
        <v>0</v>
      </c>
      <c r="AV66" s="1">
        <v>0</v>
      </c>
      <c r="AW66" s="1">
        <v>0</v>
      </c>
      <c r="AX66" s="1">
        <v>0</v>
      </c>
      <c r="AY66" s="1">
        <v>0</v>
      </c>
      <c r="AZ66" s="1">
        <v>0</v>
      </c>
      <c r="BA66" s="1" t="str">
        <v>https://doi.org/10.1143/JJAP.43.L365</v>
      </c>
    </row>
    <row r="67" spans="1:53">
      <c r="R67" s="1" t="str">
        <v>Calcination</v>
      </c>
      <c r="S67" s="1">
        <v>0</v>
      </c>
      <c r="T67" s="1">
        <v>0</v>
      </c>
      <c r="U67" s="1">
        <v>0</v>
      </c>
      <c r="V67" s="1">
        <v>950</v>
      </c>
      <c r="W67" s="1">
        <v>1100</v>
      </c>
      <c r="X67" s="1">
        <v>110</v>
      </c>
      <c r="Y67" s="1">
        <v>0</v>
      </c>
      <c r="Z67" s="1">
        <v>0</v>
      </c>
      <c r="AA67" s="1">
        <v>0</v>
      </c>
      <c r="AB67" s="1">
        <v>760</v>
      </c>
      <c r="AC67" s="1" t="str">
        <v>Carbolite</v>
      </c>
      <c r="AD67" s="1" t="str">
        <v>GLO 950/11-1G</v>
      </c>
      <c r="AE67" s="1">
        <v>0.14473684210526316</v>
      </c>
      <c r="AF67" s="1">
        <v>0</v>
      </c>
      <c r="AM67" s="1" t="str">
        <v>Calcination</v>
      </c>
      <c r="AN67" s="1">
        <v>0</v>
      </c>
      <c r="AO67" s="1">
        <v>0</v>
      </c>
      <c r="AP67" s="1" t="str">
        <v>kangEffectsGrainSize2004_process7</v>
      </c>
      <c r="AQ67" s="1" t="str">
        <v>calcined</v>
      </c>
      <c r="AR67" s="1">
        <v>900</v>
      </c>
      <c r="AS67" s="1">
        <v>4</v>
      </c>
      <c r="AT67" s="1" t="str">
        <v>h</v>
      </c>
      <c r="AU67" s="1">
        <v>0</v>
      </c>
      <c r="AV67" s="1">
        <v>0</v>
      </c>
      <c r="AW67" s="1">
        <v>0</v>
      </c>
      <c r="AX67" s="1">
        <v>0</v>
      </c>
      <c r="AY67" s="1">
        <v>0</v>
      </c>
      <c r="AZ67" s="1">
        <v>0</v>
      </c>
      <c r="BA67" s="1" t="str">
        <v>https://doi.org/10.1143/JJAP.43.L365</v>
      </c>
    </row>
    <row r="68" spans="1:53">
      <c r="R68" s="1" t="str">
        <v>Calcination</v>
      </c>
      <c r="S68" s="1">
        <v>0</v>
      </c>
      <c r="T68" s="1">
        <v>0</v>
      </c>
      <c r="U68" s="1">
        <v>0</v>
      </c>
      <c r="V68" s="1">
        <v>1300</v>
      </c>
      <c r="W68" s="1">
        <v>1100</v>
      </c>
      <c r="X68" s="1">
        <v>120</v>
      </c>
      <c r="Y68" s="1">
        <v>0</v>
      </c>
      <c r="Z68" s="1">
        <v>0</v>
      </c>
      <c r="AA68" s="1">
        <v>0</v>
      </c>
      <c r="AB68" s="1">
        <v>1040</v>
      </c>
      <c r="AC68" s="1" t="str">
        <v>Carbolite</v>
      </c>
      <c r="AD68" s="1" t="str">
        <v>GLO 1300/11-1G</v>
      </c>
      <c r="AE68" s="1">
        <v>0.11538461538461539</v>
      </c>
      <c r="AF68" s="1">
        <v>0</v>
      </c>
      <c r="AM68" s="1" t="str">
        <v>Calcination</v>
      </c>
      <c r="AN68" s="1">
        <v>0</v>
      </c>
      <c r="AO68" s="1">
        <v>0</v>
      </c>
      <c r="AP68" s="1" t="str">
        <v>kangEffectsGrainSize2004_process8</v>
      </c>
      <c r="AQ68" s="1" t="str">
        <v>calcined</v>
      </c>
      <c r="AR68" s="1">
        <v>900</v>
      </c>
      <c r="AS68" s="1">
        <v>4</v>
      </c>
      <c r="AT68" s="1" t="str">
        <v>h</v>
      </c>
      <c r="AU68" s="1">
        <v>0</v>
      </c>
      <c r="AV68" s="1">
        <v>0</v>
      </c>
      <c r="AW68" s="1">
        <v>0</v>
      </c>
      <c r="AX68" s="1">
        <v>0</v>
      </c>
      <c r="AY68" s="1">
        <v>0</v>
      </c>
      <c r="AZ68" s="1">
        <v>0</v>
      </c>
      <c r="BA68" s="1" t="str">
        <v>https://doi.org/10.1143/JJAP.43.L365</v>
      </c>
    </row>
    <row r="69" spans="1:53">
      <c r="AM69" s="1" t="str">
        <v>Calcination</v>
      </c>
      <c r="AN69" s="1">
        <v>0</v>
      </c>
      <c r="AO69" s="1">
        <v>0</v>
      </c>
      <c r="AP69" s="1" t="str">
        <v>kangEffectsGrainSize2004_process9</v>
      </c>
      <c r="AQ69" s="1" t="str">
        <v>calcined</v>
      </c>
      <c r="AR69" s="1">
        <v>900</v>
      </c>
      <c r="AS69" s="1">
        <v>4</v>
      </c>
      <c r="AT69" s="1" t="str">
        <v>h</v>
      </c>
      <c r="AU69" s="1">
        <v>0</v>
      </c>
      <c r="AV69" s="1">
        <v>0</v>
      </c>
      <c r="AW69" s="1">
        <v>0</v>
      </c>
      <c r="AX69" s="1">
        <v>0</v>
      </c>
      <c r="AY69" s="1">
        <v>0</v>
      </c>
      <c r="AZ69" s="1">
        <v>0</v>
      </c>
      <c r="BA69" s="1" t="str">
        <v>https://doi.org/10.1143/JJAP.43.L365</v>
      </c>
    </row>
    <row r="70" spans="1:53">
      <c r="B70" s="1" t="s">
        <v>620</v>
      </c>
      <c r="C70" s="1" t="s">
        <v>619</v>
      </c>
      <c r="D70" s="1" t="s">
        <v>2</v>
      </c>
      <c r="AM70" s="1" t="str">
        <v>Calcination</v>
      </c>
      <c r="AN70" s="1">
        <v>0</v>
      </c>
      <c r="AO70" s="1">
        <v>0</v>
      </c>
      <c r="AP70" s="1" t="str">
        <v>kimEffectCalcinationProcess2006_sampleA</v>
      </c>
      <c r="AQ70" s="1" t="str">
        <v>calcined</v>
      </c>
      <c r="AR70" s="1">
        <v>700</v>
      </c>
      <c r="AS70" s="1">
        <v>4</v>
      </c>
      <c r="AT70" s="1" t="str">
        <v>h</v>
      </c>
      <c r="AU70" s="1">
        <v>0</v>
      </c>
      <c r="AV70" s="1">
        <v>0</v>
      </c>
      <c r="AW70" s="1">
        <v>0</v>
      </c>
      <c r="AX70" s="1" t="str">
        <v>air jet mill</v>
      </c>
      <c r="AY70" s="1">
        <v>0</v>
      </c>
      <c r="AZ70" s="1">
        <v>0</v>
      </c>
      <c r="BA70" s="1" t="str">
        <v>https://doi.org/10.1143/JJAP.45.4893</v>
      </c>
    </row>
    <row r="71" spans="1:53">
      <c r="A71" s="1" t="s">
        <v>482</v>
      </c>
      <c r="B71" s="115"/>
      <c r="C71" s="115"/>
      <c r="D71" s="123">
        <f>E71</f>
        <v>0.53</v>
      </c>
      <c r="E71" s="1">
        <f>Z21</f>
        <v>0.53</v>
      </c>
      <c r="AM71" s="1" t="str">
        <v>Calcination</v>
      </c>
      <c r="AN71" s="1">
        <v>0</v>
      </c>
      <c r="AO71" s="1">
        <v>0</v>
      </c>
      <c r="AP71" s="1" t="str">
        <v>kimEffectCalcinationProcess2006_sampleB</v>
      </c>
      <c r="AQ71" s="1" t="str">
        <v>calcined</v>
      </c>
      <c r="AR71" s="1">
        <v>650</v>
      </c>
      <c r="AS71" s="1">
        <v>4</v>
      </c>
      <c r="AT71" s="1" t="str">
        <v>h</v>
      </c>
      <c r="AU71" s="1">
        <v>0</v>
      </c>
      <c r="AV71" s="1">
        <v>0</v>
      </c>
      <c r="AW71" s="1">
        <v>0</v>
      </c>
      <c r="AX71" s="1" t="str">
        <v>air jet mill</v>
      </c>
      <c r="AY71" s="1">
        <v>0</v>
      </c>
      <c r="AZ71" s="1">
        <v>0</v>
      </c>
      <c r="BA71" s="1" t="str">
        <v>https://doi.org/10.1143/JJAP.45.4893</v>
      </c>
    </row>
    <row r="72" spans="1:53">
      <c r="A72" s="1" t="s">
        <v>1175</v>
      </c>
      <c r="B72" s="115"/>
      <c r="C72" s="115"/>
      <c r="D72" s="115"/>
      <c r="AM72" s="1" t="str">
        <v>Calcination</v>
      </c>
      <c r="AN72" s="1">
        <v>0</v>
      </c>
      <c r="AO72" s="1">
        <v>0</v>
      </c>
      <c r="AP72" s="1" t="str">
        <v>kimEffectCalcinationProcess2006_sampleB</v>
      </c>
      <c r="AQ72" s="1" t="str">
        <v>calcined</v>
      </c>
      <c r="AR72" s="1">
        <v>650</v>
      </c>
      <c r="AS72" s="1">
        <v>4</v>
      </c>
      <c r="AT72" s="1" t="str">
        <v>h</v>
      </c>
      <c r="AU72" s="1">
        <v>0</v>
      </c>
      <c r="AV72" s="1">
        <v>0</v>
      </c>
      <c r="AW72" s="1">
        <v>0</v>
      </c>
      <c r="AX72" s="1" t="str">
        <v>air jet mill</v>
      </c>
      <c r="AY72" s="1">
        <v>0</v>
      </c>
      <c r="AZ72" s="1">
        <v>0</v>
      </c>
      <c r="BA72" s="1" t="str">
        <v>https://doi.org/10.1143/JJAP.45.4893</v>
      </c>
    </row>
    <row r="73" spans="1:53">
      <c r="A73" s="1" t="s">
        <v>613</v>
      </c>
      <c r="B73" s="115"/>
      <c r="C73" s="115"/>
      <c r="D73" s="115"/>
      <c r="AM73" s="1" t="str">
        <v>Calcination</v>
      </c>
      <c r="AN73" s="1">
        <v>0</v>
      </c>
      <c r="AO73" s="1">
        <v>0</v>
      </c>
      <c r="AP73" s="1" t="str">
        <v>kimInfluenceCrystallineStructure2007_A</v>
      </c>
      <c r="AQ73" s="1" t="str">
        <v>calcined</v>
      </c>
      <c r="AR73" s="1">
        <v>650</v>
      </c>
      <c r="AS73" s="1">
        <v>4</v>
      </c>
      <c r="AT73" s="1" t="str">
        <v>h</v>
      </c>
      <c r="AU73" s="1">
        <v>0</v>
      </c>
      <c r="AV73" s="1">
        <v>0</v>
      </c>
      <c r="AW73" s="1">
        <v>0</v>
      </c>
      <c r="AX73" s="1">
        <v>0</v>
      </c>
      <c r="AY73" s="1">
        <v>0</v>
      </c>
      <c r="AZ73" s="1" t="str">
        <v>Air flow of 35 m_/h</v>
      </c>
      <c r="BA73" s="1" t="str">
        <v>10.1149/1.2735923</v>
      </c>
    </row>
    <row r="74" spans="1:53">
      <c r="A74" s="1" t="s">
        <v>625</v>
      </c>
      <c r="B74" s="116"/>
      <c r="C74" s="116"/>
      <c r="D74" s="120">
        <f>Z21</f>
        <v>0.53</v>
      </c>
      <c r="AM74" s="1" t="str">
        <v>Calcination</v>
      </c>
      <c r="AN74" s="1">
        <v>0</v>
      </c>
      <c r="AO74" s="1">
        <v>0</v>
      </c>
      <c r="AP74" s="1" t="str">
        <v>kimInfluenceCrystallineStructure2007_B</v>
      </c>
      <c r="AQ74" s="1" t="str">
        <v>calcined</v>
      </c>
      <c r="AR74" s="1">
        <v>650</v>
      </c>
      <c r="AS74" s="1">
        <v>4</v>
      </c>
      <c r="AT74" s="1" t="str">
        <v>h</v>
      </c>
      <c r="AU74" s="1">
        <v>0</v>
      </c>
      <c r="AV74" s="1">
        <v>0</v>
      </c>
      <c r="AW74" s="1">
        <v>0</v>
      </c>
      <c r="AX74" s="1">
        <v>0</v>
      </c>
      <c r="AY74" s="1">
        <v>0</v>
      </c>
      <c r="AZ74" s="1" t="str">
        <v>Air flow of 5 m_/h</v>
      </c>
      <c r="BA74" s="1" t="str">
        <v>10.1149/1.2735923</v>
      </c>
    </row>
    <row r="75" spans="1:53">
      <c r="B75" s="117"/>
      <c r="C75" s="117"/>
      <c r="D75" s="118"/>
      <c r="AM75" s="1" t="str">
        <v>Calcination</v>
      </c>
      <c r="AN75" s="1">
        <v>0</v>
      </c>
      <c r="AO75" s="1">
        <v>0</v>
      </c>
      <c r="AP75" s="1" t="str">
        <v>kimInfluenceCrystallineStructure2007_C</v>
      </c>
      <c r="AQ75" s="1" t="str">
        <v>calcined</v>
      </c>
      <c r="AR75" s="1">
        <v>650</v>
      </c>
      <c r="AS75" s="1">
        <v>4</v>
      </c>
      <c r="AT75" s="1" t="str">
        <v>h</v>
      </c>
      <c r="AU75" s="1">
        <v>0</v>
      </c>
      <c r="AV75" s="1">
        <v>0</v>
      </c>
      <c r="AW75" s="1">
        <v>0</v>
      </c>
      <c r="AX75" s="1">
        <v>0</v>
      </c>
      <c r="AY75" s="1">
        <v>0</v>
      </c>
      <c r="AZ75" s="1" t="str">
        <v>Without air flow</v>
      </c>
      <c r="BA75" s="1" t="str">
        <v>10.1149/1.2735923</v>
      </c>
    </row>
    <row r="76" spans="1:53">
      <c r="AM76" s="1" t="str">
        <v>Calcination</v>
      </c>
      <c r="AN76" s="1">
        <v>0</v>
      </c>
      <c r="AO76" s="1">
        <v>0</v>
      </c>
      <c r="AP76" s="1" t="str">
        <v>kimInfluencePhysicalCharacteristics2004_400C</v>
      </c>
      <c r="AQ76" s="1" t="str">
        <v>calcined</v>
      </c>
      <c r="AR76" s="1">
        <v>400</v>
      </c>
      <c r="AS76" s="1">
        <v>4</v>
      </c>
      <c r="AT76" s="1" t="str">
        <v>h</v>
      </c>
      <c r="AU76" s="1">
        <v>0</v>
      </c>
      <c r="AV76" s="1">
        <v>0</v>
      </c>
      <c r="AW76" s="1">
        <v>0</v>
      </c>
      <c r="AX76" s="1">
        <v>0</v>
      </c>
      <c r="AY76" s="1">
        <v>0</v>
      </c>
      <c r="AZ76" s="1" t="str">
        <v>air atmosphere</v>
      </c>
      <c r="BA76" s="1" t="str">
        <v>https://doi.org/10.1143/JJAP.43.7427</v>
      </c>
    </row>
    <row r="77" spans="1:53">
      <c r="A77" s="98"/>
      <c r="AM77" s="1" t="str">
        <v>Calcination</v>
      </c>
      <c r="AN77" s="1">
        <v>0</v>
      </c>
      <c r="AO77" s="1">
        <v>0</v>
      </c>
      <c r="AP77" s="1" t="str">
        <v>kimInfluencePhysicalCharacteristics2004_600C</v>
      </c>
      <c r="AQ77" s="1" t="str">
        <v>calcined</v>
      </c>
      <c r="AR77" s="1">
        <v>600</v>
      </c>
      <c r="AS77" s="1">
        <v>4</v>
      </c>
      <c r="AT77" s="1" t="str">
        <v>h</v>
      </c>
      <c r="AU77" s="1">
        <v>0</v>
      </c>
      <c r="AV77" s="1">
        <v>0</v>
      </c>
      <c r="AW77" s="1">
        <v>0</v>
      </c>
      <c r="AX77" s="1">
        <v>0</v>
      </c>
      <c r="AY77" s="1">
        <v>0</v>
      </c>
      <c r="AZ77" s="1" t="str">
        <v>air atmosphere</v>
      </c>
      <c r="BA77" s="1" t="str">
        <v>https://doi.org/10.1143/JJAP.43.7427</v>
      </c>
    </row>
    <row r="78" spans="1:53">
      <c r="A78" s="98"/>
      <c r="AM78" s="1" t="str">
        <v>Calcination</v>
      </c>
      <c r="AN78" s="1">
        <v>0</v>
      </c>
      <c r="AO78" s="1">
        <v>0</v>
      </c>
      <c r="AP78" s="1" t="str">
        <v>kimInfluencePhysicalCharacteristics2004_700C</v>
      </c>
      <c r="AQ78" s="1" t="str">
        <v>calcined</v>
      </c>
      <c r="AR78" s="1">
        <v>700</v>
      </c>
      <c r="AS78" s="1">
        <v>4</v>
      </c>
      <c r="AT78" s="1" t="str">
        <v>h</v>
      </c>
      <c r="AU78" s="1">
        <v>0</v>
      </c>
      <c r="AV78" s="1">
        <v>0</v>
      </c>
      <c r="AW78" s="1">
        <v>0</v>
      </c>
      <c r="AX78" s="1">
        <v>0</v>
      </c>
      <c r="AY78" s="1">
        <v>0</v>
      </c>
      <c r="AZ78" s="1" t="str">
        <v>air atmosphere</v>
      </c>
      <c r="BA78" s="1" t="str">
        <v>https://doi.org/10.1143/JJAP.43.7427</v>
      </c>
    </row>
    <row r="79" spans="1:53">
      <c r="A79" s="98"/>
      <c r="AM79" s="1" t="str">
        <v>Calcination</v>
      </c>
      <c r="AN79" s="1">
        <v>0</v>
      </c>
      <c r="AO79" s="1">
        <v>0</v>
      </c>
      <c r="AP79" s="1" t="str">
        <v>kimInfluencePhysicalCharacteristics2004_800C</v>
      </c>
      <c r="AQ79" s="1" t="str">
        <v>calcined</v>
      </c>
      <c r="AR79" s="1">
        <v>800</v>
      </c>
      <c r="AS79" s="1">
        <v>4</v>
      </c>
      <c r="AT79" s="1" t="str">
        <v>h</v>
      </c>
      <c r="AU79" s="1">
        <v>0</v>
      </c>
      <c r="AV79" s="1">
        <v>0</v>
      </c>
      <c r="AW79" s="1">
        <v>0</v>
      </c>
      <c r="AX79" s="1">
        <v>0</v>
      </c>
      <c r="AY79" s="1">
        <v>0</v>
      </c>
      <c r="AZ79" s="1" t="str">
        <v>air atmosphere</v>
      </c>
      <c r="BA79" s="1" t="str">
        <v>https://doi.org/10.1143/JJAP.43.7427</v>
      </c>
    </row>
    <row r="80" spans="1:53">
      <c r="A80" s="98"/>
      <c r="AM80" s="1" t="str">
        <v>Calcination</v>
      </c>
      <c r="AN80" s="1">
        <v>0</v>
      </c>
      <c r="AO80" s="1">
        <v>0</v>
      </c>
      <c r="AP80" s="1" t="str">
        <v>kimInfluencePhysicalCharacteristics2004_900C</v>
      </c>
      <c r="AQ80" s="1" t="str">
        <v>calcined</v>
      </c>
      <c r="AR80" s="1">
        <v>900</v>
      </c>
      <c r="AS80" s="1">
        <v>4</v>
      </c>
      <c r="AT80" s="1" t="str">
        <v>h</v>
      </c>
      <c r="AU80" s="1">
        <v>0</v>
      </c>
      <c r="AV80" s="1">
        <v>0</v>
      </c>
      <c r="AW80" s="1">
        <v>0</v>
      </c>
      <c r="AX80" s="1">
        <v>0</v>
      </c>
      <c r="AY80" s="1">
        <v>0</v>
      </c>
      <c r="AZ80" s="1" t="str">
        <v>air atmosphere</v>
      </c>
      <c r="BA80" s="1" t="str">
        <v>https://doi.org/10.1143/JJAP.43.7427</v>
      </c>
    </row>
    <row r="81" spans="1:53">
      <c r="A81" s="98"/>
      <c r="B81" s="1" t="s">
        <v>620</v>
      </c>
      <c r="C81" s="1" t="s">
        <v>618</v>
      </c>
      <c r="D81" s="1" t="s">
        <v>2</v>
      </c>
      <c r="AM81" s="1" t="str">
        <v>Calcination</v>
      </c>
      <c r="AN81" s="1">
        <v>0</v>
      </c>
      <c r="AO81" s="1">
        <v>0</v>
      </c>
      <c r="AP81" s="1" t="str">
        <v>wangSynthesisCeO2Nanoparticles2023_process1</v>
      </c>
      <c r="AQ81" s="1" t="str">
        <v>calcined</v>
      </c>
      <c r="AR81" s="1">
        <v>900</v>
      </c>
      <c r="AS81" s="1">
        <v>10</v>
      </c>
      <c r="AT81" s="1">
        <v>0</v>
      </c>
      <c r="AU81" s="1">
        <v>0</v>
      </c>
      <c r="AV81" s="1">
        <v>0</v>
      </c>
      <c r="AW81" s="1">
        <v>0</v>
      </c>
      <c r="AX81" s="1">
        <v>0</v>
      </c>
      <c r="AY81" s="1">
        <v>0</v>
      </c>
      <c r="AZ81" s="1">
        <v>0</v>
      </c>
      <c r="BA81" s="1" t="str">
        <v>10.1007/s13391-023-00427-2</v>
      </c>
    </row>
    <row r="82" spans="1:53">
      <c r="A82" s="1" t="s">
        <v>483</v>
      </c>
      <c r="B82" s="115"/>
      <c r="C82" s="115"/>
      <c r="D82" s="115"/>
      <c r="AM82" s="1" t="str">
        <v>Calcination</v>
      </c>
      <c r="AN82" s="1">
        <v>0</v>
      </c>
      <c r="AO82" s="1">
        <v>0</v>
      </c>
      <c r="AP82" s="1" t="str">
        <v>yuanyuanzhengEffectsPrecursorsMorphology2022_process1</v>
      </c>
      <c r="AQ82" s="1" t="str">
        <v>calcined</v>
      </c>
      <c r="AR82" s="1">
        <v>900</v>
      </c>
      <c r="AS82" s="1">
        <v>12</v>
      </c>
      <c r="AT82" s="1">
        <v>0</v>
      </c>
      <c r="AU82" s="1">
        <v>0</v>
      </c>
      <c r="AV82" s="1">
        <v>0</v>
      </c>
      <c r="AW82" s="1">
        <v>0</v>
      </c>
      <c r="AX82" s="1">
        <v>0</v>
      </c>
      <c r="AY82" s="1">
        <v>0</v>
      </c>
      <c r="AZ82" s="1">
        <v>0</v>
      </c>
      <c r="BA82" s="1" t="str">
        <v>10.3390/ma15217525</v>
      </c>
    </row>
    <row r="83" spans="1:53">
      <c r="A83" s="1" t="s">
        <v>484</v>
      </c>
      <c r="B83" s="115"/>
      <c r="C83" s="115"/>
      <c r="D83" s="115"/>
      <c r="AM83" s="1" t="str">
        <v>Calcination</v>
      </c>
      <c r="AN83" s="1">
        <v>0</v>
      </c>
      <c r="AO83" s="1">
        <v>0</v>
      </c>
      <c r="AP83" s="1" t="str">
        <v>dae-hyeongkimEffectCeriumPrecursor2005_sampleA</v>
      </c>
      <c r="AQ83" s="1" t="str">
        <v>calcined</v>
      </c>
      <c r="AR83" s="1" t="str">
        <v>700-900</v>
      </c>
      <c r="AS83" s="1">
        <v>0</v>
      </c>
      <c r="AT83" s="1">
        <v>0</v>
      </c>
      <c r="AU83" s="1">
        <v>0</v>
      </c>
      <c r="AV83" s="1">
        <v>0</v>
      </c>
      <c r="AW83" s="1">
        <v>0</v>
      </c>
      <c r="AX83" s="1">
        <v>0</v>
      </c>
      <c r="AY83" s="1">
        <v>0</v>
      </c>
      <c r="AZ83" s="1">
        <v>0</v>
      </c>
      <c r="BA83" s="1" t="str">
        <v>https://doi.org/10.1143/jjap.44.8422</v>
      </c>
    </row>
    <row r="84" spans="1:53">
      <c r="AM84" s="1" t="str">
        <v>Calcination</v>
      </c>
      <c r="AN84" s="1">
        <v>0</v>
      </c>
      <c r="AO84" s="1">
        <v>0</v>
      </c>
      <c r="AP84" s="1" t="str">
        <v>dae-hyeongkimEffectCeriumPrecursor2005_sampleB</v>
      </c>
      <c r="AQ84" s="1" t="str">
        <v>calcined</v>
      </c>
      <c r="AR84" s="1">
        <v>0</v>
      </c>
      <c r="AS84" s="1">
        <v>0</v>
      </c>
      <c r="AT84" s="1">
        <v>0</v>
      </c>
      <c r="AU84" s="1">
        <v>0</v>
      </c>
      <c r="AV84" s="1">
        <v>0</v>
      </c>
      <c r="AW84" s="1">
        <v>0</v>
      </c>
      <c r="AX84" s="1">
        <v>0</v>
      </c>
      <c r="AY84" s="1">
        <v>0</v>
      </c>
      <c r="AZ84" s="1">
        <v>0</v>
      </c>
      <c r="BA84" s="1" t="str">
        <v>https://doi.org/10.1143/jjap.44.8422</v>
      </c>
    </row>
    <row r="85" spans="1:53">
      <c r="AM85" s="1" t="str">
        <v>Calcination</v>
      </c>
      <c r="AN85" s="1">
        <v>0</v>
      </c>
      <c r="AO85" s="1">
        <v>0</v>
      </c>
      <c r="AP85" s="1" t="str">
        <v>dae-hyeongkimEffectCeriumPrecursor2005_sampleB</v>
      </c>
      <c r="AQ85" s="1" t="str">
        <v>calcined</v>
      </c>
      <c r="AR85" s="1" t="str">
        <v>700-900</v>
      </c>
      <c r="AS85" s="1">
        <v>0</v>
      </c>
      <c r="AT85" s="1">
        <v>0</v>
      </c>
      <c r="AU85" s="1">
        <v>0</v>
      </c>
      <c r="AV85" s="1">
        <v>0</v>
      </c>
      <c r="AW85" s="1">
        <v>0</v>
      </c>
      <c r="AX85" s="1">
        <v>0</v>
      </c>
      <c r="AY85" s="1">
        <v>0</v>
      </c>
      <c r="AZ85" s="1">
        <v>0</v>
      </c>
      <c r="BA85" s="1" t="str">
        <v>https://doi.org/10.1143/jjap.44.8422</v>
      </c>
    </row>
    <row r="86" spans="1:53">
      <c r="AM86" s="1" t="str">
        <v>Calcination</v>
      </c>
      <c r="AN86" s="1">
        <v>0</v>
      </c>
      <c r="AO86" s="1">
        <v>0</v>
      </c>
      <c r="AP86" s="1" t="str">
        <v>takuyatsuzukiSynthesisUltrafineCeria2004_process1</v>
      </c>
      <c r="AQ86" s="1" t="str">
        <v>colloidal</v>
      </c>
      <c r="AR86" s="1">
        <v>0</v>
      </c>
      <c r="AS86" s="1">
        <v>0</v>
      </c>
      <c r="AT86" s="1">
        <v>0</v>
      </c>
      <c r="AU86" s="1">
        <v>0</v>
      </c>
      <c r="AV86" s="1">
        <v>0</v>
      </c>
      <c r="AW86" s="1">
        <v>0</v>
      </c>
      <c r="AX86" s="1">
        <v>0</v>
      </c>
      <c r="AY86" s="1">
        <v>0</v>
      </c>
      <c r="AZ86" s="1" t="str">
        <v>In alumina crucible in air</v>
      </c>
      <c r="BA86" s="1" t="str">
        <v>https://doi.org/10.1111/j.1151-2916.2001.tb00859.x</v>
      </c>
    </row>
    <row r="87" spans="1:53">
      <c r="AM87" s="1" t="str">
        <v>Calcination</v>
      </c>
      <c r="AN87" s="1">
        <v>0</v>
      </c>
      <c r="AO87" s="1">
        <v>0</v>
      </c>
      <c r="AP87" s="1" t="str">
        <v>leeSynthesisNanosizedCeria2005_emulsion1</v>
      </c>
      <c r="AQ87" s="1" t="str">
        <v>colloidal</v>
      </c>
      <c r="AR87" s="1">
        <v>700</v>
      </c>
      <c r="AS87" s="1">
        <v>0.16669999999999999</v>
      </c>
      <c r="AT87" s="1" t="str">
        <v>h</v>
      </c>
      <c r="AU87" s="1">
        <v>0</v>
      </c>
      <c r="AV87" s="1">
        <v>0</v>
      </c>
      <c r="AW87" s="1">
        <v>0</v>
      </c>
      <c r="AX87" s="1">
        <v>0</v>
      </c>
      <c r="AY87" s="1">
        <v>0</v>
      </c>
      <c r="AZ87" s="1">
        <v>0</v>
      </c>
      <c r="BA87" s="1" t="str">
        <v>10.1016/j.matlet.2004.09.033</v>
      </c>
    </row>
    <row r="88" spans="1:53" ht="17" customHeight="1">
      <c r="AM88" s="1" t="str">
        <v>Calcination</v>
      </c>
      <c r="AN88" s="1">
        <v>0</v>
      </c>
      <c r="AO88" s="1">
        <v>0</v>
      </c>
      <c r="AP88" s="1" t="str">
        <v>xiaolansongSynthesisCeO2coatedSiO22008_process1</v>
      </c>
      <c r="AQ88" s="1" t="str">
        <v>colloidal</v>
      </c>
      <c r="AR88" s="1">
        <v>700</v>
      </c>
      <c r="AS88" s="1">
        <v>0.16666666999999999</v>
      </c>
      <c r="AT88" s="1" t="str">
        <v>h</v>
      </c>
      <c r="AU88" s="1">
        <v>0</v>
      </c>
      <c r="AV88" s="1">
        <v>0</v>
      </c>
      <c r="AW88" s="1">
        <v>0</v>
      </c>
      <c r="AX88" s="1">
        <v>0</v>
      </c>
      <c r="AY88" s="1">
        <v>0</v>
      </c>
      <c r="AZ88" s="1">
        <v>0</v>
      </c>
      <c r="BA88" s="1" t="str">
        <v>10.1016/j.matchemphys.2008.01.042</v>
      </c>
    </row>
    <row r="89" spans="1:53" ht="17" customHeight="1">
      <c r="AM89" s="1" t="str">
        <v>Calcination</v>
      </c>
      <c r="AN89" s="1">
        <v>0</v>
      </c>
      <c r="AO89" s="1">
        <v>0</v>
      </c>
      <c r="AP89" s="1" t="str">
        <v>masanorihiranoHydrothermalSynthesisNanocrystalline2004_hydrothermal</v>
      </c>
      <c r="AQ89" s="1" t="str">
        <v>colloidal</v>
      </c>
      <c r="AR89" s="1" t="str">
        <v>300 to 900</v>
      </c>
      <c r="AS89" s="1">
        <v>1</v>
      </c>
      <c r="AT89" s="1">
        <v>0</v>
      </c>
      <c r="AU89" s="1">
        <v>0</v>
      </c>
      <c r="AV89" s="1">
        <v>0</v>
      </c>
      <c r="AW89" s="1">
        <v>0</v>
      </c>
      <c r="AX89" s="1" t="str">
        <v>furnace</v>
      </c>
      <c r="AY89" s="1">
        <v>0</v>
      </c>
      <c r="AZ89" s="1" t="str">
        <v>air atmosphere</v>
      </c>
      <c r="BA89" s="1" t="str">
        <v>10.1111/j.1151-2916.1999.tb01838.x</v>
      </c>
    </row>
    <row r="90" spans="1:53" ht="17" customHeight="1"/>
    <row r="91" spans="1:53" ht="17" customHeight="1"/>
    <row r="92" spans="1:53">
      <c r="A92" s="1" t="s">
        <v>621</v>
      </c>
      <c r="B92" s="119">
        <f>SUM(C48:C49,C38:C39,D29:D30)</f>
        <v>9.3000000000000007</v>
      </c>
    </row>
    <row r="93" spans="1:53"/>
    <row r="94" spans="1:53"/>
    <row r="95" spans="1:53"/>
    <row r="96" spans="1:53" s="107" customFormat="1" ht="21">
      <c r="A96" s="107" t="s">
        <v>622</v>
      </c>
      <c r="B96" s="115">
        <f>E96</f>
        <v>11.625</v>
      </c>
      <c r="E96" s="1">
        <f>B92*(1/0.8)</f>
        <v>11.625</v>
      </c>
      <c r="F96" s="107" t="s">
        <v>1180</v>
      </c>
      <c r="O96" s="229"/>
      <c r="P96" s="229"/>
    </row>
    <row r="97" spans="1:16"/>
    <row r="98" spans="1:16"/>
    <row r="99" spans="1:16" s="107" customFormat="1" ht="42">
      <c r="A99" s="107" t="s">
        <v>623</v>
      </c>
      <c r="B99" s="408">
        <f>B92/B96</f>
        <v>0.8</v>
      </c>
      <c r="O99" s="229"/>
      <c r="P99" s="229"/>
    </row>
    <row r="100" spans="1:16"/>
    <row r="101" spans="1:16"/>
    <row r="102" spans="1:16"/>
    <row r="103" spans="1:16"/>
    <row r="104" spans="1:16"/>
    <row r="105" spans="1:16"/>
    <row r="106" spans="1:16"/>
    <row r="107" spans="1:16"/>
    <row r="108" spans="1:16">
      <c r="A108" s="101" t="s">
        <v>624</v>
      </c>
      <c r="B108" s="120">
        <f>D72*B64</f>
        <v>0</v>
      </c>
    </row>
    <row r="109" spans="1:16">
      <c r="A109" s="101" t="s">
        <v>626</v>
      </c>
      <c r="B109" s="120">
        <f>D71*B60*B96</f>
        <v>12.3225</v>
      </c>
    </row>
    <row r="110" spans="1:16">
      <c r="A110" s="101" t="s">
        <v>485</v>
      </c>
      <c r="B110" s="115"/>
    </row>
    <row r="111" spans="1:16">
      <c r="A111" s="1" t="s">
        <v>627</v>
      </c>
      <c r="B111" s="1">
        <f>SUM(B108:B110)</f>
        <v>12.3225</v>
      </c>
    </row>
    <row r="112" spans="1:16">
      <c r="A112" s="101"/>
    </row>
    <row r="113" spans="1:12">
      <c r="A113" s="101"/>
    </row>
    <row r="114" spans="1:12">
      <c r="A114" s="101"/>
    </row>
    <row r="115" spans="1:12">
      <c r="A115" s="101"/>
    </row>
    <row r="116" spans="1:12">
      <c r="A116" s="101"/>
    </row>
    <row r="117" spans="1:12">
      <c r="A117" s="101"/>
    </row>
    <row r="118" spans="1:12">
      <c r="A118" s="101"/>
    </row>
    <row r="119" spans="1:12">
      <c r="A119" s="101"/>
    </row>
    <row r="120" spans="1:12">
      <c r="A120" s="101"/>
    </row>
    <row r="121" spans="1:12">
      <c r="A121" s="101"/>
    </row>
    <row r="122" spans="1:12">
      <c r="A122" s="101"/>
    </row>
    <row r="123" spans="1:12">
      <c r="A123" s="101"/>
    </row>
    <row r="124" spans="1:12">
      <c r="A124" s="101"/>
      <c r="C124" s="126" t="s">
        <v>628</v>
      </c>
    </row>
    <row r="125" spans="1:12">
      <c r="A125" s="1" t="s">
        <v>486</v>
      </c>
      <c r="B125" s="122" t="s">
        <v>453</v>
      </c>
      <c r="C125" s="126">
        <f>ROUND(VLOOKUP(B125,[3]!State_energy_table[#Data],8,FALSE),2)</f>
        <v>0.22</v>
      </c>
      <c r="D125" s="1">
        <f>C125*B111</f>
        <v>2.71095</v>
      </c>
    </row>
    <row r="126" spans="1:12"/>
    <row r="127" spans="1:12"/>
    <row r="128" spans="1:12">
      <c r="A128" s="127" t="s">
        <v>636</v>
      </c>
      <c r="B128" s="128"/>
      <c r="C128" s="129"/>
      <c r="D128" s="129"/>
      <c r="E128" s="129"/>
      <c r="F128" s="129"/>
      <c r="G128" s="129"/>
      <c r="H128" s="129"/>
      <c r="I128" s="129"/>
      <c r="J128" s="124"/>
      <c r="K128" s="124"/>
      <c r="L128" s="124"/>
    </row>
    <row r="129" spans="1:12">
      <c r="A129" s="327" t="s">
        <v>629</v>
      </c>
      <c r="B129" s="327"/>
      <c r="C129" s="327"/>
      <c r="D129" s="327"/>
      <c r="E129" s="327"/>
      <c r="F129" s="327"/>
      <c r="G129" s="327"/>
      <c r="H129" s="327"/>
      <c r="I129" s="327"/>
      <c r="J129" s="124"/>
      <c r="K129" s="124"/>
      <c r="L129" s="124"/>
    </row>
    <row r="130" spans="1:12" ht="42">
      <c r="A130" s="130" t="s">
        <v>630</v>
      </c>
      <c r="B130" s="130" t="s">
        <v>631</v>
      </c>
      <c r="C130" s="130" t="s">
        <v>632</v>
      </c>
      <c r="D130" s="130" t="s">
        <v>633</v>
      </c>
      <c r="E130" s="130" t="s">
        <v>634</v>
      </c>
      <c r="F130" s="130" t="s">
        <v>10</v>
      </c>
      <c r="G130" s="130" t="s">
        <v>11</v>
      </c>
      <c r="H130" s="130" t="s">
        <v>12</v>
      </c>
      <c r="I130" s="130" t="s">
        <v>635</v>
      </c>
      <c r="K130" s="125"/>
    </row>
    <row r="131" spans="1:12">
      <c r="A131" s="409">
        <v>0</v>
      </c>
      <c r="B131" s="409">
        <v>0</v>
      </c>
      <c r="C131" s="409">
        <v>0</v>
      </c>
      <c r="D131" s="409">
        <v>0</v>
      </c>
      <c r="E131" s="409">
        <v>0</v>
      </c>
      <c r="F131" s="409">
        <v>0</v>
      </c>
      <c r="G131" s="409">
        <v>0</v>
      </c>
      <c r="H131" s="409">
        <v>0</v>
      </c>
      <c r="I131" s="409">
        <v>0</v>
      </c>
      <c r="K131" s="124"/>
    </row>
    <row r="132" spans="1:12">
      <c r="A132" s="132"/>
      <c r="B132" s="132"/>
      <c r="C132" s="132"/>
      <c r="D132" s="132"/>
      <c r="E132" s="132"/>
      <c r="F132" s="132"/>
      <c r="G132" s="132"/>
      <c r="H132" s="132"/>
      <c r="I132" s="132"/>
    </row>
    <row r="133" spans="1:12"/>
    <row r="134" spans="1:12"/>
    <row r="135" spans="1:12"/>
    <row r="136" spans="1:12"/>
    <row r="137" spans="1:12">
      <c r="A137" s="290"/>
      <c r="B137" s="290"/>
      <c r="C137" s="290"/>
      <c r="D137" s="290"/>
      <c r="E137" s="290"/>
    </row>
    <row r="138" spans="1:12">
      <c r="A138" s="290"/>
      <c r="B138" s="290"/>
      <c r="C138" s="290"/>
      <c r="D138" s="290"/>
      <c r="E138" s="290"/>
    </row>
    <row r="139" spans="1:12">
      <c r="A139" s="290"/>
      <c r="B139" s="290"/>
      <c r="C139" s="290"/>
      <c r="D139" s="290"/>
      <c r="E139" s="290"/>
    </row>
    <row r="140" spans="1:12">
      <c r="A140" s="290"/>
      <c r="B140" s="290"/>
      <c r="C140" s="290"/>
      <c r="D140" s="290"/>
      <c r="E140" s="290"/>
    </row>
    <row r="141" spans="1:12">
      <c r="A141" s="290" t="s">
        <v>640</v>
      </c>
      <c r="B141" s="297">
        <f>SUM(G29:G30)</f>
        <v>0</v>
      </c>
      <c r="C141" s="290"/>
      <c r="D141" s="290"/>
      <c r="E141" s="290"/>
    </row>
    <row r="142" spans="1:12">
      <c r="A142" s="290"/>
      <c r="B142" s="290"/>
      <c r="C142" s="290"/>
      <c r="D142" s="290"/>
      <c r="E142" s="290"/>
    </row>
    <row r="143" spans="1:12">
      <c r="A143" s="290" t="s">
        <v>637</v>
      </c>
      <c r="B143" s="410">
        <v>3</v>
      </c>
      <c r="C143" s="290"/>
      <c r="D143" s="290"/>
      <c r="E143" s="290"/>
    </row>
    <row r="144" spans="1:12">
      <c r="A144" s="290"/>
      <c r="B144" s="290"/>
      <c r="C144" s="290"/>
      <c r="D144" s="290"/>
      <c r="E144" s="290"/>
    </row>
    <row r="145" spans="1:5">
      <c r="A145" s="290"/>
      <c r="B145" s="290"/>
      <c r="C145" s="290"/>
      <c r="D145" s="290"/>
      <c r="E145" s="290"/>
    </row>
    <row r="146" spans="1:5">
      <c r="A146" s="290" t="s">
        <v>638</v>
      </c>
      <c r="B146" s="411" t="e">
        <f>B143/B141</f>
        <v>#DIV/0!</v>
      </c>
      <c r="C146" s="290"/>
      <c r="D146" s="290"/>
      <c r="E146" s="290"/>
    </row>
    <row r="147" spans="1:5">
      <c r="A147" s="290"/>
      <c r="B147" s="290"/>
      <c r="C147" s="290"/>
      <c r="D147" s="290"/>
      <c r="E147" s="290"/>
    </row>
    <row r="148" spans="1:5">
      <c r="A148" s="290" t="s">
        <v>639</v>
      </c>
      <c r="B148" s="292">
        <f>B141-B143</f>
        <v>-3</v>
      </c>
      <c r="C148" s="290"/>
      <c r="D148" s="290"/>
      <c r="E148" s="290"/>
    </row>
    <row r="149" spans="1:5"/>
    <row r="150" spans="1:5"/>
    <row r="151" spans="1:5"/>
    <row r="152" spans="1:5"/>
    <row r="153" spans="1:5"/>
    <row r="154" spans="1:5"/>
    <row r="155" spans="1:5"/>
    <row r="156" spans="1:5"/>
    <row r="157" spans="1:5">
      <c r="A157" s="290"/>
      <c r="B157" s="290"/>
      <c r="C157" s="290"/>
      <c r="D157" s="290"/>
    </row>
    <row r="158" spans="1:5">
      <c r="A158" s="291" t="s">
        <v>487</v>
      </c>
      <c r="B158" s="292">
        <f>B143</f>
        <v>3</v>
      </c>
      <c r="C158" s="290"/>
      <c r="D158" s="290"/>
    </row>
    <row r="159" spans="1:5">
      <c r="A159" s="291" t="s">
        <v>488</v>
      </c>
      <c r="B159" s="412"/>
      <c r="C159" s="290"/>
      <c r="D159" s="290"/>
    </row>
    <row r="160" spans="1:5">
      <c r="A160" s="290" t="s">
        <v>645</v>
      </c>
      <c r="B160" s="412"/>
      <c r="C160" s="290"/>
      <c r="D160" s="290"/>
    </row>
    <row r="161" spans="1:6">
      <c r="A161" s="290"/>
      <c r="B161" s="290"/>
      <c r="C161" s="290"/>
      <c r="D161" s="290"/>
    </row>
    <row r="162" spans="1:6">
      <c r="A162" s="290" t="s">
        <v>641</v>
      </c>
      <c r="B162" s="292">
        <f>SUM(B158:B159)</f>
        <v>3</v>
      </c>
      <c r="C162" s="290"/>
      <c r="D162" s="290"/>
    </row>
    <row r="163" spans="1:6">
      <c r="A163" s="291" t="s">
        <v>642</v>
      </c>
      <c r="B163" s="290">
        <f>B92</f>
        <v>9.3000000000000007</v>
      </c>
      <c r="C163" s="290"/>
      <c r="D163" s="290"/>
    </row>
    <row r="164" spans="1:6">
      <c r="A164" s="291"/>
      <c r="B164" s="290"/>
      <c r="C164" s="290"/>
      <c r="D164" s="290"/>
    </row>
    <row r="165" spans="1:6">
      <c r="A165" s="101"/>
    </row>
    <row r="166" spans="1:6">
      <c r="A166" s="101"/>
    </row>
    <row r="167" spans="1:6">
      <c r="A167" s="101"/>
    </row>
    <row r="168" spans="1:6">
      <c r="A168" s="101"/>
    </row>
    <row r="169" spans="1:6">
      <c r="A169" s="133"/>
      <c r="B169" s="109" t="s">
        <v>178</v>
      </c>
      <c r="C169" s="109" t="s">
        <v>177</v>
      </c>
      <c r="D169" s="109" t="s">
        <v>179</v>
      </c>
      <c r="E169" s="109" t="s">
        <v>643</v>
      </c>
      <c r="F169" s="109" t="s">
        <v>644</v>
      </c>
    </row>
    <row r="170" spans="1:6">
      <c r="A170" s="101" t="s">
        <v>489</v>
      </c>
      <c r="B170" s="1" t="s">
        <v>191</v>
      </c>
      <c r="C170" s="1" t="str">
        <f>VLOOKUP(B170,[3]!GHG_Table[#Data],2,FALSE)</f>
        <v>AR4-100</v>
      </c>
      <c r="D170" s="1">
        <f>VLOOKUP(B170,[3]!GHG_Table[#Data],3,FALSE)</f>
        <v>1</v>
      </c>
      <c r="E170" s="413">
        <v>0.05</v>
      </c>
      <c r="F170" s="1">
        <f>D170*E170</f>
        <v>0.05</v>
      </c>
    </row>
    <row r="171" spans="1:6">
      <c r="A171" s="101" t="s">
        <v>543</v>
      </c>
      <c r="B171" s="1" t="s">
        <v>541</v>
      </c>
      <c r="C171" s="1" t="str">
        <f>VLOOKUP(B171,[3]!GHG_Table[#Data],2,FALSE)</f>
        <v>NA</v>
      </c>
      <c r="D171" s="1">
        <f>VLOOKUP(B171,[3]!GHG_Table[#Data],3,FALSE)</f>
        <v>0</v>
      </c>
      <c r="E171" s="413"/>
      <c r="F171" s="1">
        <f>D171*E171</f>
        <v>0</v>
      </c>
    </row>
    <row r="172" spans="1:6">
      <c r="A172" s="101" t="s">
        <v>490</v>
      </c>
    </row>
    <row r="173" spans="1:6">
      <c r="A173" s="101"/>
    </row>
    <row r="174" spans="1:6">
      <c r="A174" s="101"/>
    </row>
    <row r="175" spans="1:6">
      <c r="A175" s="133"/>
    </row>
    <row r="176" spans="1:6">
      <c r="A176" s="134" t="s">
        <v>646</v>
      </c>
    </row>
    <row r="177" spans="1:2">
      <c r="A177" s="127" t="s">
        <v>491</v>
      </c>
    </row>
    <row r="178" spans="1:2">
      <c r="A178" s="127" t="s">
        <v>492</v>
      </c>
    </row>
    <row r="179" spans="1:2">
      <c r="A179" s="291"/>
      <c r="B179" s="290"/>
    </row>
    <row r="180" spans="1:2">
      <c r="A180" s="291"/>
      <c r="B180" s="290"/>
    </row>
    <row r="181" spans="1:2">
      <c r="A181" s="291"/>
      <c r="B181" s="290"/>
    </row>
    <row r="182" spans="1:2">
      <c r="A182" s="291"/>
      <c r="B182" s="290"/>
    </row>
    <row r="183" spans="1:2">
      <c r="A183" s="290" t="s">
        <v>493</v>
      </c>
      <c r="B183" s="300">
        <f>SUM(C48:C50)/B143</f>
        <v>0</v>
      </c>
    </row>
    <row r="184" spans="1:2">
      <c r="A184" s="290" t="s">
        <v>494</v>
      </c>
      <c r="B184" s="300">
        <f>ROUND(B160/B143,2)</f>
        <v>0</v>
      </c>
    </row>
    <row r="185" spans="1:2">
      <c r="A185" s="290"/>
      <c r="B185" s="290"/>
    </row>
    <row r="186" spans="1:2"/>
    <row r="187" spans="1:2" ht="21" customHeight="1"/>
    <row r="188" spans="1:2" ht="21" customHeight="1"/>
    <row r="189" spans="1:2">
      <c r="A189" s="1" t="s">
        <v>529</v>
      </c>
      <c r="B189" s="119">
        <f>ROUND(SUM(F170:F171)/B143,2)</f>
        <v>0.02</v>
      </c>
    </row>
    <row r="190" spans="1:2">
      <c r="A190" s="1" t="s">
        <v>495</v>
      </c>
    </row>
    <row r="191" spans="1:2"/>
    <row r="192" spans="1:2"/>
    <row r="193" spans="1:2"/>
    <row r="194" spans="1:2"/>
    <row r="195" spans="1:2">
      <c r="A195" s="98"/>
    </row>
    <row r="196" spans="1:2">
      <c r="A196" s="1" t="s">
        <v>496</v>
      </c>
      <c r="B196" s="119">
        <f>B111</f>
        <v>12.3225</v>
      </c>
    </row>
    <row r="197" spans="1:2"/>
    <row r="198" spans="1:2"/>
    <row r="199" spans="1:2"/>
    <row r="200" spans="1:2"/>
    <row r="201" spans="1:2"/>
    <row r="202" spans="1:2"/>
    <row r="203" spans="1:2"/>
    <row r="204" spans="1:2">
      <c r="A204" s="100" t="s">
        <v>497</v>
      </c>
      <c r="B204" s="119">
        <f>SUM(D125,F170:F171)</f>
        <v>2.7609499999999998</v>
      </c>
    </row>
    <row r="205" spans="1:2">
      <c r="A205" s="102" t="s">
        <v>498</v>
      </c>
      <c r="B205" s="119"/>
    </row>
    <row r="206" spans="1:2">
      <c r="A206" s="102" t="s">
        <v>499</v>
      </c>
      <c r="B206" s="119"/>
    </row>
    <row r="207" spans="1:2">
      <c r="A207" s="102" t="s">
        <v>500</v>
      </c>
      <c r="B207" s="119"/>
    </row>
    <row r="208" spans="1:2">
      <c r="A208" s="100" t="s">
        <v>753</v>
      </c>
      <c r="B208" s="119">
        <f>B111</f>
        <v>12.3225</v>
      </c>
    </row>
    <row r="209" spans="1:2">
      <c r="A209" s="100" t="s">
        <v>501</v>
      </c>
      <c r="B209" s="119">
        <f>SUM(C48:C50)</f>
        <v>0</v>
      </c>
    </row>
    <row r="210" spans="1:2"/>
    <row r="211" spans="1:2"/>
    <row r="212" spans="1:2"/>
    <row r="213" spans="1:2"/>
    <row r="214" spans="1:2"/>
    <row r="215" spans="1:2"/>
    <row r="216" spans="1:2"/>
    <row r="217" spans="1:2"/>
    <row r="218" spans="1:2"/>
    <row r="219" spans="1:2" ht="20" customHeight="1"/>
  </sheetData>
  <mergeCells count="1">
    <mergeCell ref="A129:I129"/>
  </mergeCells>
  <dataValidations count="4">
    <dataValidation type="list" allowBlank="1" showInputMessage="1" showErrorMessage="1" sqref="B48" xr:uid="{EB7E43EC-D01E-1C44-9BF1-A27AD6EC6D44}">
      <formula1>"Municipal water, RO water, DIW, UPW"</formula1>
    </dataValidation>
    <dataValidation type="list" allowBlank="1" showInputMessage="1" showErrorMessage="1" sqref="B62" xr:uid="{AF95FA44-567B-9444-8D9E-7DB37B98D013}">
      <formula1>"Active Process Time Only,Includes Warm-up/Cool-down"</formula1>
    </dataValidation>
    <dataValidation type="list" allowBlank="1" showInputMessage="1" showErrorMessage="1" sqref="B170:B171" xr:uid="{4A10E78E-BBB6-B748-822C-9D232773F0AA}">
      <formula1>GHG_chemical_gas</formula1>
    </dataValidation>
    <dataValidation type="list" allowBlank="1" showInputMessage="1" showErrorMessage="1" sqref="B15:B20 B22:B27" xr:uid="{253ADEC7-EEC4-C349-A938-1D121013E13D}">
      <formula1>"Precursor Synthesis,Calcination,Milling,Filtering,Washing,Drying"</formula1>
    </dataValidation>
  </dataValidations>
  <hyperlinks>
    <hyperlink ref="Y35" location="All_Equipment!A1" display="Click here to add your process into database" xr:uid="{6965FCC5-1C51-FB4F-B54E-829800977A4E}"/>
  </hyperlinks>
  <pageMargins left="0.7" right="0.7" top="0.75" bottom="0.75" header="0.3" footer="0.3"/>
  <pageSetup scale="28" orientation="portrait" horizontalDpi="0" verticalDpi="0"/>
  <drawing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FB75E2-8F40-7A41-8BE7-2B2955262BEC}">
  <sheetPr>
    <tabColor rgb="FFFFCD00"/>
    <pageSetUpPr fitToPage="1"/>
  </sheetPr>
  <dimension ref="A1:BA219"/>
  <sheetViews>
    <sheetView showGridLines="0" topLeftCell="A28" zoomScaleNormal="159" workbookViewId="0">
      <selection activeCell="E7" sqref="E7"/>
    </sheetView>
  </sheetViews>
  <sheetFormatPr baseColWidth="10" defaultColWidth="10.83203125" defaultRowHeight="20" customHeight="1" zeroHeight="1"/>
  <cols>
    <col min="1" max="1" width="48.1640625" style="1" bestFit="1" customWidth="1"/>
    <col min="2" max="2" width="27.5" style="1" customWidth="1"/>
    <col min="3" max="3" width="27.1640625" style="1" customWidth="1"/>
    <col min="4" max="6" width="30.33203125" style="1" customWidth="1"/>
    <col min="7" max="7" width="30.6640625" style="1" customWidth="1"/>
    <col min="8" max="8" width="12.6640625" style="1" bestFit="1" customWidth="1"/>
    <col min="9" max="14" width="10.83203125" style="1"/>
    <col min="15" max="16" width="10.83203125" style="227"/>
    <col min="17" max="17" width="10.83203125" style="1"/>
    <col min="18" max="18" width="41.33203125" style="1" customWidth="1"/>
    <col min="19" max="21" width="11" style="1" bestFit="1" customWidth="1"/>
    <col min="22" max="22" width="14.1640625" style="1" bestFit="1" customWidth="1"/>
    <col min="23" max="24" width="11" style="1" bestFit="1" customWidth="1"/>
    <col min="25" max="25" width="50.83203125" style="1" customWidth="1"/>
    <col min="26" max="26" width="20.1640625" style="1" customWidth="1"/>
    <col min="27" max="27" width="11.1640625" style="1" bestFit="1" customWidth="1"/>
    <col min="28" max="28" width="15.83203125" style="1" bestFit="1" customWidth="1"/>
    <col min="29" max="30" width="10.83203125" style="1"/>
    <col min="31" max="31" width="17.5" style="1" bestFit="1" customWidth="1"/>
    <col min="32" max="32" width="10.83203125" style="1"/>
    <col min="33" max="33" width="50.1640625" style="1" bestFit="1" customWidth="1"/>
    <col min="34" max="38" width="10.83203125" style="1"/>
    <col min="39" max="39" width="17.6640625" style="1" customWidth="1"/>
    <col min="40" max="42" width="11.33203125" style="1" bestFit="1" customWidth="1"/>
    <col min="43" max="43" width="14.5" style="1" bestFit="1" customWidth="1"/>
    <col min="44" max="47" width="11.33203125" style="1" bestFit="1" customWidth="1"/>
    <col min="48" max="48" width="13" style="1" bestFit="1" customWidth="1"/>
    <col min="49" max="49" width="16" style="1" bestFit="1" customWidth="1"/>
    <col min="50" max="51" width="11.33203125" style="1" bestFit="1" customWidth="1"/>
    <col min="52" max="52" width="15.83203125" style="1" bestFit="1" customWidth="1"/>
    <col min="53" max="16384" width="10.83203125" style="1"/>
  </cols>
  <sheetData>
    <row r="1" spans="1:44"/>
    <row r="2" spans="1:44"/>
    <row r="3" spans="1:44"/>
    <row r="4" spans="1:44" ht="26" customHeight="1"/>
    <row r="5" spans="1:44"/>
    <row r="6" spans="1:44"/>
    <row r="7" spans="1:44"/>
    <row r="8" spans="1:44">
      <c r="A8" s="98"/>
    </row>
    <row r="9" spans="1:44">
      <c r="A9" s="98"/>
    </row>
    <row r="10" spans="1:44">
      <c r="A10" s="98"/>
    </row>
    <row r="11" spans="1:44">
      <c r="A11" s="98"/>
    </row>
    <row r="12" spans="1:44">
      <c r="A12" s="98"/>
    </row>
    <row r="13" spans="1:44">
      <c r="A13" s="98"/>
    </row>
    <row r="14" spans="1:44" ht="30">
      <c r="A14" s="1" t="s">
        <v>472</v>
      </c>
      <c r="B14" s="233" t="s">
        <v>4</v>
      </c>
    </row>
    <row r="15" spans="1:44"/>
    <row r="16" spans="1:44">
      <c r="AR16" s="1" t="s">
        <v>595</v>
      </c>
    </row>
    <row r="17" spans="1:48">
      <c r="AU17" s="407">
        <f>ROUND(_xlfn.PERCENTRANK.INC(INDEX(_xlfn.ANCHORARRAY(R45),0,7), Z26),4)</f>
        <v>0.16400000000000001</v>
      </c>
      <c r="AV17" s="407">
        <f>ROUND(_xlfn.PERCENTRANK.INC(AV20:AV24, Z26),4)</f>
        <v>0.16400000000000001</v>
      </c>
    </row>
    <row r="18" spans="1:48">
      <c r="G18" s="301"/>
      <c r="AS18" s="1" t="s">
        <v>598</v>
      </c>
      <c r="AT18" s="1" t="s">
        <v>599</v>
      </c>
    </row>
    <row r="19" spans="1:48" ht="26">
      <c r="A19" s="99"/>
      <c r="R19" s="143" t="s">
        <v>600</v>
      </c>
      <c r="Y19" s="1" t="s">
        <v>1129</v>
      </c>
      <c r="Z19" s="120" t="str">
        <f>B14</f>
        <v>Mixing</v>
      </c>
      <c r="AG19" s="143" t="s">
        <v>1134</v>
      </c>
      <c r="AS19" s="1">
        <v>0</v>
      </c>
      <c r="AT19" s="231">
        <f>AV17</f>
        <v>0.16400000000000001</v>
      </c>
    </row>
    <row r="20" spans="1:48">
      <c r="A20" s="98"/>
      <c r="R20" s="51" t="str" cm="1">
        <f t="array" ref="R20:R28">_xlfn.UNIQUE([3]!Equipment_Database[Tool Used for process])</f>
        <v>Annealing</v>
      </c>
      <c r="Z20" s="137" t="s">
        <v>590</v>
      </c>
      <c r="AA20" s="137" t="s">
        <v>8</v>
      </c>
      <c r="AB20" s="137" t="s">
        <v>1</v>
      </c>
      <c r="AG20" s="1" t="str" cm="1">
        <f t="array" ref="AG20:AG34">_xlfn.UNIQUE([3]!Process_time_database[Process Name])</f>
        <v>Annealing</v>
      </c>
      <c r="AR20" s="1" t="s">
        <v>596</v>
      </c>
      <c r="AS20" s="407">
        <v>0.25</v>
      </c>
      <c r="AT20" s="407">
        <v>0.04</v>
      </c>
      <c r="AV20" s="1">
        <f>ROUND(MIN(INDEX(_xlfn.ANCHORARRAY(R45),0,7)),2)</f>
        <v>0.33</v>
      </c>
    </row>
    <row r="21" spans="1:48">
      <c r="A21" s="98"/>
      <c r="R21" s="1" t="str">
        <v>Calcination</v>
      </c>
      <c r="Y21" s="51" t="s">
        <v>1227</v>
      </c>
      <c r="Z21" s="138">
        <f>ROUND(AVERAGE(INDEX(_xlfn.ANCHORARRAY(R45),0,14)),2)</f>
        <v>0.1</v>
      </c>
      <c r="AA21" s="138">
        <f>ROUND(MIN(INDEX(_xlfn.ANCHORARRAY(R45),0,14)),2)</f>
        <v>0.02</v>
      </c>
      <c r="AB21" s="138">
        <f>ROUND(MAX(INDEX(_xlfn.ANCHORARRAY(R45),0,14)),2)</f>
        <v>0.16</v>
      </c>
      <c r="AG21" s="1" t="str">
        <v>Calcination</v>
      </c>
      <c r="AR21" s="1" t="s">
        <v>2</v>
      </c>
      <c r="AS21" s="407">
        <v>0.5</v>
      </c>
      <c r="AT21" s="407">
        <v>1.38</v>
      </c>
      <c r="AV21" s="1">
        <f>ROUND(PERCENTILE(INDEX(_xlfn.ANCHORARRAY(R45),0,7),0.25),2)</f>
        <v>2.2000000000000002</v>
      </c>
    </row>
    <row r="22" spans="1:48">
      <c r="A22" s="98"/>
      <c r="R22" s="1" t="str">
        <v>Centrifuge</v>
      </c>
      <c r="Y22" s="51" t="s">
        <v>1181</v>
      </c>
      <c r="Z22" s="138">
        <f>ROUND(AVERAGE(INDEX(_xlfn.ANCHORARRAY(R45),0,11)),2)</f>
        <v>140.4</v>
      </c>
      <c r="AA22" s="138">
        <f>ROUND(MIN(INDEX(_xlfn.ANCHORARRAY(R45),0,11)),2)</f>
        <v>20</v>
      </c>
      <c r="AB22" s="138">
        <f>ROUND(MAX(INDEX(_xlfn.ANCHORARRAY(R45),0,11)),2)</f>
        <v>460</v>
      </c>
      <c r="AG22" s="1" t="str">
        <v>centrifuge</v>
      </c>
      <c r="AR22" s="1" t="s">
        <v>597</v>
      </c>
      <c r="AS22" s="407">
        <v>0.25</v>
      </c>
      <c r="AV22" s="1">
        <f>ROUND(AVERAGE(INDEX(_xlfn.ANCHORARRAY(R45),0,7)),2)</f>
        <v>14.71</v>
      </c>
    </row>
    <row r="23" spans="1:48">
      <c r="A23" s="98"/>
      <c r="R23" s="1" t="str">
        <v>Drying</v>
      </c>
      <c r="Y23" s="51" t="s">
        <v>647</v>
      </c>
      <c r="Z23" s="138">
        <f>ROUND(AVERAGE(INDEX(_xlfn.ANCHORARRAY(AM45),0,7)),2)</f>
        <v>1.6</v>
      </c>
      <c r="AA23" s="138">
        <f>ROUND(MIN(INDEX(_xlfn.ANCHORARRAY(AM45),0,7)),2)</f>
        <v>0</v>
      </c>
      <c r="AB23" s="138">
        <f>ROUND(MAX(INDEX(_xlfn.ANCHORARRAY(AM45),0,7)),2)</f>
        <v>4</v>
      </c>
      <c r="AG23" s="1" t="str">
        <v>drying</v>
      </c>
      <c r="AR23" s="1" t="s">
        <v>1</v>
      </c>
      <c r="AS23" s="407">
        <v>1</v>
      </c>
      <c r="AV23" s="1">
        <f>ROUND(PERCENTILE(INDEX(_xlfn.ANCHORARRAY(R45),0,7),0.75),2)</f>
        <v>18.5</v>
      </c>
    </row>
    <row r="24" spans="1:48">
      <c r="A24" s="98"/>
      <c r="G24" s="1" t="s">
        <v>659</v>
      </c>
      <c r="R24" s="1" t="str">
        <v>Filtration</v>
      </c>
      <c r="Y24" s="51"/>
      <c r="AG24" s="1" t="str">
        <v>Emulsification</v>
      </c>
      <c r="AV24" s="1">
        <f>ROUND(MAX(INDEX(_xlfn.ANCHORARRAY(R45),0,7)),2)</f>
        <v>45</v>
      </c>
    </row>
    <row r="25" spans="1:48">
      <c r="A25" s="98"/>
      <c r="R25" s="1" t="str">
        <v>Hydrothermal</v>
      </c>
      <c r="Y25" s="51"/>
      <c r="AG25" s="1" t="str">
        <v>Filtration</v>
      </c>
    </row>
    <row r="26" spans="1:48">
      <c r="A26" s="98"/>
      <c r="E26" s="290"/>
      <c r="F26" s="290"/>
      <c r="G26" s="290"/>
      <c r="H26" s="290"/>
      <c r="I26" s="290"/>
      <c r="J26" s="290"/>
      <c r="K26" s="290"/>
      <c r="R26" s="1" t="str">
        <v>Milling</v>
      </c>
      <c r="Y26" s="51" t="s">
        <v>648</v>
      </c>
      <c r="Z26" s="139">
        <v>1.56</v>
      </c>
      <c r="AG26" s="1" t="str">
        <v>hydrothermal</v>
      </c>
    </row>
    <row r="27" spans="1:48">
      <c r="A27" s="98"/>
      <c r="E27" s="290"/>
      <c r="F27" s="290"/>
      <c r="G27" s="290"/>
      <c r="H27" s="290"/>
      <c r="I27" s="290"/>
      <c r="J27" s="290"/>
      <c r="K27" s="290"/>
      <c r="R27" s="1" t="str">
        <v>Sonication</v>
      </c>
      <c r="AG27" s="1" t="str">
        <v>Milling</v>
      </c>
    </row>
    <row r="28" spans="1:48" s="104" customFormat="1" ht="42">
      <c r="A28" s="103"/>
      <c r="B28" s="103" t="s">
        <v>609</v>
      </c>
      <c r="C28" s="103" t="s">
        <v>537</v>
      </c>
      <c r="D28" s="103" t="s">
        <v>473</v>
      </c>
      <c r="E28" s="294" t="s">
        <v>534</v>
      </c>
      <c r="F28" s="294" t="s">
        <v>607</v>
      </c>
      <c r="G28" s="295" t="s">
        <v>608</v>
      </c>
      <c r="H28" s="294"/>
      <c r="I28" s="294"/>
      <c r="J28" s="296"/>
      <c r="K28" s="296"/>
      <c r="O28" s="228"/>
      <c r="P28" s="228"/>
      <c r="R28" s="104" t="str">
        <v>Mixing</v>
      </c>
      <c r="Y28" s="1"/>
      <c r="Z28" s="1"/>
      <c r="AG28" s="104" t="str">
        <v>mixing</v>
      </c>
    </row>
    <row r="29" spans="1:48">
      <c r="A29" s="101" t="s">
        <v>474</v>
      </c>
      <c r="B29" s="115" t="s">
        <v>658</v>
      </c>
      <c r="C29" s="1" t="str">
        <f>_xlfn.IFNA(VLOOKUP(B29,[3]!Cerium_precursor_table[#Data],2,FALSE),0)</f>
        <v>CeO2</v>
      </c>
      <c r="D29" s="115">
        <v>1</v>
      </c>
      <c r="E29" s="290" t="str">
        <f>_xlfn.IFNA(VLOOKUP(B29,[3]!Cerium_precursor_table[#Data],9,FALSE),0)</f>
        <v>CeO2</v>
      </c>
      <c r="F29" s="290">
        <f>_xlfn.IFNA(VLOOKUP(B29,[3]!Cerium_precursor_table[#Data],11,FALSE),0)</f>
        <v>1</v>
      </c>
      <c r="G29" s="297">
        <f>IFERROR(ROUND(D29*(VLOOKUP(B29,[3]!Cerium_precursor_table[#Data],10,FALSE)*F29)/(VLOOKUP(B29,[3]!Cerium_precursor_table[#Data],7,FALSE)),2),0)</f>
        <v>1</v>
      </c>
      <c r="H29" s="292"/>
      <c r="I29" s="290"/>
      <c r="J29" s="290"/>
      <c r="K29" s="290"/>
      <c r="Z29" s="136"/>
      <c r="AG29" s="1" t="str">
        <v>Outgassing</v>
      </c>
    </row>
    <row r="30" spans="1:48">
      <c r="A30" s="101" t="s">
        <v>475</v>
      </c>
      <c r="B30" s="115"/>
      <c r="C30" s="1">
        <f>_xlfn.IFNA(VLOOKUP(B30,[3]!Cerium_precursor_table[#Data],2,FALSE),0)</f>
        <v>0</v>
      </c>
      <c r="D30" s="115">
        <v>5.68</v>
      </c>
      <c r="E30" s="290">
        <f>_xlfn.IFNA(VLOOKUP(B30,[3]!Cerium_precursor_table[#Data],9,FALSE),0)</f>
        <v>0</v>
      </c>
      <c r="F30" s="290">
        <f>_xlfn.IFNA(VLOOKUP(B30,[3]!Cerium_precursor_table[#Data],11,FALSE),0)</f>
        <v>0</v>
      </c>
      <c r="G30" s="297">
        <f>IFERROR(ROUND(D30*(VLOOKUP(B30,[3]!Cerium_precursor_table[#Data],10,FALSE)*F30)/(VLOOKUP(B30,[3]!Cerium_precursor_table[#Data],7,FALSE)),2),0)</f>
        <v>0</v>
      </c>
      <c r="H30" s="292"/>
      <c r="I30" s="290"/>
      <c r="J30" s="290"/>
      <c r="K30" s="290"/>
      <c r="Y30" s="51" t="s">
        <v>650</v>
      </c>
      <c r="Z30" s="139">
        <v>2</v>
      </c>
      <c r="AG30" s="1" t="str">
        <v>sintering</v>
      </c>
    </row>
    <row r="31" spans="1:48">
      <c r="A31" s="101"/>
      <c r="B31" s="105"/>
      <c r="E31" s="290"/>
      <c r="F31" s="290"/>
      <c r="G31" s="290"/>
      <c r="H31" s="292"/>
      <c r="I31" s="290"/>
      <c r="J31" s="290"/>
      <c r="K31" s="290"/>
      <c r="Y31" s="51" t="s">
        <v>651</v>
      </c>
      <c r="Z31" s="138">
        <f>ROUND(Z21*Z23,2)</f>
        <v>0.16</v>
      </c>
      <c r="AG31" s="1" t="str">
        <v>Sonication</v>
      </c>
    </row>
    <row r="32" spans="1:48">
      <c r="A32" s="101"/>
      <c r="B32" s="105"/>
      <c r="E32" s="290"/>
      <c r="F32" s="290"/>
      <c r="G32" s="290"/>
      <c r="H32" s="292"/>
      <c r="I32" s="290"/>
      <c r="J32" s="290"/>
      <c r="K32" s="290"/>
      <c r="Y32" s="1" t="s">
        <v>649</v>
      </c>
      <c r="Z32" s="150">
        <f>ROUND(Z26*Z30,2)</f>
        <v>3.12</v>
      </c>
      <c r="AG32" s="1" t="str">
        <v>Sonochemical Method</v>
      </c>
    </row>
    <row r="33" spans="1:53">
      <c r="A33" s="101"/>
      <c r="B33" s="105"/>
      <c r="E33" s="290"/>
      <c r="F33" s="290"/>
      <c r="G33" s="290"/>
      <c r="H33" s="292"/>
      <c r="I33" s="290"/>
      <c r="J33" s="290"/>
      <c r="K33" s="290"/>
      <c r="AG33" s="1" t="str">
        <v>Stirring</v>
      </c>
    </row>
    <row r="34" spans="1:53">
      <c r="A34" s="101"/>
      <c r="B34" s="105"/>
      <c r="E34" s="290"/>
      <c r="F34" s="290"/>
      <c r="G34" s="290"/>
      <c r="H34" s="292"/>
      <c r="I34" s="290"/>
      <c r="J34" s="290"/>
      <c r="K34" s="290"/>
      <c r="Y34" s="140" t="s">
        <v>588</v>
      </c>
      <c r="AG34" s="1" t="str">
        <v>Washing</v>
      </c>
    </row>
    <row r="35" spans="1:53">
      <c r="A35" s="101"/>
      <c r="B35" s="105"/>
      <c r="E35" s="290"/>
      <c r="F35" s="290"/>
      <c r="G35" s="290"/>
      <c r="H35" s="292"/>
      <c r="I35" s="290"/>
      <c r="J35" s="290"/>
      <c r="K35" s="290"/>
      <c r="Y35" s="141" t="s">
        <v>589</v>
      </c>
    </row>
    <row r="36" spans="1:53">
      <c r="A36" s="101"/>
      <c r="B36" s="105"/>
      <c r="E36" s="290"/>
      <c r="F36" s="290"/>
      <c r="G36" s="290"/>
      <c r="H36" s="292"/>
      <c r="I36" s="290"/>
      <c r="J36" s="290"/>
      <c r="K36" s="290"/>
    </row>
    <row r="37" spans="1:53">
      <c r="A37" s="101"/>
      <c r="C37" s="101" t="s">
        <v>476</v>
      </c>
    </row>
    <row r="38" spans="1:53">
      <c r="A38" s="101" t="s">
        <v>477</v>
      </c>
      <c r="B38" s="115"/>
      <c r="C38" s="115"/>
    </row>
    <row r="39" spans="1:53">
      <c r="A39" s="101" t="s">
        <v>478</v>
      </c>
      <c r="B39" s="115"/>
      <c r="C39" s="115"/>
    </row>
    <row r="40" spans="1:53" ht="23" customHeight="1">
      <c r="A40" s="101"/>
    </row>
    <row r="41" spans="1:53">
      <c r="A41" s="101"/>
    </row>
    <row r="42" spans="1:53">
      <c r="A42" s="101"/>
    </row>
    <row r="43" spans="1:53">
      <c r="A43" s="101"/>
    </row>
    <row r="44" spans="1:53" ht="31" customHeight="1">
      <c r="A44" s="101"/>
      <c r="R44" s="154" t="s">
        <v>115</v>
      </c>
      <c r="S44" s="154" t="s">
        <v>98</v>
      </c>
      <c r="T44" s="154" t="s">
        <v>99</v>
      </c>
      <c r="U44" s="155" t="s">
        <v>100</v>
      </c>
      <c r="V44" s="156" t="s">
        <v>46</v>
      </c>
      <c r="W44" s="157" t="s">
        <v>47</v>
      </c>
      <c r="X44" s="154" t="s">
        <v>48</v>
      </c>
      <c r="Y44" s="154" t="s">
        <v>154</v>
      </c>
      <c r="Z44" s="154" t="s">
        <v>159</v>
      </c>
      <c r="AA44" s="154" t="s">
        <v>160</v>
      </c>
      <c r="AB44" s="158" t="s">
        <v>587</v>
      </c>
      <c r="AC44" s="154" t="s">
        <v>67</v>
      </c>
      <c r="AD44" s="154" t="s">
        <v>45</v>
      </c>
      <c r="AE44" s="154" t="s">
        <v>1228</v>
      </c>
      <c r="AM44" s="154" t="s">
        <v>115</v>
      </c>
      <c r="AN44" s="154" t="s">
        <v>98</v>
      </c>
      <c r="AO44" s="154" t="s">
        <v>99</v>
      </c>
      <c r="AP44" s="155" t="s">
        <v>100</v>
      </c>
      <c r="AQ44" s="156" t="s">
        <v>46</v>
      </c>
      <c r="AR44" s="157" t="s">
        <v>47</v>
      </c>
      <c r="AS44" s="154" t="s">
        <v>1131</v>
      </c>
      <c r="AT44" s="154" t="s">
        <v>154</v>
      </c>
      <c r="AU44" s="154" t="s">
        <v>159</v>
      </c>
      <c r="AV44" s="154" t="s">
        <v>160</v>
      </c>
      <c r="AW44" s="158" t="s">
        <v>587</v>
      </c>
      <c r="AX44" s="154" t="s">
        <v>67</v>
      </c>
      <c r="AY44" s="154" t="s">
        <v>45</v>
      </c>
      <c r="AZ44" s="154" t="s">
        <v>101</v>
      </c>
    </row>
    <row r="45" spans="1:53" ht="23" customHeight="1">
      <c r="A45" s="101"/>
      <c r="R45" s="159" t="str" cm="1">
        <f t="array" ref="R45:AF49">_xlfn._xlws.FILTER([3]!Equipment_Database[#All],[3]!Equipment_Database[[#All],[Tool Used for process]]=Z19)</f>
        <v>Mixing</v>
      </c>
      <c r="S45" s="1">
        <v>0</v>
      </c>
      <c r="T45" s="1">
        <v>0</v>
      </c>
      <c r="U45" s="1">
        <v>0</v>
      </c>
      <c r="V45" s="1">
        <v>50</v>
      </c>
      <c r="W45" s="1">
        <v>0</v>
      </c>
      <c r="X45" s="1">
        <v>0.33</v>
      </c>
      <c r="Y45" s="1">
        <v>0</v>
      </c>
      <c r="Z45" s="1">
        <v>0</v>
      </c>
      <c r="AA45" s="1">
        <v>0</v>
      </c>
      <c r="AB45" s="1">
        <v>20</v>
      </c>
      <c r="AC45" s="1">
        <v>0</v>
      </c>
      <c r="AD45" s="1" t="str">
        <v>Arrow Model A</v>
      </c>
      <c r="AE45" s="1">
        <v>1.6500000000000001E-2</v>
      </c>
      <c r="AF45" s="1">
        <v>0</v>
      </c>
      <c r="AM45" s="151" t="str" cm="1">
        <f t="array" ref="AM45:BA49">_xlfn._xlws.FILTER([3]!Process_time_database[#All],[3]!Process_time_database[[#All],[Process Name]]=Z19)</f>
        <v>mixing</v>
      </c>
      <c r="AN45" s="1">
        <v>0</v>
      </c>
      <c r="AO45" s="1">
        <v>0</v>
      </c>
      <c r="AP45" s="1" t="str">
        <v>leeSynthesisNanosizedCeria2005_emulsion1</v>
      </c>
      <c r="AQ45" s="1" t="str">
        <v>colloidal</v>
      </c>
      <c r="AR45" s="1">
        <v>25</v>
      </c>
      <c r="AS45" s="1">
        <v>4</v>
      </c>
      <c r="AT45" s="1" t="str">
        <v>h</v>
      </c>
      <c r="AU45" s="1">
        <v>0</v>
      </c>
      <c r="AV45" s="1">
        <v>0</v>
      </c>
      <c r="AW45" s="1">
        <v>0</v>
      </c>
      <c r="AX45" s="1" t="str">
        <v>agitator</v>
      </c>
      <c r="AY45" s="1">
        <v>0</v>
      </c>
      <c r="AZ45" s="1">
        <v>0</v>
      </c>
      <c r="BA45" s="1" t="str">
        <v>10.1016/j.matlet.2004.09.033</v>
      </c>
    </row>
    <row r="46" spans="1:53" ht="14" customHeight="1">
      <c r="A46" s="101"/>
      <c r="R46" s="1" t="str">
        <v>Mixing</v>
      </c>
      <c r="S46" s="1">
        <v>0</v>
      </c>
      <c r="T46" s="1">
        <v>0</v>
      </c>
      <c r="U46" s="1">
        <v>0</v>
      </c>
      <c r="V46" s="1">
        <v>60</v>
      </c>
      <c r="W46" s="1">
        <v>0</v>
      </c>
      <c r="X46" s="1">
        <v>2.2000000000000002</v>
      </c>
      <c r="Y46" s="1">
        <v>0</v>
      </c>
      <c r="Z46" s="1">
        <v>0</v>
      </c>
      <c r="AA46" s="1">
        <v>0</v>
      </c>
      <c r="AB46" s="1">
        <v>24</v>
      </c>
      <c r="AC46" s="1" t="str">
        <v>Quadro Liquids</v>
      </c>
      <c r="AD46" s="1" t="str">
        <v>Quadro Ytron® ZCO</v>
      </c>
      <c r="AE46" s="1">
        <v>9.1666666666666674E-2</v>
      </c>
      <c r="AF46" s="1">
        <v>0</v>
      </c>
      <c r="AM46" s="1" t="str">
        <v>Mixing</v>
      </c>
      <c r="AN46" s="1">
        <v>0</v>
      </c>
      <c r="AO46" s="1">
        <v>0</v>
      </c>
      <c r="AP46" s="1" t="str">
        <v>xiaolansongSynthesisCeO2coatedSiO22008_process1</v>
      </c>
      <c r="AQ46" s="1" t="str">
        <v>colloidal</v>
      </c>
      <c r="AR46" s="1" t="str">
        <v>room</v>
      </c>
      <c r="AS46" s="1">
        <v>0</v>
      </c>
      <c r="AT46" s="1">
        <v>0</v>
      </c>
      <c r="AU46" s="1">
        <v>0</v>
      </c>
      <c r="AV46" s="1">
        <v>0</v>
      </c>
      <c r="AW46" s="1">
        <v>0</v>
      </c>
      <c r="AX46" s="1" t="str">
        <v>agitator</v>
      </c>
      <c r="AY46" s="1">
        <v>0</v>
      </c>
      <c r="AZ46" s="1">
        <v>0</v>
      </c>
      <c r="BA46" s="1" t="str">
        <v>10.1016/j.matchemphys.2008.01.042</v>
      </c>
    </row>
    <row r="47" spans="1:53" s="107" customFormat="1" ht="42">
      <c r="A47" s="112"/>
      <c r="B47" s="103" t="s">
        <v>611</v>
      </c>
      <c r="C47" s="103" t="s">
        <v>479</v>
      </c>
      <c r="D47" s="114" t="s">
        <v>610</v>
      </c>
      <c r="E47" s="113" t="s">
        <v>603</v>
      </c>
      <c r="F47" s="106"/>
      <c r="O47" s="229"/>
      <c r="P47" s="229"/>
      <c r="R47" s="107" t="str">
        <v>Mixing</v>
      </c>
      <c r="S47" s="107">
        <v>0</v>
      </c>
      <c r="T47" s="107">
        <v>0</v>
      </c>
      <c r="U47" s="107">
        <v>0</v>
      </c>
      <c r="V47" s="107">
        <v>115</v>
      </c>
      <c r="W47" s="107">
        <v>0</v>
      </c>
      <c r="X47" s="107">
        <v>7.5</v>
      </c>
      <c r="Y47" s="107">
        <v>0</v>
      </c>
      <c r="Z47" s="107">
        <v>0</v>
      </c>
      <c r="AA47" s="107">
        <v>0</v>
      </c>
      <c r="AB47" s="107">
        <v>46</v>
      </c>
      <c r="AC47" s="107" t="str">
        <v>Quadro Liquids</v>
      </c>
      <c r="AD47" s="107" t="str">
        <v>Quadro Ytron® Z1</v>
      </c>
      <c r="AE47" s="107">
        <v>0.16304347826086957</v>
      </c>
      <c r="AF47" s="107">
        <v>0</v>
      </c>
      <c r="AM47" s="107" t="str">
        <v>mixing</v>
      </c>
      <c r="AN47" s="107">
        <v>0</v>
      </c>
      <c r="AO47" s="107">
        <v>0</v>
      </c>
      <c r="AP47" s="107" t="str">
        <v>xiaolansongSynthesisCeO2coatedSiO22008_process1</v>
      </c>
      <c r="AQ47" s="107" t="str">
        <v>colloidal</v>
      </c>
      <c r="AR47" s="107">
        <v>0</v>
      </c>
      <c r="AS47" s="107">
        <v>4</v>
      </c>
      <c r="AT47" s="107" t="str">
        <v>h</v>
      </c>
      <c r="AU47" s="107">
        <v>0</v>
      </c>
      <c r="AV47" s="107">
        <v>0</v>
      </c>
      <c r="AW47" s="107">
        <v>0</v>
      </c>
      <c r="AX47" s="107">
        <v>0</v>
      </c>
      <c r="AY47" s="107">
        <v>0</v>
      </c>
      <c r="AZ47" s="107">
        <v>0</v>
      </c>
      <c r="BA47" s="107" t="str">
        <v>10.1016/j.matchemphys.2008.01.042</v>
      </c>
    </row>
    <row r="48" spans="1:53">
      <c r="A48" s="101" t="s">
        <v>528</v>
      </c>
      <c r="B48" s="115" t="s">
        <v>612</v>
      </c>
      <c r="C48" s="115">
        <v>0</v>
      </c>
      <c r="D48" s="108"/>
      <c r="E48" s="108"/>
      <c r="F48" s="108"/>
      <c r="G48" s="108"/>
      <c r="R48" s="1" t="str">
        <v>Mixing</v>
      </c>
      <c r="S48" s="1">
        <v>0</v>
      </c>
      <c r="T48" s="1">
        <v>0</v>
      </c>
      <c r="U48" s="1">
        <v>0</v>
      </c>
      <c r="V48" s="1">
        <v>380</v>
      </c>
      <c r="W48" s="1">
        <v>0</v>
      </c>
      <c r="X48" s="1">
        <v>18.5</v>
      </c>
      <c r="Y48" s="1">
        <v>0</v>
      </c>
      <c r="Z48" s="1">
        <v>0</v>
      </c>
      <c r="AA48" s="1">
        <v>0</v>
      </c>
      <c r="AB48" s="1">
        <v>152</v>
      </c>
      <c r="AC48" s="1" t="str">
        <v>Quadro Liquids</v>
      </c>
      <c r="AD48" s="1" t="str">
        <v>Quadro Ytron® Z3</v>
      </c>
      <c r="AE48" s="1">
        <v>0.12171052631578948</v>
      </c>
      <c r="AF48" s="1">
        <v>0</v>
      </c>
      <c r="AM48" s="1" t="str">
        <v>mixing</v>
      </c>
      <c r="AN48" s="1">
        <v>0</v>
      </c>
      <c r="AO48" s="1">
        <v>0</v>
      </c>
      <c r="AP48" s="1" t="str">
        <v>xueyunzhouRoomtemperatureHomogeneousNucleation2002_colloidal</v>
      </c>
      <c r="AQ48" s="1" t="str">
        <v>colloidal</v>
      </c>
      <c r="AR48" s="1" t="str">
        <v>room</v>
      </c>
      <c r="AS48" s="1">
        <v>0</v>
      </c>
      <c r="AT48" s="1">
        <v>0</v>
      </c>
      <c r="AU48" s="1">
        <v>0</v>
      </c>
      <c r="AV48" s="1">
        <v>0</v>
      </c>
      <c r="AW48" s="1">
        <v>0</v>
      </c>
      <c r="AX48" s="1" t="str">
        <v>semibatch reactor</v>
      </c>
      <c r="AY48" s="1">
        <v>0</v>
      </c>
      <c r="AZ48" s="1">
        <v>0</v>
      </c>
      <c r="BA48" s="1" t="str">
        <v>10.1063/1.1481244</v>
      </c>
    </row>
    <row r="49" spans="1:53">
      <c r="A49" s="101" t="s">
        <v>540</v>
      </c>
      <c r="B49" s="115"/>
      <c r="C49" s="115"/>
      <c r="D49" s="108"/>
      <c r="E49" s="108"/>
      <c r="F49" s="108"/>
      <c r="G49" s="108"/>
      <c r="R49" s="1" t="str">
        <v>Mixing</v>
      </c>
      <c r="S49" s="1">
        <v>0</v>
      </c>
      <c r="T49" s="1">
        <v>0</v>
      </c>
      <c r="U49" s="1">
        <v>0</v>
      </c>
      <c r="V49" s="1">
        <v>1150</v>
      </c>
      <c r="W49" s="1">
        <v>0</v>
      </c>
      <c r="X49" s="1">
        <v>45</v>
      </c>
      <c r="Y49" s="1">
        <v>0</v>
      </c>
      <c r="Z49" s="1">
        <v>0</v>
      </c>
      <c r="AA49" s="1">
        <v>0</v>
      </c>
      <c r="AB49" s="1">
        <v>460</v>
      </c>
      <c r="AC49" s="1" t="str">
        <v>Quadro Liquids</v>
      </c>
      <c r="AD49" s="1" t="str">
        <v>Quadro Ytron® Z 5</v>
      </c>
      <c r="AE49" s="1">
        <v>9.7826086956521743E-2</v>
      </c>
      <c r="AF49" s="1">
        <v>0</v>
      </c>
      <c r="AM49" s="1" t="str">
        <v>mixing</v>
      </c>
      <c r="AN49" s="1">
        <v>0</v>
      </c>
      <c r="AO49" s="1">
        <v>0</v>
      </c>
      <c r="AP49" s="1" t="str">
        <v>hakutaProductionUltrafineCeria1998_process1</v>
      </c>
      <c r="AQ49" s="1" t="str">
        <v>colloidal</v>
      </c>
      <c r="AR49" s="1">
        <v>450</v>
      </c>
      <c r="AS49" s="1">
        <v>0</v>
      </c>
      <c r="AT49" s="1">
        <v>0</v>
      </c>
      <c r="AU49" s="1">
        <v>0</v>
      </c>
      <c r="AV49" s="1">
        <v>0</v>
      </c>
      <c r="AW49" s="1">
        <v>0</v>
      </c>
      <c r="AX49" s="1" t="str">
        <v>High-pressure pump</v>
      </c>
      <c r="AY49" s="1">
        <v>0</v>
      </c>
      <c r="AZ49" s="1">
        <v>0</v>
      </c>
      <c r="BA49" s="1" t="str">
        <v>10.1023/a:1006597828280</v>
      </c>
    </row>
    <row r="50" spans="1:53">
      <c r="A50" s="101" t="s">
        <v>539</v>
      </c>
      <c r="B50" s="115"/>
      <c r="C50" s="115"/>
      <c r="D50" s="108"/>
      <c r="E50" s="108"/>
      <c r="F50" s="108"/>
      <c r="G50" s="108"/>
    </row>
    <row r="51" spans="1:53"/>
    <row r="52" spans="1:53"/>
    <row r="53" spans="1:53"/>
    <row r="54" spans="1:53"/>
    <row r="55" spans="1:53"/>
    <row r="56" spans="1:53"/>
    <row r="57" spans="1:53"/>
    <row r="58" spans="1:53"/>
    <row r="59" spans="1:53">
      <c r="C59" s="289"/>
    </row>
    <row r="60" spans="1:53" ht="25">
      <c r="A60" s="1" t="s">
        <v>614</v>
      </c>
      <c r="B60" s="111">
        <f>10/60</f>
        <v>0.16666666666666666</v>
      </c>
      <c r="C60" s="166">
        <f>Z23</f>
        <v>1.6</v>
      </c>
    </row>
    <row r="61" spans="1:53">
      <c r="A61" s="1" t="s">
        <v>615</v>
      </c>
      <c r="B61" s="110"/>
    </row>
    <row r="62" spans="1:53" ht="31" customHeight="1">
      <c r="A62" s="1" t="s">
        <v>480</v>
      </c>
      <c r="B62" s="110" t="s">
        <v>481</v>
      </c>
    </row>
    <row r="63" spans="1:53">
      <c r="A63" s="1" t="s">
        <v>616</v>
      </c>
      <c r="B63" s="110"/>
    </row>
    <row r="64" spans="1:53">
      <c r="A64" s="1" t="s">
        <v>617</v>
      </c>
      <c r="B64" s="110"/>
    </row>
    <row r="65" spans="1:5"/>
    <row r="66" spans="1:5"/>
    <row r="67" spans="1:5"/>
    <row r="68" spans="1:5"/>
    <row r="69" spans="1:5"/>
    <row r="70" spans="1:5">
      <c r="B70" s="1" t="s">
        <v>620</v>
      </c>
      <c r="C70" s="1" t="s">
        <v>619</v>
      </c>
      <c r="D70" s="1" t="s">
        <v>2</v>
      </c>
    </row>
    <row r="71" spans="1:5">
      <c r="A71" s="1" t="s">
        <v>482</v>
      </c>
      <c r="B71" s="115"/>
      <c r="C71" s="115"/>
      <c r="D71" s="123">
        <f>E71</f>
        <v>0.1</v>
      </c>
      <c r="E71" s="1">
        <f>Z21</f>
        <v>0.1</v>
      </c>
    </row>
    <row r="72" spans="1:5">
      <c r="A72" s="1" t="s">
        <v>1175</v>
      </c>
      <c r="B72" s="115"/>
      <c r="C72" s="115"/>
      <c r="D72" s="115"/>
    </row>
    <row r="73" spans="1:5">
      <c r="A73" s="1" t="s">
        <v>613</v>
      </c>
      <c r="B73" s="115"/>
      <c r="C73" s="115"/>
      <c r="D73" s="115"/>
    </row>
    <row r="74" spans="1:5">
      <c r="A74" s="1" t="s">
        <v>625</v>
      </c>
      <c r="B74" s="116"/>
      <c r="C74" s="116"/>
      <c r="D74" s="120">
        <f>Z21</f>
        <v>0.1</v>
      </c>
    </row>
    <row r="75" spans="1:5">
      <c r="B75" s="117"/>
      <c r="C75" s="117"/>
      <c r="D75" s="118"/>
    </row>
    <row r="76" spans="1:5"/>
    <row r="77" spans="1:5">
      <c r="A77" s="98"/>
    </row>
    <row r="78" spans="1:5">
      <c r="A78" s="98"/>
    </row>
    <row r="79" spans="1:5">
      <c r="A79" s="98"/>
    </row>
    <row r="80" spans="1:5">
      <c r="A80" s="98"/>
    </row>
    <row r="81" spans="1:16">
      <c r="A81" s="98"/>
      <c r="B81" s="1" t="s">
        <v>620</v>
      </c>
      <c r="C81" s="1" t="s">
        <v>618</v>
      </c>
      <c r="D81" s="1" t="s">
        <v>2</v>
      </c>
    </row>
    <row r="82" spans="1:16">
      <c r="A82" s="1" t="s">
        <v>483</v>
      </c>
      <c r="B82" s="115"/>
      <c r="C82" s="115"/>
      <c r="D82" s="115"/>
    </row>
    <row r="83" spans="1:16">
      <c r="A83" s="1" t="s">
        <v>484</v>
      </c>
      <c r="B83" s="115"/>
      <c r="C83" s="115"/>
      <c r="D83" s="115"/>
    </row>
    <row r="84" spans="1:16"/>
    <row r="85" spans="1:16"/>
    <row r="86" spans="1:16"/>
    <row r="87" spans="1:16"/>
    <row r="88" spans="1:16" ht="17" customHeight="1"/>
    <row r="89" spans="1:16" ht="17" customHeight="1"/>
    <row r="90" spans="1:16" ht="17" customHeight="1"/>
    <row r="91" spans="1:16" ht="17" customHeight="1"/>
    <row r="92" spans="1:16">
      <c r="A92" s="1" t="s">
        <v>621</v>
      </c>
      <c r="B92" s="119">
        <f>SUM(C48:C49,C38:C39,D29:D30)</f>
        <v>6.68</v>
      </c>
    </row>
    <row r="93" spans="1:16"/>
    <row r="94" spans="1:16"/>
    <row r="95" spans="1:16"/>
    <row r="96" spans="1:16" s="107" customFormat="1" ht="21">
      <c r="A96" s="107" t="s">
        <v>622</v>
      </c>
      <c r="B96" s="115">
        <f>E96</f>
        <v>8.35</v>
      </c>
      <c r="E96" s="1">
        <f>B92*(1/0.8)</f>
        <v>8.35</v>
      </c>
      <c r="F96" s="107" t="s">
        <v>1180</v>
      </c>
      <c r="O96" s="229"/>
      <c r="P96" s="229"/>
    </row>
    <row r="97" spans="1:16"/>
    <row r="98" spans="1:16"/>
    <row r="99" spans="1:16" s="107" customFormat="1" ht="42">
      <c r="A99" s="107" t="s">
        <v>623</v>
      </c>
      <c r="B99" s="408">
        <f>B92/B96</f>
        <v>0.8</v>
      </c>
      <c r="O99" s="229"/>
      <c r="P99" s="229"/>
    </row>
    <row r="100" spans="1:16"/>
    <row r="101" spans="1:16"/>
    <row r="102" spans="1:16"/>
    <row r="103" spans="1:16"/>
    <row r="104" spans="1:16"/>
    <row r="105" spans="1:16"/>
    <row r="106" spans="1:16"/>
    <row r="107" spans="1:16"/>
    <row r="108" spans="1:16">
      <c r="A108" s="101" t="s">
        <v>624</v>
      </c>
      <c r="B108" s="120">
        <f>D72*B64</f>
        <v>0</v>
      </c>
    </row>
    <row r="109" spans="1:16">
      <c r="A109" s="101" t="s">
        <v>626</v>
      </c>
      <c r="B109" s="120">
        <f>D71*B60*B96</f>
        <v>0.13916666666666666</v>
      </c>
    </row>
    <row r="110" spans="1:16">
      <c r="A110" s="101" t="s">
        <v>485</v>
      </c>
      <c r="B110" s="115"/>
    </row>
    <row r="111" spans="1:16">
      <c r="A111" s="1" t="s">
        <v>627</v>
      </c>
      <c r="B111" s="1">
        <f>SUM(B108:B110)</f>
        <v>0.13916666666666666</v>
      </c>
    </row>
    <row r="112" spans="1:16">
      <c r="A112" s="101"/>
    </row>
    <row r="113" spans="1:12">
      <c r="A113" s="101"/>
    </row>
    <row r="114" spans="1:12">
      <c r="A114" s="101"/>
    </row>
    <row r="115" spans="1:12">
      <c r="A115" s="101"/>
    </row>
    <row r="116" spans="1:12">
      <c r="A116" s="101"/>
    </row>
    <row r="117" spans="1:12">
      <c r="A117" s="101"/>
    </row>
    <row r="118" spans="1:12">
      <c r="A118" s="101"/>
    </row>
    <row r="119" spans="1:12">
      <c r="A119" s="101"/>
    </row>
    <row r="120" spans="1:12">
      <c r="A120" s="101"/>
    </row>
    <row r="121" spans="1:12">
      <c r="A121" s="101"/>
    </row>
    <row r="122" spans="1:12">
      <c r="A122" s="101"/>
    </row>
    <row r="123" spans="1:12">
      <c r="A123" s="101"/>
    </row>
    <row r="124" spans="1:12">
      <c r="A124" s="101"/>
      <c r="C124" s="126" t="s">
        <v>628</v>
      </c>
    </row>
    <row r="125" spans="1:12">
      <c r="A125" s="1" t="s">
        <v>486</v>
      </c>
      <c r="B125" s="122" t="s">
        <v>453</v>
      </c>
      <c r="C125" s="126">
        <f>ROUND(VLOOKUP(B125,[3]!State_energy_table[#Data],8,FALSE),2)</f>
        <v>0.22</v>
      </c>
      <c r="D125" s="1">
        <f>C125*B111</f>
        <v>3.0616666666666667E-2</v>
      </c>
    </row>
    <row r="126" spans="1:12"/>
    <row r="127" spans="1:12"/>
    <row r="128" spans="1:12">
      <c r="A128" s="127" t="s">
        <v>636</v>
      </c>
      <c r="B128" s="128"/>
      <c r="C128" s="129"/>
      <c r="D128" s="129"/>
      <c r="E128" s="129"/>
      <c r="F128" s="129"/>
      <c r="G128" s="129"/>
      <c r="H128" s="129"/>
      <c r="I128" s="129"/>
      <c r="J128" s="124"/>
      <c r="K128" s="124"/>
      <c r="L128" s="124"/>
    </row>
    <row r="129" spans="1:12">
      <c r="A129" s="327" t="s">
        <v>629</v>
      </c>
      <c r="B129" s="327"/>
      <c r="C129" s="327"/>
      <c r="D129" s="327"/>
      <c r="E129" s="327"/>
      <c r="F129" s="327"/>
      <c r="G129" s="327"/>
      <c r="H129" s="327"/>
      <c r="I129" s="327"/>
      <c r="J129" s="124"/>
      <c r="K129" s="124"/>
      <c r="L129" s="124"/>
    </row>
    <row r="130" spans="1:12" ht="42">
      <c r="A130" s="130" t="s">
        <v>630</v>
      </c>
      <c r="B130" s="130" t="s">
        <v>631</v>
      </c>
      <c r="C130" s="130" t="s">
        <v>632</v>
      </c>
      <c r="D130" s="130" t="s">
        <v>633</v>
      </c>
      <c r="E130" s="130" t="s">
        <v>634</v>
      </c>
      <c r="F130" s="130" t="s">
        <v>10</v>
      </c>
      <c r="G130" s="130" t="s">
        <v>11</v>
      </c>
      <c r="H130" s="130" t="s">
        <v>12</v>
      </c>
      <c r="I130" s="130" t="s">
        <v>635</v>
      </c>
      <c r="K130" s="125"/>
    </row>
    <row r="131" spans="1:12">
      <c r="A131" s="409">
        <v>0</v>
      </c>
      <c r="B131" s="409">
        <v>0</v>
      </c>
      <c r="C131" s="409">
        <v>0</v>
      </c>
      <c r="D131" s="409">
        <v>0</v>
      </c>
      <c r="E131" s="409">
        <v>0</v>
      </c>
      <c r="F131" s="409">
        <v>0</v>
      </c>
      <c r="G131" s="409">
        <v>0</v>
      </c>
      <c r="H131" s="409">
        <v>0</v>
      </c>
      <c r="I131" s="409">
        <v>0</v>
      </c>
      <c r="K131" s="124"/>
    </row>
    <row r="132" spans="1:12">
      <c r="A132" s="132"/>
      <c r="B132" s="132"/>
      <c r="C132" s="132"/>
      <c r="D132" s="132"/>
      <c r="E132" s="132"/>
      <c r="F132" s="132"/>
      <c r="G132" s="132"/>
      <c r="H132" s="132"/>
      <c r="I132" s="132"/>
    </row>
    <row r="133" spans="1:12"/>
    <row r="134" spans="1:12"/>
    <row r="135" spans="1:12"/>
    <row r="136" spans="1:12"/>
    <row r="137" spans="1:12">
      <c r="A137" s="290"/>
      <c r="B137" s="290"/>
      <c r="C137" s="290"/>
      <c r="D137" s="290"/>
      <c r="E137" s="290"/>
    </row>
    <row r="138" spans="1:12">
      <c r="A138" s="290"/>
      <c r="B138" s="290"/>
      <c r="C138" s="290"/>
      <c r="D138" s="290"/>
      <c r="E138" s="290"/>
    </row>
    <row r="139" spans="1:12">
      <c r="A139" s="290"/>
      <c r="B139" s="290"/>
      <c r="C139" s="290"/>
      <c r="D139" s="290"/>
      <c r="E139" s="290"/>
    </row>
    <row r="140" spans="1:12">
      <c r="A140" s="290"/>
      <c r="B140" s="290"/>
      <c r="C140" s="290"/>
      <c r="D140" s="290"/>
      <c r="E140" s="290"/>
    </row>
    <row r="141" spans="1:12">
      <c r="A141" s="290" t="s">
        <v>640</v>
      </c>
      <c r="B141" s="297">
        <f>SUM(G29:G30)</f>
        <v>1</v>
      </c>
      <c r="C141" s="290"/>
      <c r="D141" s="290"/>
      <c r="E141" s="290"/>
    </row>
    <row r="142" spans="1:12">
      <c r="A142" s="290"/>
      <c r="B142" s="290"/>
      <c r="C142" s="290"/>
      <c r="D142" s="290"/>
      <c r="E142" s="290"/>
    </row>
    <row r="143" spans="1:12">
      <c r="A143" s="290" t="s">
        <v>637</v>
      </c>
      <c r="B143" s="410">
        <v>3</v>
      </c>
      <c r="C143" s="290"/>
      <c r="D143" s="290"/>
      <c r="E143" s="290"/>
    </row>
    <row r="144" spans="1:12">
      <c r="A144" s="290"/>
      <c r="B144" s="290"/>
      <c r="C144" s="290"/>
      <c r="D144" s="290"/>
      <c r="E144" s="290"/>
    </row>
    <row r="145" spans="1:5">
      <c r="A145" s="290"/>
      <c r="B145" s="290"/>
      <c r="C145" s="290"/>
      <c r="D145" s="290"/>
      <c r="E145" s="290"/>
    </row>
    <row r="146" spans="1:5">
      <c r="A146" s="290" t="s">
        <v>638</v>
      </c>
      <c r="B146" s="411">
        <f>B143/B141</f>
        <v>3</v>
      </c>
      <c r="C146" s="290"/>
      <c r="D146" s="290"/>
      <c r="E146" s="290"/>
    </row>
    <row r="147" spans="1:5">
      <c r="A147" s="290"/>
      <c r="B147" s="290"/>
      <c r="C147" s="290"/>
      <c r="D147" s="290"/>
      <c r="E147" s="290"/>
    </row>
    <row r="148" spans="1:5">
      <c r="A148" s="290" t="s">
        <v>639</v>
      </c>
      <c r="B148" s="292">
        <f>B141-B143</f>
        <v>-2</v>
      </c>
      <c r="C148" s="290"/>
      <c r="D148" s="290"/>
      <c r="E148" s="290"/>
    </row>
    <row r="149" spans="1:5"/>
    <row r="150" spans="1:5"/>
    <row r="151" spans="1:5"/>
    <row r="152" spans="1:5"/>
    <row r="153" spans="1:5"/>
    <row r="154" spans="1:5"/>
    <row r="155" spans="1:5"/>
    <row r="156" spans="1:5"/>
    <row r="157" spans="1:5">
      <c r="A157" s="290"/>
      <c r="B157" s="290"/>
      <c r="C157" s="290"/>
      <c r="D157" s="290"/>
    </row>
    <row r="158" spans="1:5">
      <c r="A158" s="291" t="s">
        <v>487</v>
      </c>
      <c r="B158" s="292">
        <f>B143</f>
        <v>3</v>
      </c>
      <c r="C158" s="290"/>
      <c r="D158" s="290"/>
    </row>
    <row r="159" spans="1:5">
      <c r="A159" s="291" t="s">
        <v>488</v>
      </c>
      <c r="B159" s="412"/>
      <c r="C159" s="290"/>
      <c r="D159" s="290"/>
    </row>
    <row r="160" spans="1:5">
      <c r="A160" s="290" t="s">
        <v>645</v>
      </c>
      <c r="B160" s="412"/>
      <c r="C160" s="290"/>
      <c r="D160" s="290"/>
    </row>
    <row r="161" spans="1:6">
      <c r="A161" s="290"/>
      <c r="B161" s="290"/>
      <c r="C161" s="290"/>
      <c r="D161" s="290"/>
    </row>
    <row r="162" spans="1:6">
      <c r="A162" s="290" t="s">
        <v>641</v>
      </c>
      <c r="B162" s="292">
        <f>SUM(B158:B159)</f>
        <v>3</v>
      </c>
      <c r="C162" s="290"/>
      <c r="D162" s="290"/>
    </row>
    <row r="163" spans="1:6">
      <c r="A163" s="291" t="s">
        <v>642</v>
      </c>
      <c r="B163" s="290">
        <f>B92</f>
        <v>6.68</v>
      </c>
      <c r="C163" s="290"/>
      <c r="D163" s="290"/>
    </row>
    <row r="164" spans="1:6">
      <c r="A164" s="291"/>
      <c r="B164" s="290"/>
      <c r="C164" s="290"/>
      <c r="D164" s="290"/>
    </row>
    <row r="165" spans="1:6">
      <c r="A165" s="101"/>
    </row>
    <row r="166" spans="1:6">
      <c r="A166" s="101"/>
    </row>
    <row r="167" spans="1:6">
      <c r="A167" s="101"/>
    </row>
    <row r="168" spans="1:6">
      <c r="A168" s="101"/>
    </row>
    <row r="169" spans="1:6">
      <c r="A169" s="133"/>
      <c r="B169" s="109" t="s">
        <v>178</v>
      </c>
      <c r="C169" s="109" t="s">
        <v>177</v>
      </c>
      <c r="D169" s="109" t="s">
        <v>179</v>
      </c>
      <c r="E169" s="109" t="s">
        <v>643</v>
      </c>
      <c r="F169" s="109" t="s">
        <v>644</v>
      </c>
    </row>
    <row r="170" spans="1:6">
      <c r="A170" s="101" t="s">
        <v>489</v>
      </c>
      <c r="B170" s="1" t="s">
        <v>191</v>
      </c>
      <c r="C170" s="1" t="str">
        <f>VLOOKUP(B170,[3]!GHG_Table[#Data],2,FALSE)</f>
        <v>AR4-100</v>
      </c>
      <c r="D170" s="1">
        <f>VLOOKUP(B170,[3]!GHG_Table[#Data],3,FALSE)</f>
        <v>1</v>
      </c>
      <c r="E170" s="413">
        <v>0</v>
      </c>
      <c r="F170" s="1">
        <f>D170*E170</f>
        <v>0</v>
      </c>
    </row>
    <row r="171" spans="1:6">
      <c r="A171" s="101" t="s">
        <v>543</v>
      </c>
      <c r="B171" s="1" t="s">
        <v>541</v>
      </c>
      <c r="C171" s="1" t="str">
        <f>VLOOKUP(B171,[3]!GHG_Table[#Data],2,FALSE)</f>
        <v>NA</v>
      </c>
      <c r="D171" s="1">
        <f>VLOOKUP(B171,[3]!GHG_Table[#Data],3,FALSE)</f>
        <v>0</v>
      </c>
      <c r="E171" s="413">
        <v>0</v>
      </c>
      <c r="F171" s="1">
        <f>D171*E171</f>
        <v>0</v>
      </c>
    </row>
    <row r="172" spans="1:6">
      <c r="A172" s="101" t="s">
        <v>490</v>
      </c>
    </row>
    <row r="173" spans="1:6">
      <c r="A173" s="101"/>
    </row>
    <row r="174" spans="1:6">
      <c r="A174" s="101"/>
    </row>
    <row r="175" spans="1:6">
      <c r="A175" s="133"/>
    </row>
    <row r="176" spans="1:6">
      <c r="A176" s="134" t="s">
        <v>646</v>
      </c>
    </row>
    <row r="177" spans="1:2">
      <c r="A177" s="127" t="s">
        <v>491</v>
      </c>
    </row>
    <row r="178" spans="1:2">
      <c r="A178" s="127" t="s">
        <v>492</v>
      </c>
    </row>
    <row r="179" spans="1:2">
      <c r="A179" s="291"/>
      <c r="B179" s="290"/>
    </row>
    <row r="180" spans="1:2">
      <c r="A180" s="291"/>
      <c r="B180" s="290"/>
    </row>
    <row r="181" spans="1:2">
      <c r="A181" s="291"/>
      <c r="B181" s="290"/>
    </row>
    <row r="182" spans="1:2">
      <c r="A182" s="291"/>
      <c r="B182" s="290"/>
    </row>
    <row r="183" spans="1:2">
      <c r="A183" s="290" t="s">
        <v>493</v>
      </c>
      <c r="B183" s="300">
        <f>SUM(C48:C50)/B143</f>
        <v>0</v>
      </c>
    </row>
    <row r="184" spans="1:2">
      <c r="A184" s="290" t="s">
        <v>494</v>
      </c>
      <c r="B184" s="300">
        <f>ROUND(B160/B143,2)</f>
        <v>0</v>
      </c>
    </row>
    <row r="185" spans="1:2">
      <c r="A185" s="290"/>
      <c r="B185" s="290"/>
    </row>
    <row r="186" spans="1:2"/>
    <row r="187" spans="1:2" ht="21" customHeight="1"/>
    <row r="188" spans="1:2" ht="21" customHeight="1"/>
    <row r="189" spans="1:2">
      <c r="A189" s="1" t="s">
        <v>529</v>
      </c>
      <c r="B189" s="119">
        <f>ROUND(SUM(F170:F171)/B143,2)</f>
        <v>0</v>
      </c>
    </row>
    <row r="190" spans="1:2">
      <c r="A190" s="1" t="s">
        <v>495</v>
      </c>
    </row>
    <row r="191" spans="1:2"/>
    <row r="192" spans="1:2"/>
    <row r="193" spans="1:2"/>
    <row r="194" spans="1:2"/>
    <row r="195" spans="1:2">
      <c r="A195" s="98"/>
    </row>
    <row r="196" spans="1:2">
      <c r="A196" s="1" t="s">
        <v>496</v>
      </c>
      <c r="B196" s="119">
        <f>B111</f>
        <v>0.13916666666666666</v>
      </c>
    </row>
    <row r="197" spans="1:2"/>
    <row r="198" spans="1:2"/>
    <row r="199" spans="1:2"/>
    <row r="200" spans="1:2"/>
    <row r="201" spans="1:2"/>
    <row r="202" spans="1:2"/>
    <row r="203" spans="1:2"/>
    <row r="204" spans="1:2">
      <c r="A204" s="100" t="s">
        <v>497</v>
      </c>
      <c r="B204" s="119">
        <f>SUM(D125,F170:F171)</f>
        <v>3.0616666666666667E-2</v>
      </c>
    </row>
    <row r="205" spans="1:2">
      <c r="A205" s="102" t="s">
        <v>498</v>
      </c>
      <c r="B205" s="119"/>
    </row>
    <row r="206" spans="1:2">
      <c r="A206" s="102" t="s">
        <v>499</v>
      </c>
      <c r="B206" s="119"/>
    </row>
    <row r="207" spans="1:2">
      <c r="A207" s="102" t="s">
        <v>500</v>
      </c>
      <c r="B207" s="119"/>
    </row>
    <row r="208" spans="1:2">
      <c r="A208" s="100" t="s">
        <v>753</v>
      </c>
      <c r="B208" s="119">
        <f>B111</f>
        <v>0.13916666666666666</v>
      </c>
    </row>
    <row r="209" spans="1:2">
      <c r="A209" s="100" t="s">
        <v>501</v>
      </c>
      <c r="B209" s="119">
        <f>SUM(C48:C50)</f>
        <v>0</v>
      </c>
    </row>
    <row r="210" spans="1:2"/>
    <row r="211" spans="1:2"/>
    <row r="212" spans="1:2"/>
    <row r="213" spans="1:2"/>
    <row r="214" spans="1:2"/>
    <row r="215" spans="1:2"/>
    <row r="216" spans="1:2"/>
    <row r="217" spans="1:2"/>
    <row r="218" spans="1:2"/>
    <row r="219" spans="1:2" ht="20" customHeight="1"/>
  </sheetData>
  <mergeCells count="1">
    <mergeCell ref="A129:I129"/>
  </mergeCells>
  <dataValidations count="4">
    <dataValidation type="list" allowBlank="1" showInputMessage="1" showErrorMessage="1" sqref="B15:B20 B22:B27" xr:uid="{8FCD297C-83C7-D040-9DF1-A75CA5151BA8}">
      <formula1>"Precursor Synthesis,Calcination,Milling,Filtering,Washing,Drying"</formula1>
    </dataValidation>
    <dataValidation type="list" allowBlank="1" showInputMessage="1" showErrorMessage="1" sqref="B170:B171" xr:uid="{3D2DF59D-0E8D-7245-AD26-0DCB0F43C2F5}">
      <formula1>GHG_chemical_gas</formula1>
    </dataValidation>
    <dataValidation type="list" allowBlank="1" showInputMessage="1" showErrorMessage="1" sqref="B62" xr:uid="{6DD0DDDF-C1D4-8B4B-BE80-972445FC46EB}">
      <formula1>"Active Process Time Only,Includes Warm-up/Cool-down"</formula1>
    </dataValidation>
    <dataValidation type="list" allowBlank="1" showInputMessage="1" showErrorMessage="1" sqref="B48" xr:uid="{3431A2DF-0652-4944-986D-7AE66EE42EF0}">
      <formula1>"Municipal water, RO water, DIW, UPW"</formula1>
    </dataValidation>
  </dataValidations>
  <hyperlinks>
    <hyperlink ref="Y35" location="All_Equipment!A1" display="Click here to add your process into database" xr:uid="{B06F7E34-5A80-9C46-AC2E-3AC64EE3AEF6}"/>
  </hyperlinks>
  <pageMargins left="0.7" right="0.7" top="0.75" bottom="0.75" header="0.3" footer="0.3"/>
  <pageSetup scale="28" orientation="portrait" horizontalDpi="0" verticalDpi="0"/>
  <drawing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AB2813-E755-7946-ABEA-A2B072E118C9}">
  <sheetPr>
    <tabColor rgb="FFFFCD00"/>
    <pageSetUpPr fitToPage="1"/>
  </sheetPr>
  <dimension ref="A1:BA219"/>
  <sheetViews>
    <sheetView showGridLines="0" zoomScaleNormal="159" workbookViewId="0">
      <selection activeCell="F21" sqref="F21"/>
    </sheetView>
  </sheetViews>
  <sheetFormatPr baseColWidth="10" defaultColWidth="10.83203125" defaultRowHeight="20" customHeight="1" zeroHeight="1"/>
  <cols>
    <col min="1" max="1" width="48.1640625" style="1" bestFit="1" customWidth="1"/>
    <col min="2" max="2" width="27.5" style="1" customWidth="1"/>
    <col min="3" max="3" width="27.1640625" style="1" customWidth="1"/>
    <col min="4" max="6" width="30.33203125" style="1" customWidth="1"/>
    <col min="7" max="7" width="30.6640625" style="1" customWidth="1"/>
    <col min="8" max="8" width="12.6640625" style="1" bestFit="1" customWidth="1"/>
    <col min="9" max="14" width="10.83203125" style="1"/>
    <col min="15" max="16" width="10.83203125" style="227"/>
    <col min="17" max="17" width="10.83203125" style="1"/>
    <col min="18" max="18" width="41.33203125" style="1" customWidth="1"/>
    <col min="19" max="21" width="11" style="1" bestFit="1" customWidth="1"/>
    <col min="22" max="22" width="14.1640625" style="1" bestFit="1" customWidth="1"/>
    <col min="23" max="24" width="11" style="1" bestFit="1" customWidth="1"/>
    <col min="25" max="25" width="50.83203125" style="1" customWidth="1"/>
    <col min="26" max="26" width="20.1640625" style="1" customWidth="1"/>
    <col min="27" max="27" width="11.1640625" style="1" bestFit="1" customWidth="1"/>
    <col min="28" max="28" width="15.83203125" style="1" bestFit="1" customWidth="1"/>
    <col min="29" max="30" width="10.83203125" style="1"/>
    <col min="31" max="31" width="17.5" style="1" bestFit="1" customWidth="1"/>
    <col min="32" max="32" width="10.83203125" style="1"/>
    <col min="33" max="33" width="50.1640625" style="1" bestFit="1" customWidth="1"/>
    <col min="34" max="38" width="10.83203125" style="1"/>
    <col min="39" max="39" width="17.6640625" style="1" customWidth="1"/>
    <col min="40" max="42" width="11.33203125" style="1" bestFit="1" customWidth="1"/>
    <col min="43" max="43" width="14.5" style="1" bestFit="1" customWidth="1"/>
    <col min="44" max="47" width="11.33203125" style="1" bestFit="1" customWidth="1"/>
    <col min="48" max="48" width="13" style="1" bestFit="1" customWidth="1"/>
    <col min="49" max="49" width="16" style="1" bestFit="1" customWidth="1"/>
    <col min="50" max="51" width="11.33203125" style="1" bestFit="1" customWidth="1"/>
    <col min="52" max="52" width="15.83203125" style="1" bestFit="1" customWidth="1"/>
    <col min="53" max="16384" width="10.83203125" style="1"/>
  </cols>
  <sheetData>
    <row r="1" spans="1:44"/>
    <row r="2" spans="1:44"/>
    <row r="3" spans="1:44"/>
    <row r="4" spans="1:44" ht="26" customHeight="1"/>
    <row r="5" spans="1:44"/>
    <row r="6" spans="1:44"/>
    <row r="7" spans="1:44"/>
    <row r="8" spans="1:44">
      <c r="A8" s="98"/>
    </row>
    <row r="9" spans="1:44">
      <c r="A9" s="98"/>
    </row>
    <row r="10" spans="1:44">
      <c r="A10" s="98"/>
    </row>
    <row r="11" spans="1:44">
      <c r="A11" s="98"/>
    </row>
    <row r="12" spans="1:44">
      <c r="A12" s="98"/>
    </row>
    <row r="13" spans="1:44">
      <c r="A13" s="98"/>
    </row>
    <row r="14" spans="1:44" ht="30">
      <c r="A14" s="1" t="s">
        <v>472</v>
      </c>
      <c r="B14" s="233" t="s">
        <v>5</v>
      </c>
    </row>
    <row r="15" spans="1:44"/>
    <row r="16" spans="1:44">
      <c r="AR16" s="1" t="s">
        <v>595</v>
      </c>
    </row>
    <row r="17" spans="1:48">
      <c r="AU17" s="407" t="e">
        <f>ROUND(_xlfn.PERCENTRANK.INC(INDEX(_xlfn.ANCHORARRAY(R45),0,7), Z26),4)</f>
        <v>#N/A</v>
      </c>
      <c r="AV17" s="407" t="e">
        <f>ROUND(_xlfn.PERCENTRANK.INC(AV20:AV24, Z26),4)</f>
        <v>#N/A</v>
      </c>
    </row>
    <row r="18" spans="1:48">
      <c r="G18" s="301"/>
      <c r="AS18" s="1" t="s">
        <v>598</v>
      </c>
      <c r="AT18" s="1" t="s">
        <v>599</v>
      </c>
    </row>
    <row r="19" spans="1:48" ht="26">
      <c r="A19" s="99"/>
      <c r="R19" s="143" t="s">
        <v>600</v>
      </c>
      <c r="Y19" s="1" t="s">
        <v>1129</v>
      </c>
      <c r="Z19" s="120" t="str">
        <f>B14</f>
        <v>Milling</v>
      </c>
      <c r="AG19" s="143" t="s">
        <v>1134</v>
      </c>
      <c r="AS19" s="1">
        <v>0</v>
      </c>
      <c r="AT19" s="231" t="e">
        <f>AV17</f>
        <v>#N/A</v>
      </c>
    </row>
    <row r="20" spans="1:48">
      <c r="A20" s="98"/>
      <c r="R20" s="51" t="str" cm="1">
        <f t="array" ref="R20:R28">_xlfn.UNIQUE([3]!Equipment_Database[Tool Used for process])</f>
        <v>Annealing</v>
      </c>
      <c r="Z20" s="137" t="s">
        <v>590</v>
      </c>
      <c r="AA20" s="137" t="s">
        <v>8</v>
      </c>
      <c r="AB20" s="137" t="s">
        <v>1</v>
      </c>
      <c r="AG20" s="1" t="str" cm="1">
        <f t="array" ref="AG20:AG34">_xlfn.UNIQUE([3]!Process_time_database[Process Name])</f>
        <v>Annealing</v>
      </c>
      <c r="AR20" s="1" t="s">
        <v>596</v>
      </c>
      <c r="AS20" s="407">
        <v>0.25</v>
      </c>
      <c r="AT20" s="407">
        <v>0.04</v>
      </c>
      <c r="AV20" s="1">
        <f>ROUND(MIN(INDEX(_xlfn.ANCHORARRAY(R45),0,7)),2)</f>
        <v>2.1</v>
      </c>
    </row>
    <row r="21" spans="1:48">
      <c r="A21" s="98"/>
      <c r="R21" s="1" t="str">
        <v>Calcination</v>
      </c>
      <c r="Y21" s="51" t="s">
        <v>1227</v>
      </c>
      <c r="Z21" s="138">
        <f>ROUND(AVERAGE(INDEX(_xlfn.ANCHORARRAY(R45),0,14)),2)</f>
        <v>1.0900000000000001</v>
      </c>
      <c r="AA21" s="138">
        <f>ROUND(MIN(INDEX(_xlfn.ANCHORARRAY(R45),0,14)),2)</f>
        <v>0.11</v>
      </c>
      <c r="AB21" s="138">
        <f>ROUND(MAX(INDEX(_xlfn.ANCHORARRAY(R45),0,14)),2)</f>
        <v>2.75</v>
      </c>
      <c r="AG21" s="1" t="str">
        <v>Calcination</v>
      </c>
      <c r="AR21" s="1" t="s">
        <v>2</v>
      </c>
      <c r="AS21" s="407">
        <v>0.5</v>
      </c>
      <c r="AT21" s="407">
        <v>1.38</v>
      </c>
      <c r="AV21" s="1">
        <f>ROUND(PERCENTILE(INDEX(_xlfn.ANCHORARRAY(R45),0,7),0.25),2)</f>
        <v>15</v>
      </c>
    </row>
    <row r="22" spans="1:48">
      <c r="A22" s="98"/>
      <c r="R22" s="1" t="str">
        <v>Centrifuge</v>
      </c>
      <c r="Y22" s="51" t="s">
        <v>1181</v>
      </c>
      <c r="Z22" s="138">
        <f>ROUND(AVERAGE(INDEX(_xlfn.ANCHORARRAY(R45),0,11)),2)</f>
        <v>83.09</v>
      </c>
      <c r="AA22" s="138">
        <f>ROUND(MIN(INDEX(_xlfn.ANCHORARRAY(R45),0,11)),2)</f>
        <v>0.8</v>
      </c>
      <c r="AB22" s="138">
        <f>ROUND(MAX(INDEX(_xlfn.ANCHORARRAY(R45),0,11)),2)</f>
        <v>489.6</v>
      </c>
      <c r="AG22" s="1" t="str">
        <v>centrifuge</v>
      </c>
      <c r="AR22" s="1" t="s">
        <v>597</v>
      </c>
      <c r="AS22" s="407">
        <v>0.25</v>
      </c>
      <c r="AV22" s="1">
        <f>ROUND(AVERAGE(INDEX(_xlfn.ANCHORARRAY(R45),0,7)),2)</f>
        <v>53.75</v>
      </c>
    </row>
    <row r="23" spans="1:48">
      <c r="A23" s="98"/>
      <c r="R23" s="1" t="str">
        <v>Drying</v>
      </c>
      <c r="Y23" s="51" t="s">
        <v>647</v>
      </c>
      <c r="Z23" s="138">
        <f>ROUND(AVERAGE(INDEX(_xlfn.ANCHORARRAY(AM45),0,7)),2)</f>
        <v>7.44</v>
      </c>
      <c r="AA23" s="138">
        <f>ROUND(MIN(INDEX(_xlfn.ANCHORARRAY(AM45),0,7)),2)</f>
        <v>0</v>
      </c>
      <c r="AB23" s="138">
        <f>ROUND(MAX(INDEX(_xlfn.ANCHORARRAY(AM45),0,7)),2)</f>
        <v>40</v>
      </c>
      <c r="AG23" s="1" t="str">
        <v>drying</v>
      </c>
      <c r="AR23" s="1" t="s">
        <v>1</v>
      </c>
      <c r="AS23" s="407">
        <v>1</v>
      </c>
      <c r="AV23" s="1">
        <f>ROUND(PERCENTILE(INDEX(_xlfn.ANCHORARRAY(R45),0,7),0.75),2)</f>
        <v>75</v>
      </c>
    </row>
    <row r="24" spans="1:48">
      <c r="A24" s="98"/>
      <c r="G24" s="1" t="s">
        <v>659</v>
      </c>
      <c r="R24" s="1" t="str">
        <v>Filtration</v>
      </c>
      <c r="Y24" s="51"/>
      <c r="AG24" s="1" t="str">
        <v>Emulsification</v>
      </c>
      <c r="AV24" s="1">
        <f>ROUND(MAX(INDEX(_xlfn.ANCHORARRAY(R45),0,7)),2)</f>
        <v>250</v>
      </c>
    </row>
    <row r="25" spans="1:48">
      <c r="A25" s="98"/>
      <c r="R25" s="1" t="str">
        <v>Hydrothermal</v>
      </c>
      <c r="Y25" s="51"/>
      <c r="AG25" s="1" t="str">
        <v>Filtration</v>
      </c>
    </row>
    <row r="26" spans="1:48">
      <c r="A26" s="98"/>
      <c r="E26" s="290"/>
      <c r="F26" s="290"/>
      <c r="G26" s="290"/>
      <c r="H26" s="290"/>
      <c r="I26" s="290"/>
      <c r="J26" s="290"/>
      <c r="K26" s="290"/>
      <c r="R26" s="1" t="str">
        <v>Milling</v>
      </c>
      <c r="Y26" s="51" t="s">
        <v>648</v>
      </c>
      <c r="Z26" s="139">
        <v>1.56</v>
      </c>
      <c r="AG26" s="1" t="str">
        <v>hydrothermal</v>
      </c>
    </row>
    <row r="27" spans="1:48">
      <c r="A27" s="98"/>
      <c r="E27" s="290"/>
      <c r="F27" s="290"/>
      <c r="G27" s="290"/>
      <c r="H27" s="290"/>
      <c r="I27" s="290"/>
      <c r="J27" s="290"/>
      <c r="K27" s="290"/>
      <c r="R27" s="1" t="str">
        <v>Sonication</v>
      </c>
      <c r="AG27" s="1" t="str">
        <v>Milling</v>
      </c>
    </row>
    <row r="28" spans="1:48" s="104" customFormat="1" ht="42">
      <c r="A28" s="103"/>
      <c r="B28" s="103" t="s">
        <v>609</v>
      </c>
      <c r="C28" s="103" t="s">
        <v>537</v>
      </c>
      <c r="D28" s="103" t="s">
        <v>473</v>
      </c>
      <c r="E28" s="294" t="s">
        <v>534</v>
      </c>
      <c r="F28" s="294" t="s">
        <v>607</v>
      </c>
      <c r="G28" s="295" t="s">
        <v>608</v>
      </c>
      <c r="H28" s="294"/>
      <c r="I28" s="294"/>
      <c r="J28" s="296"/>
      <c r="K28" s="296"/>
      <c r="O28" s="228"/>
      <c r="P28" s="228"/>
      <c r="R28" s="104" t="str">
        <v>Mixing</v>
      </c>
      <c r="Y28" s="1"/>
      <c r="Z28" s="1"/>
      <c r="AG28" s="104" t="str">
        <v>mixing</v>
      </c>
    </row>
    <row r="29" spans="1:48">
      <c r="A29" s="101" t="s">
        <v>474</v>
      </c>
      <c r="B29" s="115" t="s">
        <v>658</v>
      </c>
      <c r="C29" s="1" t="str">
        <f>_xlfn.IFNA(VLOOKUP(B29,[3]!Cerium_precursor_table[#Data],2,FALSE),0)</f>
        <v>CeO2</v>
      </c>
      <c r="D29" s="115">
        <v>1</v>
      </c>
      <c r="E29" s="290" t="str">
        <f>_xlfn.IFNA(VLOOKUP(B29,[3]!Cerium_precursor_table[#Data],9,FALSE),0)</f>
        <v>CeO2</v>
      </c>
      <c r="F29" s="290">
        <f>_xlfn.IFNA(VLOOKUP(B29,[3]!Cerium_precursor_table[#Data],11,FALSE),0)</f>
        <v>1</v>
      </c>
      <c r="G29" s="297">
        <f>IFERROR(ROUND(D29*(VLOOKUP(B29,[3]!Cerium_precursor_table[#Data],10,FALSE)*F29)/(VLOOKUP(B29,[3]!Cerium_precursor_table[#Data],7,FALSE)),2),0)</f>
        <v>1</v>
      </c>
      <c r="H29" s="292"/>
      <c r="I29" s="290"/>
      <c r="J29" s="290"/>
      <c r="K29" s="290"/>
      <c r="Z29" s="136"/>
      <c r="AG29" s="1" t="str">
        <v>Outgassing</v>
      </c>
    </row>
    <row r="30" spans="1:48">
      <c r="A30" s="101" t="s">
        <v>475</v>
      </c>
      <c r="B30" s="115"/>
      <c r="C30" s="1">
        <f>_xlfn.IFNA(VLOOKUP(B30,[3]!Cerium_precursor_table[#Data],2,FALSE),0)</f>
        <v>0</v>
      </c>
      <c r="D30" s="115">
        <v>5.68</v>
      </c>
      <c r="E30" s="290">
        <f>_xlfn.IFNA(VLOOKUP(B30,[3]!Cerium_precursor_table[#Data],9,FALSE),0)</f>
        <v>0</v>
      </c>
      <c r="F30" s="290">
        <f>_xlfn.IFNA(VLOOKUP(B30,[3]!Cerium_precursor_table[#Data],11,FALSE),0)</f>
        <v>0</v>
      </c>
      <c r="G30" s="297">
        <f>IFERROR(ROUND(D30*(VLOOKUP(B30,[3]!Cerium_precursor_table[#Data],10,FALSE)*F30)/(VLOOKUP(B30,[3]!Cerium_precursor_table[#Data],7,FALSE)),2),0)</f>
        <v>0</v>
      </c>
      <c r="H30" s="292"/>
      <c r="I30" s="290"/>
      <c r="J30" s="290"/>
      <c r="K30" s="290"/>
      <c r="Y30" s="51" t="s">
        <v>650</v>
      </c>
      <c r="Z30" s="139">
        <v>2</v>
      </c>
      <c r="AG30" s="1" t="str">
        <v>sintering</v>
      </c>
    </row>
    <row r="31" spans="1:48">
      <c r="A31" s="101"/>
      <c r="B31" s="105"/>
      <c r="E31" s="290"/>
      <c r="F31" s="290"/>
      <c r="G31" s="290"/>
      <c r="H31" s="292"/>
      <c r="I31" s="290"/>
      <c r="J31" s="290"/>
      <c r="K31" s="290"/>
      <c r="Y31" s="51" t="s">
        <v>651</v>
      </c>
      <c r="Z31" s="138">
        <f>ROUND(Z21*Z23,2)</f>
        <v>8.11</v>
      </c>
      <c r="AG31" s="1" t="str">
        <v>Sonication</v>
      </c>
    </row>
    <row r="32" spans="1:48">
      <c r="A32" s="101"/>
      <c r="B32" s="105"/>
      <c r="E32" s="290"/>
      <c r="F32" s="290"/>
      <c r="G32" s="290"/>
      <c r="H32" s="292"/>
      <c r="I32" s="290"/>
      <c r="J32" s="290"/>
      <c r="K32" s="290"/>
      <c r="Y32" s="1" t="s">
        <v>649</v>
      </c>
      <c r="Z32" s="150">
        <f>ROUND(Z26*Z30,2)</f>
        <v>3.12</v>
      </c>
      <c r="AG32" s="1" t="str">
        <v>Sonochemical Method</v>
      </c>
    </row>
    <row r="33" spans="1:53">
      <c r="A33" s="101"/>
      <c r="B33" s="105"/>
      <c r="E33" s="290"/>
      <c r="F33" s="290"/>
      <c r="G33" s="290"/>
      <c r="H33" s="292"/>
      <c r="I33" s="290"/>
      <c r="J33" s="290"/>
      <c r="K33" s="290"/>
      <c r="AG33" s="1" t="str">
        <v>Stirring</v>
      </c>
    </row>
    <row r="34" spans="1:53">
      <c r="A34" s="101"/>
      <c r="B34" s="105"/>
      <c r="E34" s="290"/>
      <c r="F34" s="290"/>
      <c r="G34" s="290"/>
      <c r="H34" s="292"/>
      <c r="I34" s="290"/>
      <c r="J34" s="290"/>
      <c r="K34" s="290"/>
      <c r="Y34" s="140" t="s">
        <v>588</v>
      </c>
      <c r="AG34" s="1" t="str">
        <v>Washing</v>
      </c>
    </row>
    <row r="35" spans="1:53">
      <c r="A35" s="101"/>
      <c r="B35" s="105"/>
      <c r="E35" s="290"/>
      <c r="F35" s="290"/>
      <c r="G35" s="290"/>
      <c r="H35" s="292"/>
      <c r="I35" s="290"/>
      <c r="J35" s="290"/>
      <c r="K35" s="290"/>
      <c r="Y35" s="141" t="s">
        <v>589</v>
      </c>
    </row>
    <row r="36" spans="1:53">
      <c r="A36" s="101"/>
      <c r="B36" s="105"/>
      <c r="E36" s="290"/>
      <c r="F36" s="290"/>
      <c r="G36" s="290"/>
      <c r="H36" s="292"/>
      <c r="I36" s="290"/>
      <c r="J36" s="290"/>
      <c r="K36" s="290"/>
    </row>
    <row r="37" spans="1:53">
      <c r="A37" s="101"/>
      <c r="C37" s="101" t="s">
        <v>476</v>
      </c>
    </row>
    <row r="38" spans="1:53">
      <c r="A38" s="101" t="s">
        <v>477</v>
      </c>
      <c r="B38" s="115"/>
      <c r="C38" s="115"/>
    </row>
    <row r="39" spans="1:53">
      <c r="A39" s="101" t="s">
        <v>478</v>
      </c>
      <c r="B39" s="115"/>
      <c r="C39" s="115"/>
    </row>
    <row r="40" spans="1:53" ht="23" customHeight="1">
      <c r="A40" s="101"/>
    </row>
    <row r="41" spans="1:53">
      <c r="A41" s="101"/>
    </row>
    <row r="42" spans="1:53">
      <c r="A42" s="101"/>
    </row>
    <row r="43" spans="1:53">
      <c r="A43" s="101"/>
    </row>
    <row r="44" spans="1:53" ht="31" customHeight="1">
      <c r="A44" s="101"/>
      <c r="R44" s="154" t="s">
        <v>115</v>
      </c>
      <c r="S44" s="154" t="s">
        <v>98</v>
      </c>
      <c r="T44" s="154" t="s">
        <v>99</v>
      </c>
      <c r="U44" s="155" t="s">
        <v>100</v>
      </c>
      <c r="V44" s="156" t="s">
        <v>46</v>
      </c>
      <c r="W44" s="157" t="s">
        <v>47</v>
      </c>
      <c r="X44" s="154" t="s">
        <v>48</v>
      </c>
      <c r="Y44" s="154" t="s">
        <v>154</v>
      </c>
      <c r="Z44" s="154" t="s">
        <v>159</v>
      </c>
      <c r="AA44" s="154" t="s">
        <v>160</v>
      </c>
      <c r="AB44" s="158" t="s">
        <v>587</v>
      </c>
      <c r="AC44" s="154" t="s">
        <v>67</v>
      </c>
      <c r="AD44" s="154" t="s">
        <v>45</v>
      </c>
      <c r="AE44" s="154" t="s">
        <v>1228</v>
      </c>
      <c r="AM44" s="154" t="s">
        <v>115</v>
      </c>
      <c r="AN44" s="154" t="s">
        <v>98</v>
      </c>
      <c r="AO44" s="154" t="s">
        <v>99</v>
      </c>
      <c r="AP44" s="155" t="s">
        <v>100</v>
      </c>
      <c r="AQ44" s="156" t="s">
        <v>46</v>
      </c>
      <c r="AR44" s="157" t="s">
        <v>47</v>
      </c>
      <c r="AS44" s="154" t="s">
        <v>1131</v>
      </c>
      <c r="AT44" s="154" t="s">
        <v>154</v>
      </c>
      <c r="AU44" s="154" t="s">
        <v>159</v>
      </c>
      <c r="AV44" s="154" t="s">
        <v>160</v>
      </c>
      <c r="AW44" s="158" t="s">
        <v>587</v>
      </c>
      <c r="AX44" s="154" t="s">
        <v>67</v>
      </c>
      <c r="AY44" s="154" t="s">
        <v>45</v>
      </c>
      <c r="AZ44" s="154" t="s">
        <v>101</v>
      </c>
    </row>
    <row r="45" spans="1:53" ht="23" customHeight="1">
      <c r="A45" s="101"/>
      <c r="R45" s="159" t="str" cm="1">
        <f t="array" ref="R45:AF69">_xlfn._xlws.FILTER([3]!Equipment_Database[#All],[3]!Equipment_Database[[#All],[Tool Used for process]]=Z19)</f>
        <v>Milling</v>
      </c>
      <c r="S45" s="1">
        <v>0</v>
      </c>
      <c r="T45" s="1">
        <v>0</v>
      </c>
      <c r="U45" s="1">
        <v>0</v>
      </c>
      <c r="V45" s="1">
        <v>0.5</v>
      </c>
      <c r="W45" s="1">
        <v>0</v>
      </c>
      <c r="X45" s="1">
        <v>2.1</v>
      </c>
      <c r="Y45" s="1">
        <v>0</v>
      </c>
      <c r="Z45" s="1">
        <v>0</v>
      </c>
      <c r="AA45" s="1">
        <v>0</v>
      </c>
      <c r="AB45" s="1">
        <v>20</v>
      </c>
      <c r="AC45" s="1">
        <v>0</v>
      </c>
      <c r="AD45" s="1" t="str">
        <v>Retsch Planetary Ball Mill PM400</v>
      </c>
      <c r="AE45" s="1">
        <v>0.10500000000000001</v>
      </c>
      <c r="AF45" s="1">
        <v>0</v>
      </c>
      <c r="AM45" s="151" t="str" cm="1">
        <f t="array" ref="AM45:BA63">_xlfn._xlws.FILTER([3]!Process_time_database[#All],[3]!Process_time_database[[#All],[Process Name]]=Z19)</f>
        <v>Milling</v>
      </c>
      <c r="AN45" s="1">
        <v>0</v>
      </c>
      <c r="AO45" s="1">
        <v>0</v>
      </c>
      <c r="AP45" s="1" t="str">
        <v>kangEffectsGrainSize2004_process3</v>
      </c>
      <c r="AQ45" s="1" t="str">
        <v>calcined</v>
      </c>
      <c r="AR45" s="1">
        <v>0</v>
      </c>
      <c r="AS45" s="1">
        <v>15</v>
      </c>
      <c r="AT45" s="1" t="str">
        <v>h</v>
      </c>
      <c r="AU45" s="1">
        <v>0</v>
      </c>
      <c r="AV45" s="1">
        <v>0</v>
      </c>
      <c r="AW45" s="1">
        <v>0</v>
      </c>
      <c r="AX45" s="1">
        <v>0</v>
      </c>
      <c r="AY45" s="1">
        <v>0</v>
      </c>
      <c r="AZ45" s="1">
        <v>0</v>
      </c>
      <c r="BA45" s="1" t="str">
        <v>https://doi.org/10.1143/JJAP.43.L365</v>
      </c>
    </row>
    <row r="46" spans="1:53" ht="14" customHeight="1">
      <c r="A46" s="101"/>
      <c r="R46" s="1" t="str">
        <v>Milling</v>
      </c>
      <c r="S46" s="1">
        <v>0</v>
      </c>
      <c r="T46" s="1">
        <v>0</v>
      </c>
      <c r="U46" s="1">
        <v>0</v>
      </c>
      <c r="V46" s="1">
        <v>1</v>
      </c>
      <c r="W46" s="1">
        <v>0</v>
      </c>
      <c r="X46" s="1">
        <v>2.2000000000000002</v>
      </c>
      <c r="Y46" s="1">
        <v>0</v>
      </c>
      <c r="Z46" s="1">
        <v>0</v>
      </c>
      <c r="AA46" s="1">
        <v>0</v>
      </c>
      <c r="AB46" s="1">
        <v>0.8</v>
      </c>
      <c r="AC46" s="1" t="str">
        <v>Netzsch</v>
      </c>
      <c r="AD46" s="1" t="str">
        <v>Alpha® Lab Zeta® RS</v>
      </c>
      <c r="AE46" s="1">
        <v>2.75</v>
      </c>
      <c r="AF46" s="1" t="str">
        <v>https://grinding.netzsch.com/_Resources/Persistent/8/8/5/0/8850995966983e5d6a22ba5976981d199112bf0c/NETZSCH_NanoMill_ZETA_RS_EN.pdf</v>
      </c>
      <c r="AM46" s="1" t="str">
        <v>Milling</v>
      </c>
      <c r="AN46" s="1">
        <v>0</v>
      </c>
      <c r="AO46" s="1">
        <v>0</v>
      </c>
      <c r="AP46" s="1" t="str">
        <v>kangEffectsGrainSize2004_process6</v>
      </c>
      <c r="AQ46" s="1" t="str">
        <v>calcined</v>
      </c>
      <c r="AR46" s="1">
        <v>0</v>
      </c>
      <c r="AS46" s="1">
        <v>8</v>
      </c>
      <c r="AT46" s="1" t="str">
        <v>h</v>
      </c>
      <c r="AU46" s="1">
        <v>0</v>
      </c>
      <c r="AV46" s="1">
        <v>0</v>
      </c>
      <c r="AW46" s="1">
        <v>0</v>
      </c>
      <c r="AX46" s="1">
        <v>0</v>
      </c>
      <c r="AY46" s="1">
        <v>0</v>
      </c>
      <c r="AZ46" s="1">
        <v>0</v>
      </c>
      <c r="BA46" s="1" t="str">
        <v>https://doi.org/10.1143/JJAP.43.L365</v>
      </c>
    </row>
    <row r="47" spans="1:53" s="107" customFormat="1" ht="42">
      <c r="A47" s="112"/>
      <c r="B47" s="103" t="s">
        <v>611</v>
      </c>
      <c r="C47" s="103" t="s">
        <v>479</v>
      </c>
      <c r="D47" s="114" t="s">
        <v>610</v>
      </c>
      <c r="E47" s="113" t="s">
        <v>603</v>
      </c>
      <c r="F47" s="106"/>
      <c r="O47" s="229"/>
      <c r="P47" s="229"/>
      <c r="R47" s="107" t="str">
        <v>Milling</v>
      </c>
      <c r="S47" s="107">
        <v>0</v>
      </c>
      <c r="T47" s="107">
        <v>0</v>
      </c>
      <c r="U47" s="107">
        <v>0</v>
      </c>
      <c r="V47" s="107">
        <v>2</v>
      </c>
      <c r="W47" s="107">
        <v>0</v>
      </c>
      <c r="X47" s="107">
        <v>3</v>
      </c>
      <c r="Y47" s="107">
        <v>0</v>
      </c>
      <c r="Z47" s="107">
        <v>0</v>
      </c>
      <c r="AA47" s="107">
        <v>0</v>
      </c>
      <c r="AB47" s="107">
        <v>1.6</v>
      </c>
      <c r="AC47" s="107" t="str">
        <v>Netzsch</v>
      </c>
      <c r="AD47" s="107" t="str">
        <v>Zeta® RS 2</v>
      </c>
      <c r="AE47" s="107">
        <v>1.875</v>
      </c>
      <c r="AF47" s="107">
        <v>0</v>
      </c>
      <c r="AM47" s="107" t="str">
        <v>Milling</v>
      </c>
      <c r="AN47" s="107">
        <v>0</v>
      </c>
      <c r="AO47" s="107">
        <v>0</v>
      </c>
      <c r="AP47" s="107" t="str">
        <v>kangEffectsGrainSize2004_process7</v>
      </c>
      <c r="AQ47" s="107" t="str">
        <v>calcined</v>
      </c>
      <c r="AR47" s="107">
        <v>0</v>
      </c>
      <c r="AS47" s="107">
        <v>15</v>
      </c>
      <c r="AT47" s="107" t="str">
        <v>h</v>
      </c>
      <c r="AU47" s="107">
        <v>0</v>
      </c>
      <c r="AV47" s="107">
        <v>0</v>
      </c>
      <c r="AW47" s="107">
        <v>0</v>
      </c>
      <c r="AX47" s="107">
        <v>0</v>
      </c>
      <c r="AY47" s="107">
        <v>0</v>
      </c>
      <c r="AZ47" s="107">
        <v>0</v>
      </c>
      <c r="BA47" s="107" t="str">
        <v>https://doi.org/10.1143/JJAP.43.L365</v>
      </c>
    </row>
    <row r="48" spans="1:53">
      <c r="A48" s="101" t="s">
        <v>528</v>
      </c>
      <c r="B48" s="115" t="s">
        <v>612</v>
      </c>
      <c r="C48" s="115">
        <v>0</v>
      </c>
      <c r="D48" s="108"/>
      <c r="E48" s="108"/>
      <c r="F48" s="108"/>
      <c r="G48" s="108"/>
      <c r="R48" s="1" t="str">
        <v>Milling</v>
      </c>
      <c r="S48" s="1">
        <v>0</v>
      </c>
      <c r="T48" s="1">
        <v>0</v>
      </c>
      <c r="U48" s="1">
        <v>0</v>
      </c>
      <c r="V48" s="1">
        <v>4</v>
      </c>
      <c r="W48" s="1">
        <v>0</v>
      </c>
      <c r="X48" s="1">
        <v>5.5</v>
      </c>
      <c r="Y48" s="1">
        <v>0</v>
      </c>
      <c r="Z48" s="1">
        <v>0</v>
      </c>
      <c r="AA48" s="1">
        <v>0</v>
      </c>
      <c r="AB48" s="1">
        <v>3.2</v>
      </c>
      <c r="AC48" s="1" t="str">
        <v>Netzsch</v>
      </c>
      <c r="AD48" s="1" t="str">
        <v>Zeta® RS 4</v>
      </c>
      <c r="AE48" s="1">
        <v>1.71875</v>
      </c>
      <c r="AF48" s="1">
        <v>0</v>
      </c>
      <c r="AM48" s="1" t="str">
        <v>Milling</v>
      </c>
      <c r="AN48" s="1">
        <v>0</v>
      </c>
      <c r="AO48" s="1">
        <v>0</v>
      </c>
      <c r="AP48" s="1" t="str">
        <v>kangEffectsGrainSize2004_process8</v>
      </c>
      <c r="AQ48" s="1" t="str">
        <v>calcined</v>
      </c>
      <c r="AR48" s="1">
        <v>0</v>
      </c>
      <c r="AS48" s="1">
        <v>28</v>
      </c>
      <c r="AT48" s="1" t="str">
        <v>h</v>
      </c>
      <c r="AU48" s="1">
        <v>0</v>
      </c>
      <c r="AV48" s="1">
        <v>0</v>
      </c>
      <c r="AW48" s="1">
        <v>0</v>
      </c>
      <c r="AX48" s="1">
        <v>0</v>
      </c>
      <c r="AY48" s="1">
        <v>0</v>
      </c>
      <c r="AZ48" s="1">
        <v>0</v>
      </c>
      <c r="BA48" s="1" t="str">
        <v>https://doi.org/10.1143/JJAP.43.L365</v>
      </c>
    </row>
    <row r="49" spans="1:53">
      <c r="A49" s="101" t="s">
        <v>540</v>
      </c>
      <c r="B49" s="115"/>
      <c r="C49" s="115"/>
      <c r="D49" s="108"/>
      <c r="E49" s="108"/>
      <c r="F49" s="108"/>
      <c r="G49" s="108"/>
      <c r="R49" s="1" t="str">
        <v>Milling</v>
      </c>
      <c r="S49" s="1">
        <v>0</v>
      </c>
      <c r="T49" s="1">
        <v>0</v>
      </c>
      <c r="U49" s="1">
        <v>0</v>
      </c>
      <c r="V49" s="1">
        <v>10</v>
      </c>
      <c r="W49" s="1">
        <v>0</v>
      </c>
      <c r="X49" s="1">
        <v>5.5</v>
      </c>
      <c r="Y49" s="1">
        <v>0</v>
      </c>
      <c r="Z49" s="1">
        <v>0</v>
      </c>
      <c r="AA49" s="1">
        <v>0</v>
      </c>
      <c r="AB49" s="1">
        <v>8</v>
      </c>
      <c r="AC49" s="1" t="str">
        <v>Netzsch</v>
      </c>
      <c r="AD49" s="1" t="str">
        <v>Zeta® RS 10</v>
      </c>
      <c r="AE49" s="1">
        <v>0.6875</v>
      </c>
      <c r="AF49" s="1">
        <v>0</v>
      </c>
      <c r="AM49" s="1" t="str">
        <v>Milling</v>
      </c>
      <c r="AN49" s="1">
        <v>0</v>
      </c>
      <c r="AO49" s="1">
        <v>0</v>
      </c>
      <c r="AP49" s="1" t="str">
        <v>kangEffectsGrainSize2004_process9</v>
      </c>
      <c r="AQ49" s="1" t="str">
        <v>calcined</v>
      </c>
      <c r="AR49" s="1">
        <v>0</v>
      </c>
      <c r="AS49" s="1">
        <v>40</v>
      </c>
      <c r="AT49" s="1" t="str">
        <v>h</v>
      </c>
      <c r="AU49" s="1">
        <v>0</v>
      </c>
      <c r="AV49" s="1">
        <v>0</v>
      </c>
      <c r="AW49" s="1">
        <v>0</v>
      </c>
      <c r="AX49" s="1">
        <v>0</v>
      </c>
      <c r="AY49" s="1">
        <v>0</v>
      </c>
      <c r="AZ49" s="1">
        <v>0</v>
      </c>
      <c r="BA49" s="1" t="str">
        <v>https://doi.org/10.1143/JJAP.43.L365</v>
      </c>
    </row>
    <row r="50" spans="1:53">
      <c r="A50" s="101" t="s">
        <v>539</v>
      </c>
      <c r="B50" s="115"/>
      <c r="C50" s="115"/>
      <c r="D50" s="108"/>
      <c r="E50" s="108"/>
      <c r="F50" s="108"/>
      <c r="G50" s="108"/>
      <c r="R50" s="1" t="str">
        <v>Milling</v>
      </c>
      <c r="S50" s="1">
        <v>0</v>
      </c>
      <c r="T50" s="1">
        <v>0</v>
      </c>
      <c r="U50" s="1">
        <v>0</v>
      </c>
      <c r="V50" s="1">
        <v>25</v>
      </c>
      <c r="W50" s="1">
        <v>0</v>
      </c>
      <c r="X50" s="1">
        <v>7.5</v>
      </c>
      <c r="Y50" s="1">
        <v>0</v>
      </c>
      <c r="Z50" s="1">
        <v>0</v>
      </c>
      <c r="AA50" s="1">
        <v>0</v>
      </c>
      <c r="AB50" s="1">
        <v>20</v>
      </c>
      <c r="AC50" s="1" t="str">
        <v>Netzsch</v>
      </c>
      <c r="AD50" s="1" t="str">
        <v>Zeta® RS 25</v>
      </c>
      <c r="AE50" s="1">
        <v>0.375</v>
      </c>
      <c r="AF50" s="1">
        <v>0</v>
      </c>
      <c r="AM50" s="1" t="str">
        <v>Milling</v>
      </c>
      <c r="AN50" s="1">
        <v>0</v>
      </c>
      <c r="AO50" s="1">
        <v>0</v>
      </c>
      <c r="AP50" s="1" t="str">
        <v>kimEffectCalcinationProcess2006_sampleA</v>
      </c>
      <c r="AQ50" s="1" t="str">
        <v>calcined</v>
      </c>
      <c r="AR50" s="1">
        <v>0</v>
      </c>
      <c r="AS50" s="1">
        <v>6</v>
      </c>
      <c r="AT50" s="1" t="str">
        <v>h</v>
      </c>
      <c r="AU50" s="1">
        <v>0</v>
      </c>
      <c r="AV50" s="1">
        <v>0</v>
      </c>
      <c r="AW50" s="1">
        <v>0</v>
      </c>
      <c r="AX50" s="1">
        <v>0</v>
      </c>
      <c r="AY50" s="1">
        <v>0</v>
      </c>
      <c r="AZ50" s="1">
        <v>0</v>
      </c>
      <c r="BA50" s="1" t="str">
        <v>https://doi.org/10.1143/JJAP.45.4893</v>
      </c>
    </row>
    <row r="51" spans="1:53">
      <c r="R51" s="1" t="str">
        <v>Milling</v>
      </c>
      <c r="S51" s="1">
        <v>0</v>
      </c>
      <c r="T51" s="1">
        <v>0</v>
      </c>
      <c r="U51" s="1">
        <v>0</v>
      </c>
      <c r="V51" s="1">
        <v>60</v>
      </c>
      <c r="W51" s="1">
        <v>0</v>
      </c>
      <c r="X51" s="1">
        <v>18</v>
      </c>
      <c r="Y51" s="1">
        <v>0</v>
      </c>
      <c r="Z51" s="1">
        <v>0</v>
      </c>
      <c r="AA51" s="1">
        <v>0</v>
      </c>
      <c r="AB51" s="1">
        <v>48</v>
      </c>
      <c r="AC51" s="1" t="str">
        <v>Netzsch</v>
      </c>
      <c r="AD51" s="1" t="str">
        <v>Zeta® RS 60</v>
      </c>
      <c r="AE51" s="1">
        <v>0.375</v>
      </c>
      <c r="AF51" s="1">
        <v>0</v>
      </c>
      <c r="AM51" s="1" t="str">
        <v>Milling</v>
      </c>
      <c r="AN51" s="1">
        <v>0</v>
      </c>
      <c r="AO51" s="1">
        <v>0</v>
      </c>
      <c r="AP51" s="1" t="str">
        <v>kimEffectCalcinationProcess2006_sampleB</v>
      </c>
      <c r="AQ51" s="1" t="str">
        <v>calcined</v>
      </c>
      <c r="AR51" s="1">
        <v>0</v>
      </c>
      <c r="AS51" s="1">
        <v>6</v>
      </c>
      <c r="AT51" s="1" t="str">
        <v>h</v>
      </c>
      <c r="AU51" s="1">
        <v>0</v>
      </c>
      <c r="AV51" s="1">
        <v>0</v>
      </c>
      <c r="AW51" s="1">
        <v>0</v>
      </c>
      <c r="AX51" s="1" t="str">
        <v>air jet mill</v>
      </c>
      <c r="AY51" s="1">
        <v>0</v>
      </c>
      <c r="AZ51" s="1">
        <v>0</v>
      </c>
      <c r="BA51" s="1" t="str">
        <v>https://doi.org/10.1143/JJAP.45.4893</v>
      </c>
    </row>
    <row r="52" spans="1:53">
      <c r="R52" s="1" t="str">
        <v>Milling</v>
      </c>
      <c r="S52" s="1">
        <v>0</v>
      </c>
      <c r="T52" s="1">
        <v>0</v>
      </c>
      <c r="U52" s="1">
        <v>0</v>
      </c>
      <c r="V52" s="1">
        <v>11</v>
      </c>
      <c r="W52" s="1">
        <v>0</v>
      </c>
      <c r="X52" s="1">
        <v>15</v>
      </c>
      <c r="Y52" s="1">
        <v>0</v>
      </c>
      <c r="Z52" s="1">
        <v>0</v>
      </c>
      <c r="AA52" s="1">
        <v>0</v>
      </c>
      <c r="AB52" s="1">
        <v>8.8000000000000007</v>
      </c>
      <c r="AC52" s="1" t="str">
        <v>Buhler</v>
      </c>
      <c r="AD52" s="1" t="str">
        <v>Cenomic 1</v>
      </c>
      <c r="AE52" s="1">
        <v>1.7045454545454544</v>
      </c>
      <c r="AF52" s="1" t="str">
        <v>https://www.buhlergroup.com/global/en/products/micromedia_high-performancebeadmill.html</v>
      </c>
      <c r="AM52" s="1" t="str">
        <v>Milling</v>
      </c>
      <c r="AN52" s="1">
        <v>0</v>
      </c>
      <c r="AO52" s="1">
        <v>0</v>
      </c>
      <c r="AP52" s="1" t="str">
        <v>kimInfluenceCrystallineStructure2007_A</v>
      </c>
      <c r="AQ52" s="1" t="str">
        <v>calcined</v>
      </c>
      <c r="AR52" s="1">
        <v>0</v>
      </c>
      <c r="AS52" s="1" t="str">
        <v>several</v>
      </c>
      <c r="AT52" s="1" t="str">
        <v>h</v>
      </c>
      <c r="AU52" s="1">
        <v>0</v>
      </c>
      <c r="AV52" s="1">
        <v>0</v>
      </c>
      <c r="AW52" s="1">
        <v>0</v>
      </c>
      <c r="AX52" s="1">
        <v>0</v>
      </c>
      <c r="AY52" s="1">
        <v>0</v>
      </c>
      <c r="AZ52" s="1" t="str">
        <v>Solid content weight fraction 5%</v>
      </c>
      <c r="BA52" s="1" t="str">
        <v>10.1149/1.2735923</v>
      </c>
    </row>
    <row r="53" spans="1:53">
      <c r="R53" s="1" t="str">
        <v>Milling</v>
      </c>
      <c r="S53" s="1">
        <v>0</v>
      </c>
      <c r="T53" s="1">
        <v>0</v>
      </c>
      <c r="U53" s="1">
        <v>0</v>
      </c>
      <c r="V53" s="1">
        <v>21</v>
      </c>
      <c r="W53" s="1">
        <v>0</v>
      </c>
      <c r="X53" s="1">
        <v>22</v>
      </c>
      <c r="Y53" s="1">
        <v>0</v>
      </c>
      <c r="Z53" s="1">
        <v>0</v>
      </c>
      <c r="AA53" s="1">
        <v>0</v>
      </c>
      <c r="AB53" s="1">
        <v>16.8</v>
      </c>
      <c r="AC53" s="1" t="str">
        <v>Buhler</v>
      </c>
      <c r="AD53" s="1" t="str">
        <v>Cenomic 3</v>
      </c>
      <c r="AE53" s="1">
        <v>1.3095238095238095</v>
      </c>
      <c r="AF53" s="1">
        <v>0</v>
      </c>
      <c r="AM53" s="1" t="str">
        <v>Milling</v>
      </c>
      <c r="AN53" s="1">
        <v>0</v>
      </c>
      <c r="AO53" s="1">
        <v>0</v>
      </c>
      <c r="AP53" s="1" t="str">
        <v>kimInfluenceCrystallineStructure2007_B</v>
      </c>
      <c r="AQ53" s="1" t="str">
        <v>calcined</v>
      </c>
      <c r="AR53" s="1">
        <v>0</v>
      </c>
      <c r="AS53" s="1" t="str">
        <v>several</v>
      </c>
      <c r="AT53" s="1" t="str">
        <v>h</v>
      </c>
      <c r="AU53" s="1">
        <v>0</v>
      </c>
      <c r="AV53" s="1">
        <v>0</v>
      </c>
      <c r="AW53" s="1">
        <v>0</v>
      </c>
      <c r="AX53" s="1">
        <v>0</v>
      </c>
      <c r="AY53" s="1">
        <v>0</v>
      </c>
      <c r="AZ53" s="1" t="str">
        <v>Solid content weight fraction 5%</v>
      </c>
      <c r="BA53" s="1" t="str">
        <v>10.1149/1.2735923</v>
      </c>
    </row>
    <row r="54" spans="1:53">
      <c r="R54" s="1" t="str">
        <v>Milling</v>
      </c>
      <c r="S54" s="1">
        <v>0</v>
      </c>
      <c r="T54" s="1">
        <v>0</v>
      </c>
      <c r="U54" s="1">
        <v>0</v>
      </c>
      <c r="V54" s="1">
        <v>50</v>
      </c>
      <c r="W54" s="1">
        <v>0</v>
      </c>
      <c r="X54" s="1">
        <v>45</v>
      </c>
      <c r="Y54" s="1">
        <v>0</v>
      </c>
      <c r="Z54" s="1">
        <v>0</v>
      </c>
      <c r="AA54" s="1">
        <v>0</v>
      </c>
      <c r="AB54" s="1">
        <v>40</v>
      </c>
      <c r="AC54" s="1" t="str">
        <v>Buhler</v>
      </c>
      <c r="AD54" s="1" t="str">
        <v>Cenomic 6</v>
      </c>
      <c r="AE54" s="1">
        <v>1.125</v>
      </c>
      <c r="AF54" s="1">
        <v>0</v>
      </c>
      <c r="AM54" s="1" t="str">
        <v>Milling</v>
      </c>
      <c r="AN54" s="1">
        <v>0</v>
      </c>
      <c r="AO54" s="1">
        <v>0</v>
      </c>
      <c r="AP54" s="1" t="str">
        <v>kimInfluenceCrystallineStructure2007_C</v>
      </c>
      <c r="AQ54" s="1" t="str">
        <v>calcined</v>
      </c>
      <c r="AR54" s="1">
        <v>0</v>
      </c>
      <c r="AS54" s="1" t="str">
        <v>several</v>
      </c>
      <c r="AT54" s="1" t="str">
        <v>h</v>
      </c>
      <c r="AU54" s="1">
        <v>0</v>
      </c>
      <c r="AV54" s="1">
        <v>0</v>
      </c>
      <c r="AW54" s="1">
        <v>0</v>
      </c>
      <c r="AX54" s="1">
        <v>0</v>
      </c>
      <c r="AY54" s="1">
        <v>0</v>
      </c>
      <c r="AZ54" s="1" t="str">
        <v>Solid content weight fraction 5%</v>
      </c>
      <c r="BA54" s="1" t="str">
        <v>10.1149/1.2735923</v>
      </c>
    </row>
    <row r="55" spans="1:53">
      <c r="R55" s="1" t="str">
        <v>Milling</v>
      </c>
      <c r="S55" s="1">
        <v>0</v>
      </c>
      <c r="T55" s="1">
        <v>0</v>
      </c>
      <c r="U55" s="1">
        <v>0</v>
      </c>
      <c r="V55" s="1">
        <v>117</v>
      </c>
      <c r="W55" s="1">
        <v>0</v>
      </c>
      <c r="X55" s="1">
        <v>75</v>
      </c>
      <c r="Y55" s="1">
        <v>0</v>
      </c>
      <c r="Z55" s="1">
        <v>0</v>
      </c>
      <c r="AA55" s="1">
        <v>0</v>
      </c>
      <c r="AB55" s="1">
        <v>93.600000000000009</v>
      </c>
      <c r="AC55" s="1" t="str">
        <v>Buhler</v>
      </c>
      <c r="AD55" s="1" t="str">
        <v>Cenomic 15</v>
      </c>
      <c r="AE55" s="1">
        <v>0.80128205128205121</v>
      </c>
      <c r="AF55" s="1">
        <v>0</v>
      </c>
      <c r="AM55" s="1" t="str">
        <v>Milling</v>
      </c>
      <c r="AN55" s="1">
        <v>0</v>
      </c>
      <c r="AO55" s="1">
        <v>0</v>
      </c>
      <c r="AP55" s="1" t="str">
        <v>kimInfluencePhysicalCharacteristics2004_400C</v>
      </c>
      <c r="AQ55" s="1" t="str">
        <v>calcined</v>
      </c>
      <c r="AR55" s="1">
        <v>0</v>
      </c>
      <c r="AS55" s="1">
        <v>0</v>
      </c>
      <c r="AT55" s="1">
        <v>0</v>
      </c>
      <c r="AU55" s="1">
        <v>0</v>
      </c>
      <c r="AV55" s="1">
        <v>0</v>
      </c>
      <c r="AW55" s="1">
        <v>0</v>
      </c>
      <c r="AX55" s="1" t="str">
        <v>Mixer/Mill</v>
      </c>
      <c r="AY55" s="1">
        <v>0</v>
      </c>
      <c r="AZ55" s="1" t="str">
        <v>zirconia balls</v>
      </c>
      <c r="BA55" s="1" t="str">
        <v>https://doi.org/10.1143/JJAP.43.7427</v>
      </c>
    </row>
    <row r="56" spans="1:53">
      <c r="R56" s="1" t="str">
        <v>Milling</v>
      </c>
      <c r="S56" s="1">
        <v>0</v>
      </c>
      <c r="T56" s="1">
        <v>0</v>
      </c>
      <c r="U56" s="1">
        <v>0</v>
      </c>
      <c r="V56" s="1">
        <v>226</v>
      </c>
      <c r="W56" s="1">
        <v>0</v>
      </c>
      <c r="X56" s="1">
        <v>110</v>
      </c>
      <c r="Y56" s="1">
        <v>0</v>
      </c>
      <c r="Z56" s="1">
        <v>0</v>
      </c>
      <c r="AA56" s="1">
        <v>0</v>
      </c>
      <c r="AB56" s="1">
        <v>180.8</v>
      </c>
      <c r="AC56" s="1" t="str">
        <v>Buhler</v>
      </c>
      <c r="AD56" s="1" t="str">
        <v>Cenomic 30</v>
      </c>
      <c r="AE56" s="1">
        <v>0.6084070796460177</v>
      </c>
      <c r="AF56" s="1">
        <v>0</v>
      </c>
      <c r="AM56" s="1" t="str">
        <v>Milling</v>
      </c>
      <c r="AN56" s="1">
        <v>0</v>
      </c>
      <c r="AO56" s="1">
        <v>0</v>
      </c>
      <c r="AP56" s="1" t="str">
        <v>kimInfluencePhysicalCharacteristics2004_600C</v>
      </c>
      <c r="AQ56" s="1" t="str">
        <v>calcined</v>
      </c>
      <c r="AR56" s="1">
        <v>0</v>
      </c>
      <c r="AS56" s="1">
        <v>0</v>
      </c>
      <c r="AT56" s="1">
        <v>0</v>
      </c>
      <c r="AU56" s="1">
        <v>0</v>
      </c>
      <c r="AV56" s="1">
        <v>0</v>
      </c>
      <c r="AW56" s="1">
        <v>0</v>
      </c>
      <c r="AX56" s="1" t="str">
        <v>Mixer/Mill</v>
      </c>
      <c r="AY56" s="1">
        <v>0</v>
      </c>
      <c r="AZ56" s="1" t="str">
        <v>zirconia balls</v>
      </c>
      <c r="BA56" s="1" t="str">
        <v>https://doi.org/10.1143/JJAP.43.7427</v>
      </c>
    </row>
    <row r="57" spans="1:53">
      <c r="R57" s="1" t="str">
        <v>Milling</v>
      </c>
      <c r="S57" s="1">
        <v>0</v>
      </c>
      <c r="T57" s="1">
        <v>0</v>
      </c>
      <c r="U57" s="1">
        <v>0</v>
      </c>
      <c r="V57" s="1">
        <v>510</v>
      </c>
      <c r="W57" s="1">
        <v>0</v>
      </c>
      <c r="X57" s="1">
        <v>200</v>
      </c>
      <c r="Y57" s="1">
        <v>0</v>
      </c>
      <c r="Z57" s="1">
        <v>0</v>
      </c>
      <c r="AA57" s="1">
        <v>0</v>
      </c>
      <c r="AB57" s="1">
        <v>408</v>
      </c>
      <c r="AC57" s="1" t="str">
        <v>Buhler</v>
      </c>
      <c r="AD57" s="1" t="str">
        <v>Centex T4</v>
      </c>
      <c r="AE57" s="1">
        <v>0.49019607843137253</v>
      </c>
      <c r="AF57" s="1">
        <v>0</v>
      </c>
      <c r="AM57" s="1" t="str">
        <v>Milling</v>
      </c>
      <c r="AN57" s="1">
        <v>0</v>
      </c>
      <c r="AO57" s="1">
        <v>0</v>
      </c>
      <c r="AP57" s="1" t="str">
        <v>kimInfluencePhysicalCharacteristics2004_700C</v>
      </c>
      <c r="AQ57" s="1" t="str">
        <v>calcined</v>
      </c>
      <c r="AR57" s="1">
        <v>0</v>
      </c>
      <c r="AS57" s="1">
        <v>0</v>
      </c>
      <c r="AT57" s="1">
        <v>0</v>
      </c>
      <c r="AU57" s="1">
        <v>0</v>
      </c>
      <c r="AV57" s="1">
        <v>0</v>
      </c>
      <c r="AW57" s="1">
        <v>0</v>
      </c>
      <c r="AX57" s="1" t="str">
        <v>Mixer/Mill</v>
      </c>
      <c r="AY57" s="1">
        <v>0</v>
      </c>
      <c r="AZ57" s="1" t="str">
        <v>zirconia balls</v>
      </c>
      <c r="BA57" s="1" t="str">
        <v>https://doi.org/10.1143/JJAP.43.7427</v>
      </c>
    </row>
    <row r="58" spans="1:53">
      <c r="R58" s="1" t="str">
        <v>Milling</v>
      </c>
      <c r="S58" s="1">
        <v>0</v>
      </c>
      <c r="T58" s="1">
        <v>0</v>
      </c>
      <c r="U58" s="1">
        <v>0</v>
      </c>
      <c r="V58" s="1">
        <v>16.5</v>
      </c>
      <c r="W58" s="1">
        <v>0</v>
      </c>
      <c r="X58" s="1">
        <v>24</v>
      </c>
      <c r="Y58" s="1">
        <v>0</v>
      </c>
      <c r="Z58" s="1">
        <v>0</v>
      </c>
      <c r="AA58" s="1">
        <v>0</v>
      </c>
      <c r="AB58" s="1">
        <v>13.200000000000001</v>
      </c>
      <c r="AC58" s="1" t="str">
        <v>DYNO-MILL KD</v>
      </c>
      <c r="AD58" s="1" t="str">
        <v>KD 20 B</v>
      </c>
      <c r="AE58" s="1">
        <v>1.8181818181818181</v>
      </c>
      <c r="AF58" s="1" t="str">
        <v>https://www.wab-group.com/en/products/dyno-mill-kd/</v>
      </c>
      <c r="AM58" s="1" t="str">
        <v>Milling</v>
      </c>
      <c r="AN58" s="1">
        <v>0</v>
      </c>
      <c r="AO58" s="1">
        <v>0</v>
      </c>
      <c r="AP58" s="1" t="str">
        <v>kimInfluencePhysicalCharacteristics2004_800C</v>
      </c>
      <c r="AQ58" s="1" t="str">
        <v>calcined</v>
      </c>
      <c r="AR58" s="1">
        <v>0</v>
      </c>
      <c r="AS58" s="1">
        <v>0</v>
      </c>
      <c r="AT58" s="1">
        <v>0</v>
      </c>
      <c r="AU58" s="1">
        <v>0</v>
      </c>
      <c r="AV58" s="1">
        <v>0</v>
      </c>
      <c r="AW58" s="1">
        <v>0</v>
      </c>
      <c r="AX58" s="1" t="str">
        <v>Mixer/Mill</v>
      </c>
      <c r="AY58" s="1">
        <v>0</v>
      </c>
      <c r="AZ58" s="1" t="str">
        <v>zirconia balls</v>
      </c>
      <c r="BA58" s="1" t="str">
        <v>https://doi.org/10.1143/JJAP.43.7427</v>
      </c>
    </row>
    <row r="59" spans="1:53">
      <c r="C59" s="289"/>
      <c r="R59" s="1" t="str">
        <v>Milling</v>
      </c>
      <c r="S59" s="1">
        <v>0</v>
      </c>
      <c r="T59" s="1">
        <v>0</v>
      </c>
      <c r="U59" s="1">
        <v>0</v>
      </c>
      <c r="V59" s="1">
        <v>18</v>
      </c>
      <c r="W59" s="1">
        <v>0</v>
      </c>
      <c r="X59" s="1">
        <v>24</v>
      </c>
      <c r="Y59" s="1">
        <v>0</v>
      </c>
      <c r="Z59" s="1">
        <v>0</v>
      </c>
      <c r="AA59" s="1">
        <v>0</v>
      </c>
      <c r="AB59" s="1">
        <v>14.4</v>
      </c>
      <c r="AC59" s="1" t="str">
        <v>DYNO-MILL KD</v>
      </c>
      <c r="AD59" s="1" t="str">
        <v>KD 20 BS</v>
      </c>
      <c r="AE59" s="1">
        <v>1.6666666666666665</v>
      </c>
      <c r="AF59" s="1">
        <v>0</v>
      </c>
      <c r="AM59" s="1" t="str">
        <v>Milling</v>
      </c>
      <c r="AN59" s="1">
        <v>0</v>
      </c>
      <c r="AO59" s="1">
        <v>0</v>
      </c>
      <c r="AP59" s="1" t="str">
        <v>kimInfluencePhysicalCharacteristics2004_900C</v>
      </c>
      <c r="AQ59" s="1" t="str">
        <v>calcined</v>
      </c>
      <c r="AR59" s="1">
        <v>0</v>
      </c>
      <c r="AS59" s="1">
        <v>0</v>
      </c>
      <c r="AT59" s="1">
        <v>0</v>
      </c>
      <c r="AU59" s="1">
        <v>0</v>
      </c>
      <c r="AV59" s="1">
        <v>0</v>
      </c>
      <c r="AW59" s="1">
        <v>0</v>
      </c>
      <c r="AX59" s="1" t="str">
        <v>Mixer/Mill</v>
      </c>
      <c r="AY59" s="1">
        <v>0</v>
      </c>
      <c r="AZ59" s="1" t="str">
        <v>zirconia balls</v>
      </c>
      <c r="BA59" s="1" t="str">
        <v>https://doi.org/10.1143/JJAP.43.7427</v>
      </c>
    </row>
    <row r="60" spans="1:53" ht="25">
      <c r="A60" s="1" t="s">
        <v>614</v>
      </c>
      <c r="B60" s="111">
        <f>30/60</f>
        <v>0.5</v>
      </c>
      <c r="C60" s="166">
        <f>Z23</f>
        <v>7.44</v>
      </c>
      <c r="R60" s="1" t="str">
        <v>Milling</v>
      </c>
      <c r="S60" s="1">
        <v>0</v>
      </c>
      <c r="T60" s="1">
        <v>0</v>
      </c>
      <c r="U60" s="1">
        <v>0</v>
      </c>
      <c r="V60" s="1">
        <v>25</v>
      </c>
      <c r="W60" s="1">
        <v>0</v>
      </c>
      <c r="X60" s="1">
        <v>30</v>
      </c>
      <c r="Y60" s="1">
        <v>0</v>
      </c>
      <c r="Z60" s="1">
        <v>0</v>
      </c>
      <c r="AA60" s="1">
        <v>0</v>
      </c>
      <c r="AB60" s="1">
        <v>20</v>
      </c>
      <c r="AC60" s="1" t="str">
        <v>DYNO-MILL KD</v>
      </c>
      <c r="AD60" s="1" t="str">
        <v>KD 25</v>
      </c>
      <c r="AE60" s="1">
        <v>1.5</v>
      </c>
      <c r="AF60" s="1">
        <v>0</v>
      </c>
      <c r="AM60" s="1" t="str">
        <v>Milling</v>
      </c>
      <c r="AN60" s="1">
        <v>0</v>
      </c>
      <c r="AO60" s="1">
        <v>0</v>
      </c>
      <c r="AP60" s="1" t="str">
        <v>lekhapeedikakkandyPreparationSphericalCeria2015_process1</v>
      </c>
      <c r="AQ60" s="1" t="str">
        <v>colloidal</v>
      </c>
      <c r="AR60" s="1">
        <v>0</v>
      </c>
      <c r="AS60" s="1">
        <v>1</v>
      </c>
      <c r="AT60" s="1">
        <v>0</v>
      </c>
      <c r="AU60" s="1">
        <v>0</v>
      </c>
      <c r="AV60" s="1">
        <v>0</v>
      </c>
      <c r="AW60" s="1">
        <v>0</v>
      </c>
      <c r="AX60" s="1">
        <v>0</v>
      </c>
      <c r="AY60" s="1">
        <v>0</v>
      </c>
      <c r="AZ60" s="1">
        <v>0</v>
      </c>
      <c r="BA60" s="1" t="str">
        <v>10.1016/j.apsusc.2015.09.149</v>
      </c>
    </row>
    <row r="61" spans="1:53">
      <c r="A61" s="1" t="s">
        <v>615</v>
      </c>
      <c r="B61" s="110"/>
      <c r="R61" s="1" t="str">
        <v>Milling</v>
      </c>
      <c r="S61" s="1">
        <v>0</v>
      </c>
      <c r="T61" s="1">
        <v>0</v>
      </c>
      <c r="U61" s="1">
        <v>0</v>
      </c>
      <c r="V61" s="1">
        <v>26</v>
      </c>
      <c r="W61" s="1">
        <v>0</v>
      </c>
      <c r="X61" s="1">
        <v>30</v>
      </c>
      <c r="Y61" s="1">
        <v>0</v>
      </c>
      <c r="Z61" s="1">
        <v>0</v>
      </c>
      <c r="AA61" s="1">
        <v>0</v>
      </c>
      <c r="AB61" s="1">
        <v>20.8</v>
      </c>
      <c r="AC61" s="1" t="str">
        <v>DYNO-MILL KD</v>
      </c>
      <c r="AD61" s="1" t="str">
        <v>KD 25 S</v>
      </c>
      <c r="AE61" s="1">
        <v>1.4423076923076923</v>
      </c>
      <c r="AF61" s="1">
        <v>0</v>
      </c>
      <c r="AM61" s="1" t="str">
        <v>Milling</v>
      </c>
      <c r="AN61" s="1">
        <v>0</v>
      </c>
      <c r="AO61" s="1">
        <v>0</v>
      </c>
      <c r="AP61" s="1" t="str">
        <v>takuyatsuzukiSynthesisUltrafineCeria2004_process1</v>
      </c>
      <c r="AQ61" s="1" t="str">
        <v>colloidal</v>
      </c>
      <c r="AR61" s="1">
        <v>0</v>
      </c>
      <c r="AS61" s="1">
        <v>0</v>
      </c>
      <c r="AT61" s="1">
        <v>0</v>
      </c>
      <c r="AU61" s="1">
        <v>0</v>
      </c>
      <c r="AV61" s="1">
        <v>0</v>
      </c>
      <c r="AW61" s="1">
        <v>0</v>
      </c>
      <c r="AX61" s="1" t="str">
        <v>Mixer/Mill</v>
      </c>
      <c r="AY61" s="1">
        <v>0</v>
      </c>
      <c r="AZ61" s="1" t="str">
        <v>Argon-gas atmosphere</v>
      </c>
      <c r="BA61" s="1" t="str">
        <v>https://doi.org/10.1111/j.1151-2916.2001.tb00859.x</v>
      </c>
    </row>
    <row r="62" spans="1:53" ht="31" customHeight="1">
      <c r="A62" s="1" t="s">
        <v>480</v>
      </c>
      <c r="B62" s="110" t="s">
        <v>481</v>
      </c>
      <c r="R62" s="1" t="str">
        <v>Milling</v>
      </c>
      <c r="S62" s="1">
        <v>0</v>
      </c>
      <c r="T62" s="1">
        <v>0</v>
      </c>
      <c r="U62" s="1">
        <v>0</v>
      </c>
      <c r="V62" s="1">
        <v>46</v>
      </c>
      <c r="W62" s="1">
        <v>0</v>
      </c>
      <c r="X62" s="1">
        <v>45</v>
      </c>
      <c r="Y62" s="1">
        <v>0</v>
      </c>
      <c r="Z62" s="1">
        <v>0</v>
      </c>
      <c r="AA62" s="1">
        <v>0</v>
      </c>
      <c r="AB62" s="1">
        <v>36.800000000000004</v>
      </c>
      <c r="AC62" s="1" t="str">
        <v>DYNO-MILL KD</v>
      </c>
      <c r="AD62" s="1" t="str">
        <v>KD 45 D</v>
      </c>
      <c r="AE62" s="1">
        <v>1.2228260869565215</v>
      </c>
      <c r="AF62" s="1">
        <v>0</v>
      </c>
      <c r="AM62" s="1" t="str">
        <v>Milling</v>
      </c>
      <c r="AN62" s="1">
        <v>0</v>
      </c>
      <c r="AO62" s="1">
        <v>0</v>
      </c>
      <c r="AP62" s="1" t="str">
        <v>thakurprasadyadavSynthesisNanocrystallineCerium2012_process1</v>
      </c>
      <c r="AQ62" s="1" t="str">
        <v>colloidal</v>
      </c>
      <c r="AR62" s="1">
        <v>25</v>
      </c>
      <c r="AS62" s="1">
        <v>0</v>
      </c>
      <c r="AT62" s="1">
        <v>0</v>
      </c>
      <c r="AU62" s="1">
        <v>0</v>
      </c>
      <c r="AV62" s="1">
        <v>0</v>
      </c>
      <c r="AW62" s="1">
        <v>0</v>
      </c>
      <c r="AX62" s="1" t="str">
        <v>Szegvori attritor</v>
      </c>
      <c r="AY62" s="1">
        <v>0</v>
      </c>
      <c r="AZ62" s="1" t="str">
        <v>dry air atmosphere</v>
      </c>
      <c r="BA62" s="1" t="str">
        <v>10.1016/j.ceramint.2012.04.025</v>
      </c>
    </row>
    <row r="63" spans="1:53">
      <c r="A63" s="1" t="s">
        <v>616</v>
      </c>
      <c r="B63" s="110"/>
      <c r="R63" s="1" t="str">
        <v>Milling</v>
      </c>
      <c r="S63" s="1">
        <v>0</v>
      </c>
      <c r="T63" s="1">
        <v>0</v>
      </c>
      <c r="U63" s="1">
        <v>0</v>
      </c>
      <c r="V63" s="1">
        <v>49</v>
      </c>
      <c r="W63" s="1">
        <v>0</v>
      </c>
      <c r="X63" s="1">
        <v>45</v>
      </c>
      <c r="Y63" s="1">
        <v>0</v>
      </c>
      <c r="Z63" s="1">
        <v>0</v>
      </c>
      <c r="AA63" s="1">
        <v>0</v>
      </c>
      <c r="AB63" s="1">
        <v>39.200000000000003</v>
      </c>
      <c r="AC63" s="1" t="str">
        <v>DYNO-MILL KD</v>
      </c>
      <c r="AD63" s="1" t="str">
        <v>K 45 DS</v>
      </c>
      <c r="AE63" s="1">
        <v>1.1479591836734693</v>
      </c>
      <c r="AF63" s="1">
        <v>0</v>
      </c>
      <c r="AM63" s="1" t="str">
        <v>Milling</v>
      </c>
      <c r="AN63" s="1">
        <v>0</v>
      </c>
      <c r="AO63" s="1">
        <v>0</v>
      </c>
      <c r="AP63" s="1" t="str">
        <v>thakurprasadyadavSynthesisNanocrystallineCerium2012_process1</v>
      </c>
      <c r="AQ63" s="1" t="str">
        <v>colloidal</v>
      </c>
      <c r="AR63" s="1">
        <v>25</v>
      </c>
      <c r="AS63" s="1">
        <v>0</v>
      </c>
      <c r="AT63" s="1">
        <v>0</v>
      </c>
      <c r="AU63" s="1">
        <v>0</v>
      </c>
      <c r="AV63" s="1">
        <v>0</v>
      </c>
      <c r="AW63" s="1">
        <v>0</v>
      </c>
      <c r="AX63" s="1" t="str">
        <v>Szegvori attritor</v>
      </c>
      <c r="AY63" s="1">
        <v>0</v>
      </c>
      <c r="AZ63" s="1" t="str">
        <v>dry air atmosphere</v>
      </c>
      <c r="BA63" s="1" t="str">
        <v>10.1016/j.ceramint.2012.04.025</v>
      </c>
    </row>
    <row r="64" spans="1:53">
      <c r="A64" s="1" t="s">
        <v>617</v>
      </c>
      <c r="B64" s="110"/>
      <c r="R64" s="1" t="str">
        <v>Milling</v>
      </c>
      <c r="S64" s="1">
        <v>0</v>
      </c>
      <c r="T64" s="1">
        <v>0</v>
      </c>
      <c r="U64" s="1">
        <v>0</v>
      </c>
      <c r="V64" s="1">
        <v>60</v>
      </c>
      <c r="W64" s="1">
        <v>0</v>
      </c>
      <c r="X64" s="1">
        <v>58</v>
      </c>
      <c r="Y64" s="1">
        <v>0</v>
      </c>
      <c r="Z64" s="1">
        <v>0</v>
      </c>
      <c r="AA64" s="1">
        <v>0</v>
      </c>
      <c r="AB64" s="1">
        <v>48</v>
      </c>
      <c r="AC64" s="1" t="str">
        <v>DYNO-MILL KD</v>
      </c>
      <c r="AD64" s="1" t="str">
        <v>KD 60</v>
      </c>
      <c r="AE64" s="1">
        <v>1.2083333333333333</v>
      </c>
      <c r="AF64" s="1">
        <v>0</v>
      </c>
    </row>
    <row r="65" spans="1:32">
      <c r="R65" s="1" t="str">
        <v>Milling</v>
      </c>
      <c r="S65" s="1">
        <v>0</v>
      </c>
      <c r="T65" s="1">
        <v>0</v>
      </c>
      <c r="U65" s="1">
        <v>0</v>
      </c>
      <c r="V65" s="1">
        <v>62</v>
      </c>
      <c r="W65" s="1">
        <v>0</v>
      </c>
      <c r="X65" s="1">
        <v>58</v>
      </c>
      <c r="Y65" s="1">
        <v>0</v>
      </c>
      <c r="Z65" s="1">
        <v>0</v>
      </c>
      <c r="AA65" s="1">
        <v>0</v>
      </c>
      <c r="AB65" s="1">
        <v>49.6</v>
      </c>
      <c r="AC65" s="1" t="str">
        <v>DYNO-MILL KD</v>
      </c>
      <c r="AD65" s="1" t="str">
        <v>KD 60 S</v>
      </c>
      <c r="AE65" s="1">
        <v>1.1693548387096775</v>
      </c>
      <c r="AF65" s="1">
        <v>0</v>
      </c>
    </row>
    <row r="66" spans="1:32">
      <c r="R66" s="1" t="str">
        <v>Milling</v>
      </c>
      <c r="S66" s="1">
        <v>0</v>
      </c>
      <c r="T66" s="1">
        <v>0</v>
      </c>
      <c r="U66" s="1">
        <v>0</v>
      </c>
      <c r="V66" s="1">
        <v>128</v>
      </c>
      <c r="W66" s="1">
        <v>0</v>
      </c>
      <c r="X66" s="1">
        <v>75</v>
      </c>
      <c r="Y66" s="1">
        <v>0</v>
      </c>
      <c r="Z66" s="1">
        <v>0</v>
      </c>
      <c r="AA66" s="1">
        <v>0</v>
      </c>
      <c r="AB66" s="1">
        <v>102.4</v>
      </c>
      <c r="AC66" s="1" t="str">
        <v>DYNO-MILL KD</v>
      </c>
      <c r="AD66" s="1" t="str">
        <v>KD 120 A</v>
      </c>
      <c r="AE66" s="1">
        <v>0.732421875</v>
      </c>
      <c r="AF66" s="1">
        <v>0</v>
      </c>
    </row>
    <row r="67" spans="1:32">
      <c r="R67" s="1" t="str">
        <v>Milling</v>
      </c>
      <c r="S67" s="1">
        <v>0</v>
      </c>
      <c r="T67" s="1">
        <v>0</v>
      </c>
      <c r="U67" s="1">
        <v>0</v>
      </c>
      <c r="V67" s="1">
        <v>196</v>
      </c>
      <c r="W67" s="1">
        <v>0</v>
      </c>
      <c r="X67" s="1">
        <v>84</v>
      </c>
      <c r="Y67" s="1">
        <v>0</v>
      </c>
      <c r="Z67" s="1">
        <v>0</v>
      </c>
      <c r="AA67" s="1">
        <v>0</v>
      </c>
      <c r="AB67" s="1">
        <v>156.80000000000001</v>
      </c>
      <c r="AC67" s="1" t="str">
        <v>DYNO-MILL KD</v>
      </c>
      <c r="AD67" s="1" t="str">
        <v>KD 190 A</v>
      </c>
      <c r="AE67" s="1">
        <v>0.5357142857142857</v>
      </c>
      <c r="AF67" s="1">
        <v>0</v>
      </c>
    </row>
    <row r="68" spans="1:32">
      <c r="R68" s="1" t="str">
        <v>Milling</v>
      </c>
      <c r="S68" s="1">
        <v>0</v>
      </c>
      <c r="T68" s="1">
        <v>0</v>
      </c>
      <c r="U68" s="1">
        <v>0</v>
      </c>
      <c r="V68" s="1">
        <v>296</v>
      </c>
      <c r="W68" s="1">
        <v>0</v>
      </c>
      <c r="X68" s="1">
        <v>110</v>
      </c>
      <c r="Y68" s="1">
        <v>0</v>
      </c>
      <c r="Z68" s="1">
        <v>0</v>
      </c>
      <c r="AA68" s="1">
        <v>0</v>
      </c>
      <c r="AB68" s="1">
        <v>236.8</v>
      </c>
      <c r="AC68" s="1" t="str">
        <v>DYNO-MILL KD</v>
      </c>
      <c r="AD68" s="1" t="str">
        <v>KD 280 A</v>
      </c>
      <c r="AE68" s="1">
        <v>0.46452702702702703</v>
      </c>
      <c r="AF68" s="1">
        <v>0</v>
      </c>
    </row>
    <row r="69" spans="1:32">
      <c r="R69" s="1" t="str">
        <v>Milling</v>
      </c>
      <c r="S69" s="1">
        <v>0</v>
      </c>
      <c r="T69" s="1">
        <v>0</v>
      </c>
      <c r="U69" s="1">
        <v>0</v>
      </c>
      <c r="V69" s="1">
        <v>612</v>
      </c>
      <c r="W69" s="1">
        <v>0</v>
      </c>
      <c r="X69" s="1">
        <v>250</v>
      </c>
      <c r="Y69" s="1">
        <v>0</v>
      </c>
      <c r="Z69" s="1">
        <v>0</v>
      </c>
      <c r="AA69" s="1">
        <v>0</v>
      </c>
      <c r="AB69" s="1">
        <v>489.6</v>
      </c>
      <c r="AC69" s="1" t="str">
        <v>DYNO-MILL KD</v>
      </c>
      <c r="AD69" s="1" t="str">
        <v>KD 600</v>
      </c>
      <c r="AE69" s="1">
        <v>0.5106209150326797</v>
      </c>
      <c r="AF69" s="1">
        <v>0</v>
      </c>
    </row>
    <row r="70" spans="1:32">
      <c r="B70" s="1" t="s">
        <v>620</v>
      </c>
      <c r="C70" s="1" t="s">
        <v>619</v>
      </c>
      <c r="D70" s="1" t="s">
        <v>2</v>
      </c>
    </row>
    <row r="71" spans="1:32">
      <c r="A71" s="1" t="s">
        <v>482</v>
      </c>
      <c r="B71" s="115"/>
      <c r="C71" s="115"/>
      <c r="D71" s="123">
        <f>E71</f>
        <v>1.0900000000000001</v>
      </c>
      <c r="E71" s="1">
        <f>Z21</f>
        <v>1.0900000000000001</v>
      </c>
    </row>
    <row r="72" spans="1:32">
      <c r="A72" s="1" t="s">
        <v>1175</v>
      </c>
      <c r="B72" s="115"/>
      <c r="C72" s="115"/>
      <c r="D72" s="115"/>
    </row>
    <row r="73" spans="1:32">
      <c r="A73" s="1" t="s">
        <v>613</v>
      </c>
      <c r="B73" s="115"/>
      <c r="C73" s="115"/>
      <c r="D73" s="115"/>
    </row>
    <row r="74" spans="1:32">
      <c r="A74" s="1" t="s">
        <v>625</v>
      </c>
      <c r="B74" s="116"/>
      <c r="C74" s="116"/>
      <c r="D74" s="120">
        <f>Z21</f>
        <v>1.0900000000000001</v>
      </c>
    </row>
    <row r="75" spans="1:32">
      <c r="B75" s="117"/>
      <c r="C75" s="117"/>
      <c r="D75" s="118"/>
    </row>
    <row r="76" spans="1:32"/>
    <row r="77" spans="1:32">
      <c r="A77" s="98"/>
    </row>
    <row r="78" spans="1:32">
      <c r="A78" s="98"/>
    </row>
    <row r="79" spans="1:32">
      <c r="A79" s="98"/>
    </row>
    <row r="80" spans="1:32">
      <c r="A80" s="98"/>
    </row>
    <row r="81" spans="1:16">
      <c r="A81" s="98"/>
      <c r="B81" s="1" t="s">
        <v>620</v>
      </c>
      <c r="C81" s="1" t="s">
        <v>618</v>
      </c>
      <c r="D81" s="1" t="s">
        <v>2</v>
      </c>
    </row>
    <row r="82" spans="1:16">
      <c r="A82" s="1" t="s">
        <v>483</v>
      </c>
      <c r="B82" s="115"/>
      <c r="C82" s="115"/>
      <c r="D82" s="115"/>
    </row>
    <row r="83" spans="1:16">
      <c r="A83" s="1" t="s">
        <v>484</v>
      </c>
      <c r="B83" s="115"/>
      <c r="C83" s="115"/>
      <c r="D83" s="115"/>
    </row>
    <row r="84" spans="1:16"/>
    <row r="85" spans="1:16"/>
    <row r="86" spans="1:16"/>
    <row r="87" spans="1:16"/>
    <row r="88" spans="1:16" ht="17" customHeight="1"/>
    <row r="89" spans="1:16" ht="17" customHeight="1"/>
    <row r="90" spans="1:16" ht="17" customHeight="1"/>
    <row r="91" spans="1:16" ht="17" customHeight="1"/>
    <row r="92" spans="1:16">
      <c r="A92" s="1" t="s">
        <v>621</v>
      </c>
      <c r="B92" s="119">
        <f>SUM(C48:C49,C38:C39,D29:D30)</f>
        <v>6.68</v>
      </c>
    </row>
    <row r="93" spans="1:16"/>
    <row r="94" spans="1:16"/>
    <row r="95" spans="1:16"/>
    <row r="96" spans="1:16" s="107" customFormat="1" ht="21">
      <c r="A96" s="107" t="s">
        <v>622</v>
      </c>
      <c r="B96" s="115">
        <f>E96</f>
        <v>8.35</v>
      </c>
      <c r="E96" s="1">
        <f>B92*(1/0.8)</f>
        <v>8.35</v>
      </c>
      <c r="F96" s="107" t="s">
        <v>1180</v>
      </c>
      <c r="O96" s="229"/>
      <c r="P96" s="229"/>
    </row>
    <row r="97" spans="1:16"/>
    <row r="98" spans="1:16"/>
    <row r="99" spans="1:16" s="107" customFormat="1" ht="42">
      <c r="A99" s="107" t="s">
        <v>623</v>
      </c>
      <c r="B99" s="408">
        <f>B92/B96</f>
        <v>0.8</v>
      </c>
      <c r="O99" s="229"/>
      <c r="P99" s="229"/>
    </row>
    <row r="100" spans="1:16"/>
    <row r="101" spans="1:16"/>
    <row r="102" spans="1:16"/>
    <row r="103" spans="1:16"/>
    <row r="104" spans="1:16"/>
    <row r="105" spans="1:16"/>
    <row r="106" spans="1:16"/>
    <row r="107" spans="1:16"/>
    <row r="108" spans="1:16">
      <c r="A108" s="101" t="s">
        <v>624</v>
      </c>
      <c r="B108" s="120">
        <f>D72*B64</f>
        <v>0</v>
      </c>
    </row>
    <row r="109" spans="1:16">
      <c r="A109" s="101" t="s">
        <v>626</v>
      </c>
      <c r="B109" s="120">
        <f>D71*B60*B96</f>
        <v>4.5507499999999999</v>
      </c>
    </row>
    <row r="110" spans="1:16">
      <c r="A110" s="101" t="s">
        <v>485</v>
      </c>
      <c r="B110" s="115"/>
    </row>
    <row r="111" spans="1:16">
      <c r="A111" s="1" t="s">
        <v>627</v>
      </c>
      <c r="B111" s="1">
        <f>SUM(B108:B110)</f>
        <v>4.5507499999999999</v>
      </c>
    </row>
    <row r="112" spans="1:16">
      <c r="A112" s="101"/>
    </row>
    <row r="113" spans="1:12">
      <c r="A113" s="101"/>
    </row>
    <row r="114" spans="1:12">
      <c r="A114" s="101"/>
    </row>
    <row r="115" spans="1:12">
      <c r="A115" s="101"/>
    </row>
    <row r="116" spans="1:12">
      <c r="A116" s="101"/>
    </row>
    <row r="117" spans="1:12">
      <c r="A117" s="101"/>
    </row>
    <row r="118" spans="1:12">
      <c r="A118" s="101"/>
    </row>
    <row r="119" spans="1:12">
      <c r="A119" s="101"/>
    </row>
    <row r="120" spans="1:12">
      <c r="A120" s="101"/>
    </row>
    <row r="121" spans="1:12">
      <c r="A121" s="101"/>
    </row>
    <row r="122" spans="1:12">
      <c r="A122" s="101"/>
    </row>
    <row r="123" spans="1:12">
      <c r="A123" s="101"/>
    </row>
    <row r="124" spans="1:12">
      <c r="A124" s="101"/>
      <c r="C124" s="126" t="s">
        <v>628</v>
      </c>
    </row>
    <row r="125" spans="1:12">
      <c r="A125" s="1" t="s">
        <v>486</v>
      </c>
      <c r="B125" s="122" t="s">
        <v>453</v>
      </c>
      <c r="C125" s="126">
        <f>ROUND(VLOOKUP(B125,[3]!State_energy_table[#Data],8,FALSE),2)</f>
        <v>0.22</v>
      </c>
      <c r="D125" s="1">
        <f>C125*B111</f>
        <v>1.0011650000000001</v>
      </c>
    </row>
    <row r="126" spans="1:12"/>
    <row r="127" spans="1:12"/>
    <row r="128" spans="1:12">
      <c r="A128" s="127" t="s">
        <v>636</v>
      </c>
      <c r="B128" s="128"/>
      <c r="C128" s="129"/>
      <c r="D128" s="129"/>
      <c r="E128" s="129"/>
      <c r="F128" s="129"/>
      <c r="G128" s="129"/>
      <c r="H128" s="129"/>
      <c r="I128" s="129"/>
      <c r="J128" s="124"/>
      <c r="K128" s="124"/>
      <c r="L128" s="124"/>
    </row>
    <row r="129" spans="1:12">
      <c r="A129" s="327" t="s">
        <v>629</v>
      </c>
      <c r="B129" s="327"/>
      <c r="C129" s="327"/>
      <c r="D129" s="327"/>
      <c r="E129" s="327"/>
      <c r="F129" s="327"/>
      <c r="G129" s="327"/>
      <c r="H129" s="327"/>
      <c r="I129" s="327"/>
      <c r="J129" s="124"/>
      <c r="K129" s="124"/>
      <c r="L129" s="124"/>
    </row>
    <row r="130" spans="1:12" ht="42">
      <c r="A130" s="130" t="s">
        <v>630</v>
      </c>
      <c r="B130" s="130" t="s">
        <v>631</v>
      </c>
      <c r="C130" s="130" t="s">
        <v>632</v>
      </c>
      <c r="D130" s="130" t="s">
        <v>633</v>
      </c>
      <c r="E130" s="130" t="s">
        <v>634</v>
      </c>
      <c r="F130" s="130" t="s">
        <v>10</v>
      </c>
      <c r="G130" s="130" t="s">
        <v>11</v>
      </c>
      <c r="H130" s="130" t="s">
        <v>12</v>
      </c>
      <c r="I130" s="130" t="s">
        <v>635</v>
      </c>
      <c r="K130" s="125"/>
    </row>
    <row r="131" spans="1:12">
      <c r="A131" s="409">
        <v>0</v>
      </c>
      <c r="B131" s="409">
        <v>0</v>
      </c>
      <c r="C131" s="409">
        <v>0</v>
      </c>
      <c r="D131" s="409">
        <v>0</v>
      </c>
      <c r="E131" s="409">
        <v>0</v>
      </c>
      <c r="F131" s="409">
        <v>0</v>
      </c>
      <c r="G131" s="409">
        <v>0</v>
      </c>
      <c r="H131" s="409">
        <v>0</v>
      </c>
      <c r="I131" s="409">
        <v>0</v>
      </c>
      <c r="K131" s="124"/>
    </row>
    <row r="132" spans="1:12">
      <c r="A132" s="132"/>
      <c r="B132" s="132"/>
      <c r="C132" s="132"/>
      <c r="D132" s="132"/>
      <c r="E132" s="132"/>
      <c r="F132" s="132"/>
      <c r="G132" s="132"/>
      <c r="H132" s="132"/>
      <c r="I132" s="132"/>
    </row>
    <row r="133" spans="1:12"/>
    <row r="134" spans="1:12"/>
    <row r="135" spans="1:12"/>
    <row r="136" spans="1:12"/>
    <row r="137" spans="1:12">
      <c r="A137" s="290"/>
      <c r="B137" s="290"/>
      <c r="C137" s="290"/>
      <c r="D137" s="290"/>
      <c r="E137" s="290"/>
    </row>
    <row r="138" spans="1:12">
      <c r="A138" s="290"/>
      <c r="B138" s="290"/>
      <c r="C138" s="290"/>
      <c r="D138" s="290"/>
      <c r="E138" s="290"/>
    </row>
    <row r="139" spans="1:12">
      <c r="A139" s="290"/>
      <c r="B139" s="290"/>
      <c r="C139" s="290"/>
      <c r="D139" s="290"/>
      <c r="E139" s="290"/>
    </row>
    <row r="140" spans="1:12">
      <c r="A140" s="290"/>
      <c r="B140" s="290"/>
      <c r="C140" s="290"/>
      <c r="D140" s="290"/>
      <c r="E140" s="290"/>
    </row>
    <row r="141" spans="1:12">
      <c r="A141" s="290" t="s">
        <v>640</v>
      </c>
      <c r="B141" s="297">
        <f>SUM(G29:G30)</f>
        <v>1</v>
      </c>
      <c r="C141" s="290"/>
      <c r="D141" s="290"/>
      <c r="E141" s="290"/>
    </row>
    <row r="142" spans="1:12">
      <c r="A142" s="290"/>
      <c r="B142" s="290"/>
      <c r="C142" s="290"/>
      <c r="D142" s="290"/>
      <c r="E142" s="290"/>
    </row>
    <row r="143" spans="1:12">
      <c r="A143" s="290" t="s">
        <v>637</v>
      </c>
      <c r="B143" s="410">
        <v>3</v>
      </c>
      <c r="C143" s="290"/>
      <c r="D143" s="290"/>
      <c r="E143" s="290"/>
    </row>
    <row r="144" spans="1:12">
      <c r="A144" s="290"/>
      <c r="B144" s="290"/>
      <c r="C144" s="290"/>
      <c r="D144" s="290"/>
      <c r="E144" s="290"/>
    </row>
    <row r="145" spans="1:5">
      <c r="A145" s="290"/>
      <c r="B145" s="290"/>
      <c r="C145" s="290"/>
      <c r="D145" s="290"/>
      <c r="E145" s="290"/>
    </row>
    <row r="146" spans="1:5">
      <c r="A146" s="290" t="s">
        <v>638</v>
      </c>
      <c r="B146" s="411">
        <f>B143/B141</f>
        <v>3</v>
      </c>
      <c r="C146" s="290"/>
      <c r="D146" s="290"/>
      <c r="E146" s="290"/>
    </row>
    <row r="147" spans="1:5">
      <c r="A147" s="290"/>
      <c r="B147" s="290"/>
      <c r="C147" s="290"/>
      <c r="D147" s="290"/>
      <c r="E147" s="290"/>
    </row>
    <row r="148" spans="1:5">
      <c r="A148" s="290" t="s">
        <v>639</v>
      </c>
      <c r="B148" s="292">
        <f>B141-B143</f>
        <v>-2</v>
      </c>
      <c r="C148" s="290"/>
      <c r="D148" s="290"/>
      <c r="E148" s="290"/>
    </row>
    <row r="149" spans="1:5"/>
    <row r="150" spans="1:5"/>
    <row r="151" spans="1:5"/>
    <row r="152" spans="1:5"/>
    <row r="153" spans="1:5"/>
    <row r="154" spans="1:5"/>
    <row r="155" spans="1:5"/>
    <row r="156" spans="1:5"/>
    <row r="157" spans="1:5">
      <c r="A157" s="290"/>
      <c r="B157" s="290"/>
      <c r="C157" s="290"/>
      <c r="D157" s="290"/>
    </row>
    <row r="158" spans="1:5">
      <c r="A158" s="291" t="s">
        <v>487</v>
      </c>
      <c r="B158" s="292">
        <f>B143</f>
        <v>3</v>
      </c>
      <c r="C158" s="290"/>
      <c r="D158" s="290"/>
    </row>
    <row r="159" spans="1:5">
      <c r="A159" s="291" t="s">
        <v>488</v>
      </c>
      <c r="B159" s="412"/>
      <c r="C159" s="290"/>
      <c r="D159" s="290"/>
    </row>
    <row r="160" spans="1:5">
      <c r="A160" s="290" t="s">
        <v>645</v>
      </c>
      <c r="B160" s="412"/>
      <c r="C160" s="290"/>
      <c r="D160" s="290"/>
    </row>
    <row r="161" spans="1:6">
      <c r="A161" s="290"/>
      <c r="B161" s="290"/>
      <c r="C161" s="290"/>
      <c r="D161" s="290"/>
    </row>
    <row r="162" spans="1:6">
      <c r="A162" s="290" t="s">
        <v>641</v>
      </c>
      <c r="B162" s="292">
        <f>SUM(B158:B159)</f>
        <v>3</v>
      </c>
      <c r="C162" s="290"/>
      <c r="D162" s="290"/>
    </row>
    <row r="163" spans="1:6">
      <c r="A163" s="291" t="s">
        <v>642</v>
      </c>
      <c r="B163" s="290">
        <f>B92</f>
        <v>6.68</v>
      </c>
      <c r="C163" s="290"/>
      <c r="D163" s="290"/>
    </row>
    <row r="164" spans="1:6">
      <c r="A164" s="291"/>
      <c r="B164" s="290"/>
      <c r="C164" s="290"/>
      <c r="D164" s="290"/>
    </row>
    <row r="165" spans="1:6">
      <c r="A165" s="101"/>
    </row>
    <row r="166" spans="1:6">
      <c r="A166" s="101"/>
    </row>
    <row r="167" spans="1:6">
      <c r="A167" s="101"/>
    </row>
    <row r="168" spans="1:6">
      <c r="A168" s="101"/>
    </row>
    <row r="169" spans="1:6">
      <c r="A169" s="133"/>
      <c r="B169" s="109" t="s">
        <v>178</v>
      </c>
      <c r="C169" s="109" t="s">
        <v>177</v>
      </c>
      <c r="D169" s="109" t="s">
        <v>179</v>
      </c>
      <c r="E169" s="109" t="s">
        <v>643</v>
      </c>
      <c r="F169" s="109" t="s">
        <v>644</v>
      </c>
    </row>
    <row r="170" spans="1:6">
      <c r="A170" s="101" t="s">
        <v>489</v>
      </c>
      <c r="B170" s="1" t="s">
        <v>191</v>
      </c>
      <c r="C170" s="1" t="str">
        <f>VLOOKUP(B170,[3]!GHG_Table[#Data],2,FALSE)</f>
        <v>AR4-100</v>
      </c>
      <c r="D170" s="1">
        <f>VLOOKUP(B170,[3]!GHG_Table[#Data],3,FALSE)</f>
        <v>1</v>
      </c>
      <c r="E170" s="413">
        <v>0</v>
      </c>
      <c r="F170" s="1">
        <f>D170*E170</f>
        <v>0</v>
      </c>
    </row>
    <row r="171" spans="1:6">
      <c r="A171" s="101" t="s">
        <v>543</v>
      </c>
      <c r="B171" s="1" t="s">
        <v>541</v>
      </c>
      <c r="C171" s="1" t="str">
        <f>VLOOKUP(B171,[3]!GHG_Table[#Data],2,FALSE)</f>
        <v>NA</v>
      </c>
      <c r="D171" s="1">
        <f>VLOOKUP(B171,[3]!GHG_Table[#Data],3,FALSE)</f>
        <v>0</v>
      </c>
      <c r="E171" s="413">
        <v>0</v>
      </c>
      <c r="F171" s="1">
        <f>D171*E171</f>
        <v>0</v>
      </c>
    </row>
    <row r="172" spans="1:6">
      <c r="A172" s="101" t="s">
        <v>490</v>
      </c>
    </row>
    <row r="173" spans="1:6">
      <c r="A173" s="101"/>
    </row>
    <row r="174" spans="1:6">
      <c r="A174" s="101"/>
    </row>
    <row r="175" spans="1:6">
      <c r="A175" s="133"/>
    </row>
    <row r="176" spans="1:6">
      <c r="A176" s="134" t="s">
        <v>646</v>
      </c>
    </row>
    <row r="177" spans="1:2">
      <c r="A177" s="127" t="s">
        <v>491</v>
      </c>
    </row>
    <row r="178" spans="1:2">
      <c r="A178" s="127" t="s">
        <v>492</v>
      </c>
    </row>
    <row r="179" spans="1:2">
      <c r="A179" s="291"/>
      <c r="B179" s="290"/>
    </row>
    <row r="180" spans="1:2">
      <c r="A180" s="291"/>
      <c r="B180" s="290"/>
    </row>
    <row r="181" spans="1:2">
      <c r="A181" s="291"/>
      <c r="B181" s="290"/>
    </row>
    <row r="182" spans="1:2">
      <c r="A182" s="291"/>
      <c r="B182" s="290"/>
    </row>
    <row r="183" spans="1:2">
      <c r="A183" s="290" t="s">
        <v>493</v>
      </c>
      <c r="B183" s="300">
        <f>SUM(C48:C50)/B143</f>
        <v>0</v>
      </c>
    </row>
    <row r="184" spans="1:2">
      <c r="A184" s="290" t="s">
        <v>494</v>
      </c>
      <c r="B184" s="300">
        <f>ROUND(B160/B143,2)</f>
        <v>0</v>
      </c>
    </row>
    <row r="185" spans="1:2">
      <c r="A185" s="290"/>
      <c r="B185" s="290"/>
    </row>
    <row r="186" spans="1:2"/>
    <row r="187" spans="1:2" ht="21" customHeight="1"/>
    <row r="188" spans="1:2" ht="21" customHeight="1"/>
    <row r="189" spans="1:2">
      <c r="A189" s="1" t="s">
        <v>529</v>
      </c>
      <c r="B189" s="119">
        <f>ROUND(SUM(F170:F171)/B143,2)</f>
        <v>0</v>
      </c>
    </row>
    <row r="190" spans="1:2">
      <c r="A190" s="1" t="s">
        <v>495</v>
      </c>
    </row>
    <row r="191" spans="1:2"/>
    <row r="192" spans="1:2"/>
    <row r="193" spans="1:2"/>
    <row r="194" spans="1:2"/>
    <row r="195" spans="1:2">
      <c r="A195" s="98"/>
    </row>
    <row r="196" spans="1:2">
      <c r="A196" s="1" t="s">
        <v>496</v>
      </c>
      <c r="B196" s="119">
        <f>B111</f>
        <v>4.5507499999999999</v>
      </c>
    </row>
    <row r="197" spans="1:2"/>
    <row r="198" spans="1:2"/>
    <row r="199" spans="1:2"/>
    <row r="200" spans="1:2"/>
    <row r="201" spans="1:2"/>
    <row r="202" spans="1:2"/>
    <row r="203" spans="1:2"/>
    <row r="204" spans="1:2">
      <c r="A204" s="100" t="s">
        <v>497</v>
      </c>
      <c r="B204" s="119">
        <f>SUM(D125,F170:F171)</f>
        <v>1.0011650000000001</v>
      </c>
    </row>
    <row r="205" spans="1:2">
      <c r="A205" s="102" t="s">
        <v>498</v>
      </c>
      <c r="B205" s="119"/>
    </row>
    <row r="206" spans="1:2">
      <c r="A206" s="102" t="s">
        <v>499</v>
      </c>
      <c r="B206" s="119"/>
    </row>
    <row r="207" spans="1:2">
      <c r="A207" s="102" t="s">
        <v>500</v>
      </c>
      <c r="B207" s="119"/>
    </row>
    <row r="208" spans="1:2">
      <c r="A208" s="100" t="s">
        <v>753</v>
      </c>
      <c r="B208" s="119">
        <f>B111</f>
        <v>4.5507499999999999</v>
      </c>
    </row>
    <row r="209" spans="1:2">
      <c r="A209" s="100" t="s">
        <v>501</v>
      </c>
      <c r="B209" s="119">
        <f>SUM(C48:C50)</f>
        <v>0</v>
      </c>
    </row>
    <row r="210" spans="1:2"/>
    <row r="211" spans="1:2"/>
    <row r="212" spans="1:2"/>
    <row r="213" spans="1:2"/>
    <row r="214" spans="1:2"/>
    <row r="215" spans="1:2"/>
    <row r="216" spans="1:2"/>
    <row r="217" spans="1:2"/>
    <row r="218" spans="1:2"/>
    <row r="219" spans="1:2" ht="20" customHeight="1"/>
  </sheetData>
  <mergeCells count="1">
    <mergeCell ref="A129:I129"/>
  </mergeCells>
  <dataValidations count="4">
    <dataValidation type="list" allowBlank="1" showInputMessage="1" showErrorMessage="1" sqref="B48" xr:uid="{D7627A30-F8D3-534E-BAB6-7C71D025A55B}">
      <formula1>"Municipal water, RO water, DIW, UPW"</formula1>
    </dataValidation>
    <dataValidation type="list" allowBlank="1" showInputMessage="1" showErrorMessage="1" sqref="B62" xr:uid="{47A9F34A-A4CE-1D42-BDCF-8A9D7E91CC34}">
      <formula1>"Active Process Time Only,Includes Warm-up/Cool-down"</formula1>
    </dataValidation>
    <dataValidation type="list" allowBlank="1" showInputMessage="1" showErrorMessage="1" sqref="B170:B171" xr:uid="{7A1A1010-E83D-2C4A-8A14-3014CBEEB20C}">
      <formula1>GHG_chemical_gas</formula1>
    </dataValidation>
    <dataValidation type="list" allowBlank="1" showInputMessage="1" showErrorMessage="1" sqref="B15:B20 B22:B27" xr:uid="{7DE81E88-E601-1E4F-A344-3D2F37B5D70E}">
      <formula1>"Precursor Synthesis,Calcination,Milling,Filtering,Washing,Drying"</formula1>
    </dataValidation>
  </dataValidations>
  <hyperlinks>
    <hyperlink ref="Y35" location="All_Equipment!A1" display="Click here to add your process into database" xr:uid="{1CF2751C-4AD3-CD4B-AA90-2EA0284EA5BA}"/>
  </hyperlinks>
  <pageMargins left="0.7" right="0.7" top="0.75" bottom="0.75" header="0.3" footer="0.3"/>
  <pageSetup scale="28" orientation="portrait" horizontalDpi="0" verticalDpi="0"/>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691B25-A820-9C4C-832D-CDAC8FB9F1CC}">
  <sheetPr>
    <tabColor rgb="FFFFCD00"/>
    <pageSetUpPr fitToPage="1"/>
  </sheetPr>
  <dimension ref="A1:BA219"/>
  <sheetViews>
    <sheetView showGridLines="0" zoomScaleNormal="159" workbookViewId="0">
      <selection activeCell="B61" sqref="B61"/>
    </sheetView>
  </sheetViews>
  <sheetFormatPr baseColWidth="10" defaultColWidth="10.83203125" defaultRowHeight="20" customHeight="1" zeroHeight="1"/>
  <cols>
    <col min="1" max="1" width="48.1640625" style="1" bestFit="1" customWidth="1"/>
    <col min="2" max="2" width="27.5" style="1" customWidth="1"/>
    <col min="3" max="3" width="27.1640625" style="1" customWidth="1"/>
    <col min="4" max="6" width="30.33203125" style="1" customWidth="1"/>
    <col min="7" max="7" width="30.6640625" style="1" customWidth="1"/>
    <col min="8" max="8" width="12.6640625" style="1" bestFit="1" customWidth="1"/>
    <col min="9" max="14" width="10.83203125" style="1"/>
    <col min="15" max="16" width="10.83203125" style="227"/>
    <col min="17" max="17" width="10.83203125" style="1"/>
    <col min="18" max="18" width="41.33203125" style="1" customWidth="1"/>
    <col min="19" max="21" width="11" style="1" bestFit="1" customWidth="1"/>
    <col min="22" max="22" width="14.1640625" style="1" bestFit="1" customWidth="1"/>
    <col min="23" max="24" width="11" style="1" bestFit="1" customWidth="1"/>
    <col min="25" max="25" width="50.83203125" style="1" customWidth="1"/>
    <col min="26" max="26" width="20.1640625" style="1" customWidth="1"/>
    <col min="27" max="27" width="11.1640625" style="1" bestFit="1" customWidth="1"/>
    <col min="28" max="28" width="15.83203125" style="1" bestFit="1" customWidth="1"/>
    <col min="29" max="30" width="10.83203125" style="1"/>
    <col min="31" max="31" width="17.5" style="1" bestFit="1" customWidth="1"/>
    <col min="32" max="32" width="10.83203125" style="1"/>
    <col min="33" max="33" width="50.1640625" style="1" bestFit="1" customWidth="1"/>
    <col min="34" max="38" width="10.83203125" style="1"/>
    <col min="39" max="39" width="17.6640625" style="1" customWidth="1"/>
    <col min="40" max="42" width="11.33203125" style="1" bestFit="1" customWidth="1"/>
    <col min="43" max="43" width="14.5" style="1" bestFit="1" customWidth="1"/>
    <col min="44" max="47" width="11.33203125" style="1" bestFit="1" customWidth="1"/>
    <col min="48" max="48" width="13" style="1" bestFit="1" customWidth="1"/>
    <col min="49" max="49" width="16" style="1" bestFit="1" customWidth="1"/>
    <col min="50" max="51" width="11.33203125" style="1" bestFit="1" customWidth="1"/>
    <col min="52" max="52" width="15.83203125" style="1" bestFit="1" customWidth="1"/>
    <col min="53" max="16384" width="10.83203125" style="1"/>
  </cols>
  <sheetData>
    <row r="1" spans="1:44"/>
    <row r="2" spans="1:44"/>
    <row r="3" spans="1:44"/>
    <row r="4" spans="1:44" ht="26" customHeight="1"/>
    <row r="5" spans="1:44"/>
    <row r="6" spans="1:44"/>
    <row r="7" spans="1:44"/>
    <row r="8" spans="1:44">
      <c r="A8" s="98"/>
    </row>
    <row r="9" spans="1:44">
      <c r="A9" s="98"/>
    </row>
    <row r="10" spans="1:44">
      <c r="A10" s="98"/>
    </row>
    <row r="11" spans="1:44">
      <c r="A11" s="98"/>
    </row>
    <row r="12" spans="1:44">
      <c r="A12" s="98"/>
    </row>
    <row r="13" spans="1:44">
      <c r="A13" s="98"/>
    </row>
    <row r="14" spans="1:44" ht="30">
      <c r="A14" s="1" t="s">
        <v>472</v>
      </c>
      <c r="B14" s="233" t="s">
        <v>6</v>
      </c>
    </row>
    <row r="15" spans="1:44"/>
    <row r="16" spans="1:44">
      <c r="AR16" s="1" t="s">
        <v>595</v>
      </c>
    </row>
    <row r="17" spans="1:48">
      <c r="AU17" s="407" t="e">
        <f>ROUND(_xlfn.PERCENTRANK.INC(INDEX(_xlfn.ANCHORARRAY(R45),0,7), Z26),4)</f>
        <v>#N/A</v>
      </c>
      <c r="AV17" s="407" t="e">
        <f>ROUND(_xlfn.PERCENTRANK.INC(AV20:AV24, Z26),4)</f>
        <v>#N/A</v>
      </c>
    </row>
    <row r="18" spans="1:48">
      <c r="G18" s="301"/>
      <c r="AS18" s="1" t="s">
        <v>598</v>
      </c>
      <c r="AT18" s="1" t="s">
        <v>599</v>
      </c>
    </row>
    <row r="19" spans="1:48" ht="26">
      <c r="A19" s="99"/>
      <c r="R19" s="143" t="s">
        <v>600</v>
      </c>
      <c r="Y19" s="1" t="s">
        <v>1129</v>
      </c>
      <c r="Z19" s="120" t="str">
        <f>B14</f>
        <v>Filtration</v>
      </c>
      <c r="AG19" s="143" t="s">
        <v>1134</v>
      </c>
      <c r="AS19" s="1">
        <v>0</v>
      </c>
      <c r="AT19" s="231" t="e">
        <f>AV17</f>
        <v>#N/A</v>
      </c>
    </row>
    <row r="20" spans="1:48">
      <c r="A20" s="98"/>
      <c r="R20" s="51" t="str" cm="1">
        <f t="array" ref="R20:R28">_xlfn.UNIQUE([3]!Equipment_Database[Tool Used for process])</f>
        <v>Annealing</v>
      </c>
      <c r="Z20" s="137" t="s">
        <v>590</v>
      </c>
      <c r="AA20" s="137" t="s">
        <v>8</v>
      </c>
      <c r="AB20" s="137" t="s">
        <v>1</v>
      </c>
      <c r="AG20" s="1" t="str" cm="1">
        <f t="array" ref="AG20:AG34">_xlfn.UNIQUE([3]!Process_time_database[Process Name])</f>
        <v>Annealing</v>
      </c>
      <c r="AR20" s="1" t="s">
        <v>596</v>
      </c>
      <c r="AS20" s="407">
        <v>0.25</v>
      </c>
      <c r="AT20" s="407">
        <v>0.04</v>
      </c>
      <c r="AV20" s="1">
        <f>ROUND(MIN(INDEX(_xlfn.ANCHORARRAY(R45),0,7)),2)</f>
        <v>18.600000000000001</v>
      </c>
    </row>
    <row r="21" spans="1:48">
      <c r="A21" s="98"/>
      <c r="R21" s="1" t="str">
        <v>Calcination</v>
      </c>
      <c r="Y21" s="51" t="s">
        <v>1227</v>
      </c>
      <c r="Z21" s="138">
        <f>ROUND(AVERAGE(INDEX(_xlfn.ANCHORARRAY(R45),0,14)),2)</f>
        <v>4.1900000000000004</v>
      </c>
      <c r="AA21" s="138">
        <f>ROUND(MIN(INDEX(_xlfn.ANCHORARRAY(R45),0,14)),2)</f>
        <v>2.33</v>
      </c>
      <c r="AB21" s="138">
        <f>ROUND(MAX(INDEX(_xlfn.ANCHORARRAY(R45),0,14)),2)</f>
        <v>6.99</v>
      </c>
      <c r="AG21" s="1" t="str">
        <v>Calcination</v>
      </c>
      <c r="AR21" s="1" t="s">
        <v>2</v>
      </c>
      <c r="AS21" s="407">
        <v>0.5</v>
      </c>
      <c r="AT21" s="407">
        <v>1.38</v>
      </c>
      <c r="AV21" s="1">
        <f>ROUND(PERCENTILE(INDEX(_xlfn.ANCHORARRAY(R45),0,7),0.25),2)</f>
        <v>22.4</v>
      </c>
    </row>
    <row r="22" spans="1:48">
      <c r="A22" s="98"/>
      <c r="R22" s="1" t="str">
        <v>Centrifuge</v>
      </c>
      <c r="Y22" s="51" t="s">
        <v>1181</v>
      </c>
      <c r="Z22" s="138">
        <f>ROUND(AVERAGE(INDEX(_xlfn.ANCHORARRAY(R45),0,11)),2)</f>
        <v>8</v>
      </c>
      <c r="AA22" s="138">
        <f>ROUND(MIN(INDEX(_xlfn.ANCHORARRAY(R45),0,11)),2)</f>
        <v>8</v>
      </c>
      <c r="AB22" s="138">
        <f>ROUND(MAX(INDEX(_xlfn.ANCHORARRAY(R45),0,11)),2)</f>
        <v>8</v>
      </c>
      <c r="AG22" s="1" t="str">
        <v>centrifuge</v>
      </c>
      <c r="AR22" s="1" t="s">
        <v>597</v>
      </c>
      <c r="AS22" s="407">
        <v>0.25</v>
      </c>
      <c r="AV22" s="1">
        <f>ROUND(AVERAGE(INDEX(_xlfn.ANCHORARRAY(R45),0,7)),2)</f>
        <v>33.54</v>
      </c>
    </row>
    <row r="23" spans="1:48">
      <c r="A23" s="98"/>
      <c r="R23" s="1" t="str">
        <v>Drying</v>
      </c>
      <c r="Y23" s="51" t="s">
        <v>647</v>
      </c>
      <c r="Z23" s="138">
        <f>ROUND(AVERAGE(INDEX(_xlfn.ANCHORARRAY(AM45),0,7)),2)</f>
        <v>1</v>
      </c>
      <c r="AA23" s="138">
        <f>ROUND(MIN(INDEX(_xlfn.ANCHORARRAY(AM45),0,7)),2)</f>
        <v>1</v>
      </c>
      <c r="AB23" s="138">
        <f>ROUND(MAX(INDEX(_xlfn.ANCHORARRAY(AM45),0,7)),2)</f>
        <v>1</v>
      </c>
      <c r="AG23" s="1" t="str">
        <v>drying</v>
      </c>
      <c r="AR23" s="1" t="s">
        <v>1</v>
      </c>
      <c r="AS23" s="407">
        <v>1</v>
      </c>
      <c r="AV23" s="1">
        <f>ROUND(PERCENTILE(INDEX(_xlfn.ANCHORARRAY(R45),0,7),0.75),2)</f>
        <v>44.7</v>
      </c>
    </row>
    <row r="24" spans="1:48">
      <c r="A24" s="98"/>
      <c r="G24" s="1" t="s">
        <v>659</v>
      </c>
      <c r="R24" s="1" t="str">
        <v>Filtration</v>
      </c>
      <c r="Y24" s="51"/>
      <c r="AG24" s="1" t="str">
        <v>Emulsification</v>
      </c>
      <c r="AV24" s="1">
        <f>ROUND(MAX(INDEX(_xlfn.ANCHORARRAY(R45),0,7)),2)</f>
        <v>55.9</v>
      </c>
    </row>
    <row r="25" spans="1:48">
      <c r="A25" s="98"/>
      <c r="R25" s="1" t="str">
        <v>Hydrothermal</v>
      </c>
      <c r="Y25" s="51"/>
      <c r="AG25" s="1" t="str">
        <v>Filtration</v>
      </c>
    </row>
    <row r="26" spans="1:48">
      <c r="A26" s="98"/>
      <c r="E26" s="290"/>
      <c r="F26" s="290"/>
      <c r="G26" s="290"/>
      <c r="H26" s="290"/>
      <c r="I26" s="290"/>
      <c r="J26" s="290"/>
      <c r="K26" s="290"/>
      <c r="R26" s="1" t="str">
        <v>Milling</v>
      </c>
      <c r="Y26" s="51" t="s">
        <v>648</v>
      </c>
      <c r="Z26" s="139">
        <v>1.56</v>
      </c>
      <c r="AG26" s="1" t="str">
        <v>hydrothermal</v>
      </c>
    </row>
    <row r="27" spans="1:48">
      <c r="A27" s="98"/>
      <c r="E27" s="290"/>
      <c r="F27" s="290"/>
      <c r="G27" s="290"/>
      <c r="H27" s="290"/>
      <c r="I27" s="290"/>
      <c r="J27" s="290"/>
      <c r="K27" s="290"/>
      <c r="R27" s="1" t="str">
        <v>Sonication</v>
      </c>
      <c r="AG27" s="1" t="str">
        <v>Milling</v>
      </c>
    </row>
    <row r="28" spans="1:48" s="104" customFormat="1" ht="42">
      <c r="A28" s="103"/>
      <c r="B28" s="103" t="s">
        <v>609</v>
      </c>
      <c r="C28" s="103" t="s">
        <v>537</v>
      </c>
      <c r="D28" s="103" t="s">
        <v>473</v>
      </c>
      <c r="E28" s="294" t="s">
        <v>534</v>
      </c>
      <c r="F28" s="294" t="s">
        <v>607</v>
      </c>
      <c r="G28" s="295" t="s">
        <v>608</v>
      </c>
      <c r="H28" s="294"/>
      <c r="I28" s="294"/>
      <c r="J28" s="296"/>
      <c r="K28" s="296"/>
      <c r="O28" s="228"/>
      <c r="P28" s="228"/>
      <c r="R28" s="104" t="str">
        <v>Mixing</v>
      </c>
      <c r="Y28" s="1"/>
      <c r="Z28" s="1"/>
      <c r="AG28" s="104" t="str">
        <v>mixing</v>
      </c>
    </row>
    <row r="29" spans="1:48">
      <c r="A29" s="101" t="s">
        <v>474</v>
      </c>
      <c r="B29" s="115" t="s">
        <v>658</v>
      </c>
      <c r="C29" s="1" t="str">
        <f>_xlfn.IFNA(VLOOKUP(B29,[3]!Cerium_precursor_table[#Data],2,FALSE),0)</f>
        <v>CeO2</v>
      </c>
      <c r="D29" s="115">
        <v>1</v>
      </c>
      <c r="E29" s="290" t="str">
        <f>_xlfn.IFNA(VLOOKUP(B29,[3]!Cerium_precursor_table[#Data],9,FALSE),0)</f>
        <v>CeO2</v>
      </c>
      <c r="F29" s="290">
        <f>_xlfn.IFNA(VLOOKUP(B29,[3]!Cerium_precursor_table[#Data],11,FALSE),0)</f>
        <v>1</v>
      </c>
      <c r="G29" s="297">
        <f>IFERROR(ROUND(D29*(VLOOKUP(B29,[3]!Cerium_precursor_table[#Data],10,FALSE)*F29)/(VLOOKUP(B29,[3]!Cerium_precursor_table[#Data],7,FALSE)),2),0)</f>
        <v>1</v>
      </c>
      <c r="H29" s="292"/>
      <c r="I29" s="290"/>
      <c r="J29" s="290"/>
      <c r="K29" s="290"/>
      <c r="Z29" s="136"/>
      <c r="AG29" s="1" t="str">
        <v>Outgassing</v>
      </c>
    </row>
    <row r="30" spans="1:48">
      <c r="A30" s="101" t="s">
        <v>475</v>
      </c>
      <c r="B30" s="115"/>
      <c r="C30" s="1">
        <f>_xlfn.IFNA(VLOOKUP(B30,[3]!Cerium_precursor_table[#Data],2,FALSE),0)</f>
        <v>0</v>
      </c>
      <c r="D30" s="115">
        <v>5.68</v>
      </c>
      <c r="E30" s="290">
        <f>_xlfn.IFNA(VLOOKUP(B30,[3]!Cerium_precursor_table[#Data],9,FALSE),0)</f>
        <v>0</v>
      </c>
      <c r="F30" s="290">
        <f>_xlfn.IFNA(VLOOKUP(B30,[3]!Cerium_precursor_table[#Data],11,FALSE),0)</f>
        <v>0</v>
      </c>
      <c r="G30" s="297">
        <f>IFERROR(ROUND(D30*(VLOOKUP(B30,[3]!Cerium_precursor_table[#Data],10,FALSE)*F30)/(VLOOKUP(B30,[3]!Cerium_precursor_table[#Data],7,FALSE)),2),0)</f>
        <v>0</v>
      </c>
      <c r="H30" s="292"/>
      <c r="I30" s="290"/>
      <c r="J30" s="290"/>
      <c r="K30" s="290"/>
      <c r="Y30" s="51" t="s">
        <v>650</v>
      </c>
      <c r="Z30" s="139">
        <v>2</v>
      </c>
      <c r="AG30" s="1" t="str">
        <v>sintering</v>
      </c>
    </row>
    <row r="31" spans="1:48">
      <c r="A31" s="101"/>
      <c r="B31" s="105"/>
      <c r="E31" s="290"/>
      <c r="F31" s="290"/>
      <c r="G31" s="290"/>
      <c r="H31" s="292"/>
      <c r="I31" s="290"/>
      <c r="J31" s="290"/>
      <c r="K31" s="290"/>
      <c r="Y31" s="51" t="s">
        <v>651</v>
      </c>
      <c r="Z31" s="138">
        <f>ROUND(Z21*Z23,2)</f>
        <v>4.1900000000000004</v>
      </c>
      <c r="AG31" s="1" t="str">
        <v>Sonication</v>
      </c>
    </row>
    <row r="32" spans="1:48">
      <c r="A32" s="101"/>
      <c r="B32" s="105"/>
      <c r="E32" s="290"/>
      <c r="F32" s="290"/>
      <c r="G32" s="290"/>
      <c r="H32" s="292"/>
      <c r="I32" s="290"/>
      <c r="J32" s="290"/>
      <c r="K32" s="290"/>
      <c r="Y32" s="1" t="s">
        <v>649</v>
      </c>
      <c r="Z32" s="150">
        <f>ROUND(Z26*Z30,2)</f>
        <v>3.12</v>
      </c>
      <c r="AG32" s="1" t="str">
        <v>Sonochemical Method</v>
      </c>
    </row>
    <row r="33" spans="1:53">
      <c r="A33" s="101"/>
      <c r="B33" s="105"/>
      <c r="E33" s="290"/>
      <c r="F33" s="290"/>
      <c r="G33" s="290"/>
      <c r="H33" s="292"/>
      <c r="I33" s="290"/>
      <c r="J33" s="290"/>
      <c r="K33" s="290"/>
      <c r="AG33" s="1" t="str">
        <v>Stirring</v>
      </c>
    </row>
    <row r="34" spans="1:53">
      <c r="A34" s="101"/>
      <c r="B34" s="105"/>
      <c r="E34" s="290"/>
      <c r="F34" s="290"/>
      <c r="G34" s="290"/>
      <c r="H34" s="292"/>
      <c r="I34" s="290"/>
      <c r="J34" s="290"/>
      <c r="K34" s="290"/>
      <c r="Y34" s="140" t="s">
        <v>588</v>
      </c>
      <c r="AG34" s="1" t="str">
        <v>Washing</v>
      </c>
    </row>
    <row r="35" spans="1:53">
      <c r="A35" s="101"/>
      <c r="B35" s="105"/>
      <c r="E35" s="290"/>
      <c r="F35" s="290"/>
      <c r="G35" s="290"/>
      <c r="H35" s="292"/>
      <c r="I35" s="290"/>
      <c r="J35" s="290"/>
      <c r="K35" s="290"/>
      <c r="Y35" s="141" t="s">
        <v>589</v>
      </c>
    </row>
    <row r="36" spans="1:53">
      <c r="A36" s="101"/>
      <c r="B36" s="105"/>
      <c r="E36" s="290"/>
      <c r="F36" s="290"/>
      <c r="G36" s="290"/>
      <c r="H36" s="292"/>
      <c r="I36" s="290"/>
      <c r="J36" s="290"/>
      <c r="K36" s="290"/>
    </row>
    <row r="37" spans="1:53">
      <c r="A37" s="101"/>
      <c r="C37" s="101" t="s">
        <v>476</v>
      </c>
    </row>
    <row r="38" spans="1:53">
      <c r="A38" s="101" t="s">
        <v>477</v>
      </c>
      <c r="B38" s="115"/>
      <c r="C38" s="115"/>
    </row>
    <row r="39" spans="1:53">
      <c r="A39" s="101" t="s">
        <v>478</v>
      </c>
      <c r="B39" s="115"/>
      <c r="C39" s="115"/>
    </row>
    <row r="40" spans="1:53" ht="23" customHeight="1">
      <c r="A40" s="101"/>
    </row>
    <row r="41" spans="1:53">
      <c r="A41" s="101"/>
    </row>
    <row r="42" spans="1:53">
      <c r="A42" s="101"/>
    </row>
    <row r="43" spans="1:53">
      <c r="A43" s="101"/>
    </row>
    <row r="44" spans="1:53" ht="31" customHeight="1">
      <c r="A44" s="101"/>
      <c r="R44" s="154" t="s">
        <v>115</v>
      </c>
      <c r="S44" s="154" t="s">
        <v>98</v>
      </c>
      <c r="T44" s="154" t="s">
        <v>99</v>
      </c>
      <c r="U44" s="155" t="s">
        <v>100</v>
      </c>
      <c r="V44" s="156" t="s">
        <v>46</v>
      </c>
      <c r="W44" s="157" t="s">
        <v>47</v>
      </c>
      <c r="X44" s="154" t="s">
        <v>48</v>
      </c>
      <c r="Y44" s="154" t="s">
        <v>154</v>
      </c>
      <c r="Z44" s="154" t="s">
        <v>159</v>
      </c>
      <c r="AA44" s="154" t="s">
        <v>160</v>
      </c>
      <c r="AB44" s="158" t="s">
        <v>587</v>
      </c>
      <c r="AC44" s="154" t="s">
        <v>67</v>
      </c>
      <c r="AD44" s="154" t="s">
        <v>45</v>
      </c>
      <c r="AE44" s="154" t="s">
        <v>1228</v>
      </c>
      <c r="AM44" s="154" t="s">
        <v>115</v>
      </c>
      <c r="AN44" s="154" t="s">
        <v>98</v>
      </c>
      <c r="AO44" s="154" t="s">
        <v>99</v>
      </c>
      <c r="AP44" s="155" t="s">
        <v>100</v>
      </c>
      <c r="AQ44" s="156" t="s">
        <v>46</v>
      </c>
      <c r="AR44" s="157" t="s">
        <v>47</v>
      </c>
      <c r="AS44" s="154" t="s">
        <v>1131</v>
      </c>
      <c r="AT44" s="154" t="s">
        <v>154</v>
      </c>
      <c r="AU44" s="154" t="s">
        <v>159</v>
      </c>
      <c r="AV44" s="154" t="s">
        <v>160</v>
      </c>
      <c r="AW44" s="158" t="s">
        <v>587</v>
      </c>
      <c r="AX44" s="154" t="s">
        <v>67</v>
      </c>
      <c r="AY44" s="154" t="s">
        <v>45</v>
      </c>
      <c r="AZ44" s="154" t="s">
        <v>101</v>
      </c>
    </row>
    <row r="45" spans="1:53" ht="23" customHeight="1">
      <c r="A45" s="101"/>
      <c r="R45" s="159" t="str" cm="1">
        <f t="array" ref="R45:AF57">_xlfn._xlws.FILTER([3]!Equipment_Database[#All],[3]!Equipment_Database[[#All],[Tool Used for process]]=Z19)</f>
        <v>Filtration</v>
      </c>
      <c r="S45" s="1">
        <v>0</v>
      </c>
      <c r="T45" s="1">
        <v>0</v>
      </c>
      <c r="U45" s="1">
        <v>0</v>
      </c>
      <c r="V45" s="1">
        <v>10</v>
      </c>
      <c r="W45" s="1">
        <v>0</v>
      </c>
      <c r="X45" s="1">
        <v>18.600000000000001</v>
      </c>
      <c r="Y45" s="1">
        <v>0</v>
      </c>
      <c r="Z45" s="1">
        <v>190000</v>
      </c>
      <c r="AA45" s="1">
        <v>719227</v>
      </c>
      <c r="AB45" s="1">
        <v>8</v>
      </c>
      <c r="AC45" s="1">
        <v>0</v>
      </c>
      <c r="AD45" s="1">
        <v>0</v>
      </c>
      <c r="AE45" s="1">
        <v>2.3250000000000002</v>
      </c>
      <c r="AF45" s="1">
        <v>0</v>
      </c>
      <c r="AM45" s="151" t="str" cm="1">
        <f t="array" ref="AM45:BA46">_xlfn._xlws.FILTER([3]!Process_time_database[#All],[3]!Process_time_database[[#All],[Process Name]]=Z19)</f>
        <v>Filtration</v>
      </c>
      <c r="AN45" s="1">
        <v>0</v>
      </c>
      <c r="AO45" s="1">
        <v>0</v>
      </c>
      <c r="AP45" s="1" t="str">
        <v>yuanyuanzhengEffectsPrecursorsMorphology2022_process1</v>
      </c>
      <c r="AQ45" s="1" t="str">
        <v>calcined</v>
      </c>
      <c r="AR45" s="1">
        <v>0</v>
      </c>
      <c r="AS45" s="1">
        <v>1</v>
      </c>
      <c r="AT45" s="1">
        <v>0</v>
      </c>
      <c r="AU45" s="1">
        <v>0</v>
      </c>
      <c r="AV45" s="1">
        <v>0</v>
      </c>
      <c r="AW45" s="1">
        <v>0</v>
      </c>
      <c r="AX45" s="1">
        <v>0</v>
      </c>
      <c r="AY45" s="1">
        <v>0</v>
      </c>
      <c r="AZ45" s="1">
        <v>0</v>
      </c>
      <c r="BA45" s="1" t="str">
        <v>10.3390/ma15217525</v>
      </c>
    </row>
    <row r="46" spans="1:53" ht="14" customHeight="1">
      <c r="A46" s="101"/>
      <c r="R46" s="1" t="str">
        <v>Filtration</v>
      </c>
      <c r="S46" s="1">
        <v>0</v>
      </c>
      <c r="T46" s="1">
        <v>0</v>
      </c>
      <c r="U46" s="1">
        <v>0</v>
      </c>
      <c r="V46" s="1">
        <v>10</v>
      </c>
      <c r="W46" s="1">
        <v>0</v>
      </c>
      <c r="X46" s="1">
        <v>18.600000000000001</v>
      </c>
      <c r="Y46" s="1">
        <v>0</v>
      </c>
      <c r="Z46" s="1">
        <v>213750</v>
      </c>
      <c r="AA46" s="1">
        <v>809131</v>
      </c>
      <c r="AB46" s="1">
        <v>8</v>
      </c>
      <c r="AC46" s="1">
        <v>0</v>
      </c>
      <c r="AD46" s="1">
        <v>0</v>
      </c>
      <c r="AE46" s="1">
        <v>2.3250000000000002</v>
      </c>
      <c r="AF46" s="1">
        <v>0</v>
      </c>
      <c r="AM46" s="1" t="str">
        <v>Filtration</v>
      </c>
      <c r="AN46" s="1">
        <v>0</v>
      </c>
      <c r="AO46" s="1">
        <v>0</v>
      </c>
      <c r="AP46" s="1" t="str">
        <v>xiaolansongSynthesisCeO2coatedSiO22008_process1</v>
      </c>
      <c r="AQ46" s="1" t="str">
        <v>colloidal</v>
      </c>
      <c r="AR46" s="1">
        <v>0</v>
      </c>
      <c r="AS46" s="1">
        <v>1</v>
      </c>
      <c r="AT46" s="1">
        <v>0</v>
      </c>
      <c r="AU46" s="1">
        <v>0</v>
      </c>
      <c r="AV46" s="1">
        <v>0</v>
      </c>
      <c r="AW46" s="1">
        <v>0</v>
      </c>
      <c r="AX46" s="1">
        <v>0</v>
      </c>
      <c r="AY46" s="1">
        <v>0</v>
      </c>
      <c r="AZ46" s="1">
        <v>0</v>
      </c>
      <c r="BA46" s="1" t="str">
        <v>10.1016/j.matchemphys.2008.01.042</v>
      </c>
    </row>
    <row r="47" spans="1:53" s="107" customFormat="1" ht="42">
      <c r="A47" s="112"/>
      <c r="B47" s="103" t="s">
        <v>611</v>
      </c>
      <c r="C47" s="103" t="s">
        <v>479</v>
      </c>
      <c r="D47" s="114" t="s">
        <v>610</v>
      </c>
      <c r="E47" s="113" t="s">
        <v>603</v>
      </c>
      <c r="F47" s="106"/>
      <c r="O47" s="229"/>
      <c r="P47" s="229"/>
      <c r="R47" s="107" t="str">
        <v>Filtration</v>
      </c>
      <c r="S47" s="107">
        <v>0</v>
      </c>
      <c r="T47" s="107">
        <v>0</v>
      </c>
      <c r="U47" s="107">
        <v>0</v>
      </c>
      <c r="V47" s="107">
        <v>10</v>
      </c>
      <c r="W47" s="107">
        <v>0</v>
      </c>
      <c r="X47" s="107">
        <v>18.600000000000001</v>
      </c>
      <c r="Y47" s="107">
        <v>0</v>
      </c>
      <c r="Z47" s="107">
        <v>256500</v>
      </c>
      <c r="AA47" s="107">
        <v>970957</v>
      </c>
      <c r="AB47" s="107">
        <v>8</v>
      </c>
      <c r="AC47" s="107">
        <v>0</v>
      </c>
      <c r="AD47" s="107">
        <v>0</v>
      </c>
      <c r="AE47" s="107">
        <v>2.3250000000000002</v>
      </c>
      <c r="AF47" s="107">
        <v>0</v>
      </c>
    </row>
    <row r="48" spans="1:53">
      <c r="A48" s="101" t="s">
        <v>528</v>
      </c>
      <c r="B48" s="115" t="s">
        <v>612</v>
      </c>
      <c r="C48" s="115">
        <v>0</v>
      </c>
      <c r="D48" s="108"/>
      <c r="E48" s="108"/>
      <c r="F48" s="108"/>
      <c r="G48" s="108"/>
      <c r="R48" s="1" t="str">
        <v>Filtration</v>
      </c>
      <c r="S48" s="1">
        <v>0</v>
      </c>
      <c r="T48" s="1">
        <v>0</v>
      </c>
      <c r="U48" s="1">
        <v>0</v>
      </c>
      <c r="V48" s="1">
        <v>10</v>
      </c>
      <c r="W48" s="1">
        <v>0</v>
      </c>
      <c r="X48" s="1">
        <v>22.4</v>
      </c>
      <c r="Y48" s="1">
        <v>0</v>
      </c>
      <c r="Z48" s="1">
        <v>304000</v>
      </c>
      <c r="AA48" s="1">
        <v>1150764</v>
      </c>
      <c r="AB48" s="1">
        <v>8</v>
      </c>
      <c r="AC48" s="1">
        <v>0</v>
      </c>
      <c r="AD48" s="1">
        <v>0</v>
      </c>
      <c r="AE48" s="1">
        <v>2.8</v>
      </c>
      <c r="AF48" s="1">
        <v>0</v>
      </c>
    </row>
    <row r="49" spans="1:32">
      <c r="A49" s="101" t="s">
        <v>540</v>
      </c>
      <c r="B49" s="115"/>
      <c r="C49" s="115"/>
      <c r="D49" s="108"/>
      <c r="E49" s="108"/>
      <c r="F49" s="108"/>
      <c r="G49" s="108"/>
      <c r="R49" s="1" t="str">
        <v>Filtration</v>
      </c>
      <c r="S49" s="1">
        <v>0</v>
      </c>
      <c r="T49" s="1">
        <v>0</v>
      </c>
      <c r="U49" s="1">
        <v>0</v>
      </c>
      <c r="V49" s="1">
        <v>10</v>
      </c>
      <c r="W49" s="1">
        <v>0</v>
      </c>
      <c r="X49" s="1">
        <v>22.4</v>
      </c>
      <c r="Y49" s="1">
        <v>0</v>
      </c>
      <c r="Z49" s="1">
        <v>342000</v>
      </c>
      <c r="AA49" s="1">
        <v>1294610</v>
      </c>
      <c r="AB49" s="1">
        <v>8</v>
      </c>
      <c r="AC49" s="1">
        <v>0</v>
      </c>
      <c r="AD49" s="1">
        <v>0</v>
      </c>
      <c r="AE49" s="1">
        <v>2.8</v>
      </c>
      <c r="AF49" s="1">
        <v>0</v>
      </c>
    </row>
    <row r="50" spans="1:32">
      <c r="A50" s="101" t="s">
        <v>539</v>
      </c>
      <c r="B50" s="115"/>
      <c r="C50" s="115"/>
      <c r="D50" s="108"/>
      <c r="E50" s="108"/>
      <c r="F50" s="108"/>
      <c r="G50" s="108"/>
      <c r="R50" s="1" t="str">
        <v>Filtration</v>
      </c>
      <c r="S50" s="1">
        <v>0</v>
      </c>
      <c r="T50" s="1">
        <v>0</v>
      </c>
      <c r="U50" s="1">
        <v>0</v>
      </c>
      <c r="V50" s="1">
        <v>10</v>
      </c>
      <c r="W50" s="1">
        <v>0</v>
      </c>
      <c r="X50" s="1">
        <v>29.8</v>
      </c>
      <c r="Y50" s="1">
        <v>0</v>
      </c>
      <c r="Z50" s="1">
        <v>389500</v>
      </c>
      <c r="AA50" s="1">
        <v>1474417</v>
      </c>
      <c r="AB50" s="1">
        <v>8</v>
      </c>
      <c r="AC50" s="1">
        <v>0</v>
      </c>
      <c r="AD50" s="1">
        <v>0</v>
      </c>
      <c r="AE50" s="1">
        <v>3.7250000000000001</v>
      </c>
      <c r="AF50" s="1">
        <v>0</v>
      </c>
    </row>
    <row r="51" spans="1:32">
      <c r="R51" s="1" t="str">
        <v>Filtration</v>
      </c>
      <c r="S51" s="1">
        <v>0</v>
      </c>
      <c r="T51" s="1">
        <v>0</v>
      </c>
      <c r="U51" s="1">
        <v>0</v>
      </c>
      <c r="V51" s="1">
        <v>10</v>
      </c>
      <c r="W51" s="1">
        <v>0</v>
      </c>
      <c r="X51" s="1">
        <v>29.8</v>
      </c>
      <c r="Y51" s="1">
        <v>0</v>
      </c>
      <c r="Z51" s="1">
        <v>427500</v>
      </c>
      <c r="AA51" s="1">
        <v>1618262</v>
      </c>
      <c r="AB51" s="1">
        <v>8</v>
      </c>
      <c r="AC51" s="1">
        <v>0</v>
      </c>
      <c r="AD51" s="1">
        <v>0</v>
      </c>
      <c r="AE51" s="1">
        <v>3.7250000000000001</v>
      </c>
      <c r="AF51" s="1">
        <v>0</v>
      </c>
    </row>
    <row r="52" spans="1:32">
      <c r="R52" s="1" t="str">
        <v>Filtration</v>
      </c>
      <c r="S52" s="1">
        <v>0</v>
      </c>
      <c r="T52" s="1">
        <v>0</v>
      </c>
      <c r="U52" s="1">
        <v>0</v>
      </c>
      <c r="V52" s="1">
        <v>10</v>
      </c>
      <c r="W52" s="1">
        <v>0</v>
      </c>
      <c r="X52" s="1">
        <v>37.299999999999997</v>
      </c>
      <c r="Y52" s="1">
        <v>0</v>
      </c>
      <c r="Z52" s="1">
        <v>475000</v>
      </c>
      <c r="AA52" s="1">
        <v>1798069</v>
      </c>
      <c r="AB52" s="1">
        <v>8</v>
      </c>
      <c r="AC52" s="1">
        <v>0</v>
      </c>
      <c r="AD52" s="1">
        <v>0</v>
      </c>
      <c r="AE52" s="1">
        <v>4.6624999999999996</v>
      </c>
      <c r="AF52" s="1">
        <v>0</v>
      </c>
    </row>
    <row r="53" spans="1:32">
      <c r="R53" s="1" t="str">
        <v>Filtration</v>
      </c>
      <c r="S53" s="1">
        <v>0</v>
      </c>
      <c r="T53" s="1">
        <v>0</v>
      </c>
      <c r="U53" s="1">
        <v>0</v>
      </c>
      <c r="V53" s="1">
        <v>10</v>
      </c>
      <c r="W53" s="1">
        <v>0</v>
      </c>
      <c r="X53" s="1">
        <v>37.299999999999997</v>
      </c>
      <c r="Y53" s="1">
        <v>0</v>
      </c>
      <c r="Z53" s="1">
        <v>522500</v>
      </c>
      <c r="AA53" s="1">
        <v>1977876</v>
      </c>
      <c r="AB53" s="1">
        <v>8</v>
      </c>
      <c r="AC53" s="1">
        <v>0</v>
      </c>
      <c r="AD53" s="1">
        <v>0</v>
      </c>
      <c r="AE53" s="1">
        <v>4.6624999999999996</v>
      </c>
      <c r="AF53" s="1">
        <v>0</v>
      </c>
    </row>
    <row r="54" spans="1:32">
      <c r="R54" s="1" t="str">
        <v>Filtration</v>
      </c>
      <c r="S54" s="1">
        <v>0</v>
      </c>
      <c r="T54" s="1">
        <v>0</v>
      </c>
      <c r="U54" s="1">
        <v>0</v>
      </c>
      <c r="V54" s="1">
        <v>10</v>
      </c>
      <c r="W54" s="1">
        <v>0</v>
      </c>
      <c r="X54" s="1">
        <v>44.7</v>
      </c>
      <c r="Y54" s="1">
        <v>0</v>
      </c>
      <c r="Z54" s="1">
        <v>570000</v>
      </c>
      <c r="AA54" s="1">
        <v>2157683</v>
      </c>
      <c r="AB54" s="1">
        <v>8</v>
      </c>
      <c r="AC54" s="1">
        <v>0</v>
      </c>
      <c r="AD54" s="1">
        <v>0</v>
      </c>
      <c r="AE54" s="1">
        <v>5.5875000000000004</v>
      </c>
      <c r="AF54" s="1">
        <v>0</v>
      </c>
    </row>
    <row r="55" spans="1:32">
      <c r="R55" s="1" t="str">
        <v>Filtration</v>
      </c>
      <c r="S55" s="1">
        <v>0</v>
      </c>
      <c r="T55" s="1">
        <v>0</v>
      </c>
      <c r="U55" s="1">
        <v>0</v>
      </c>
      <c r="V55" s="1">
        <v>10</v>
      </c>
      <c r="W55" s="1">
        <v>0</v>
      </c>
      <c r="X55" s="1">
        <v>44.7</v>
      </c>
      <c r="Y55" s="1">
        <v>0</v>
      </c>
      <c r="Z55" s="1">
        <v>665000</v>
      </c>
      <c r="AA55" s="1">
        <v>2517297</v>
      </c>
      <c r="AB55" s="1">
        <v>8</v>
      </c>
      <c r="AC55" s="1">
        <v>0</v>
      </c>
      <c r="AD55" s="1">
        <v>0</v>
      </c>
      <c r="AE55" s="1">
        <v>5.5875000000000004</v>
      </c>
      <c r="AF55" s="1">
        <v>0</v>
      </c>
    </row>
    <row r="56" spans="1:32">
      <c r="R56" s="1" t="str">
        <v>Filtration</v>
      </c>
      <c r="S56" s="1">
        <v>0</v>
      </c>
      <c r="T56" s="1">
        <v>0</v>
      </c>
      <c r="U56" s="1">
        <v>0</v>
      </c>
      <c r="V56" s="1">
        <v>10</v>
      </c>
      <c r="W56" s="1">
        <v>0</v>
      </c>
      <c r="X56" s="1">
        <v>55.9</v>
      </c>
      <c r="Y56" s="1">
        <v>0</v>
      </c>
      <c r="Z56" s="1">
        <v>760000</v>
      </c>
      <c r="AA56" s="1">
        <v>2876911</v>
      </c>
      <c r="AB56" s="1">
        <v>8</v>
      </c>
      <c r="AC56" s="1">
        <v>0</v>
      </c>
      <c r="AD56" s="1">
        <v>0</v>
      </c>
      <c r="AE56" s="1">
        <v>6.9874999999999998</v>
      </c>
      <c r="AF56" s="1">
        <v>0</v>
      </c>
    </row>
    <row r="57" spans="1:32">
      <c r="R57" s="1" t="str">
        <v>Filtration</v>
      </c>
      <c r="S57" s="1">
        <v>0</v>
      </c>
      <c r="T57" s="1">
        <v>0</v>
      </c>
      <c r="U57" s="1">
        <v>0</v>
      </c>
      <c r="V57" s="1">
        <v>10</v>
      </c>
      <c r="W57" s="1">
        <v>0</v>
      </c>
      <c r="X57" s="1">
        <v>55.9</v>
      </c>
      <c r="Y57" s="1">
        <v>0</v>
      </c>
      <c r="Z57" s="1">
        <v>855000</v>
      </c>
      <c r="AA57" s="1">
        <v>3236525</v>
      </c>
      <c r="AB57" s="1">
        <v>8</v>
      </c>
      <c r="AC57" s="1">
        <v>0</v>
      </c>
      <c r="AD57" s="1">
        <v>0</v>
      </c>
      <c r="AE57" s="1">
        <v>6.9874999999999998</v>
      </c>
      <c r="AF57" s="1">
        <v>0</v>
      </c>
    </row>
    <row r="58" spans="1:32"/>
    <row r="59" spans="1:32">
      <c r="C59" s="289"/>
    </row>
    <row r="60" spans="1:32" ht="25">
      <c r="A60" s="1" t="s">
        <v>614</v>
      </c>
      <c r="B60" s="111">
        <v>0.1</v>
      </c>
      <c r="C60" s="166">
        <f>Z23</f>
        <v>1</v>
      </c>
    </row>
    <row r="61" spans="1:32">
      <c r="A61" s="1" t="s">
        <v>615</v>
      </c>
      <c r="B61" s="110"/>
    </row>
    <row r="62" spans="1:32" ht="31" customHeight="1">
      <c r="A62" s="1" t="s">
        <v>480</v>
      </c>
      <c r="B62" s="110" t="s">
        <v>481</v>
      </c>
    </row>
    <row r="63" spans="1:32">
      <c r="A63" s="1" t="s">
        <v>616</v>
      </c>
      <c r="B63" s="110"/>
    </row>
    <row r="64" spans="1:32">
      <c r="A64" s="1" t="s">
        <v>617</v>
      </c>
      <c r="B64" s="110"/>
    </row>
    <row r="65" spans="1:5"/>
    <row r="66" spans="1:5"/>
    <row r="67" spans="1:5"/>
    <row r="68" spans="1:5"/>
    <row r="69" spans="1:5"/>
    <row r="70" spans="1:5">
      <c r="B70" s="1" t="s">
        <v>620</v>
      </c>
      <c r="C70" s="1" t="s">
        <v>619</v>
      </c>
      <c r="D70" s="1" t="s">
        <v>2</v>
      </c>
    </row>
    <row r="71" spans="1:5">
      <c r="A71" s="1" t="s">
        <v>482</v>
      </c>
      <c r="B71" s="115"/>
      <c r="C71" s="115"/>
      <c r="D71" s="123">
        <f>E71</f>
        <v>4.1900000000000004</v>
      </c>
      <c r="E71" s="1">
        <f>Z21</f>
        <v>4.1900000000000004</v>
      </c>
    </row>
    <row r="72" spans="1:5">
      <c r="A72" s="1" t="s">
        <v>1175</v>
      </c>
      <c r="B72" s="115"/>
      <c r="C72" s="115"/>
      <c r="D72" s="115"/>
    </row>
    <row r="73" spans="1:5">
      <c r="A73" s="1" t="s">
        <v>613</v>
      </c>
      <c r="B73" s="115"/>
      <c r="C73" s="115"/>
      <c r="D73" s="115"/>
    </row>
    <row r="74" spans="1:5">
      <c r="A74" s="1" t="s">
        <v>625</v>
      </c>
      <c r="B74" s="116"/>
      <c r="C74" s="116"/>
      <c r="D74" s="120">
        <f>Z21</f>
        <v>4.1900000000000004</v>
      </c>
    </row>
    <row r="75" spans="1:5">
      <c r="B75" s="117"/>
      <c r="C75" s="117"/>
      <c r="D75" s="118"/>
    </row>
    <row r="76" spans="1:5"/>
    <row r="77" spans="1:5">
      <c r="A77" s="98"/>
    </row>
    <row r="78" spans="1:5">
      <c r="A78" s="98"/>
    </row>
    <row r="79" spans="1:5">
      <c r="A79" s="98"/>
    </row>
    <row r="80" spans="1:5">
      <c r="A80" s="98"/>
    </row>
    <row r="81" spans="1:16">
      <c r="A81" s="98"/>
      <c r="B81" s="1" t="s">
        <v>620</v>
      </c>
      <c r="C81" s="1" t="s">
        <v>618</v>
      </c>
      <c r="D81" s="1" t="s">
        <v>2</v>
      </c>
    </row>
    <row r="82" spans="1:16">
      <c r="A82" s="1" t="s">
        <v>483</v>
      </c>
      <c r="B82" s="115"/>
      <c r="C82" s="115"/>
      <c r="D82" s="115"/>
    </row>
    <row r="83" spans="1:16">
      <c r="A83" s="1" t="s">
        <v>484</v>
      </c>
      <c r="B83" s="115"/>
      <c r="C83" s="115"/>
      <c r="D83" s="115"/>
    </row>
    <row r="84" spans="1:16"/>
    <row r="85" spans="1:16"/>
    <row r="86" spans="1:16"/>
    <row r="87" spans="1:16"/>
    <row r="88" spans="1:16" ht="17" customHeight="1"/>
    <row r="89" spans="1:16" ht="17" customHeight="1"/>
    <row r="90" spans="1:16" ht="17" customHeight="1"/>
    <row r="91" spans="1:16" ht="17" customHeight="1"/>
    <row r="92" spans="1:16">
      <c r="A92" s="1" t="s">
        <v>621</v>
      </c>
      <c r="B92" s="119">
        <f>SUM(C48:C49,C38:C39,D29:D30)</f>
        <v>6.68</v>
      </c>
    </row>
    <row r="93" spans="1:16"/>
    <row r="94" spans="1:16"/>
    <row r="95" spans="1:16"/>
    <row r="96" spans="1:16" s="107" customFormat="1" ht="21">
      <c r="A96" s="107" t="s">
        <v>622</v>
      </c>
      <c r="B96" s="115">
        <f>E96</f>
        <v>8.35</v>
      </c>
      <c r="E96" s="1">
        <f>B92*(1/0.8)</f>
        <v>8.35</v>
      </c>
      <c r="F96" s="107" t="s">
        <v>1180</v>
      </c>
      <c r="O96" s="229"/>
      <c r="P96" s="229"/>
    </row>
    <row r="97" spans="1:16"/>
    <row r="98" spans="1:16"/>
    <row r="99" spans="1:16" s="107" customFormat="1" ht="42">
      <c r="A99" s="107" t="s">
        <v>623</v>
      </c>
      <c r="B99" s="408">
        <f>B92/B96</f>
        <v>0.8</v>
      </c>
      <c r="O99" s="229"/>
      <c r="P99" s="229"/>
    </row>
    <row r="100" spans="1:16"/>
    <row r="101" spans="1:16"/>
    <row r="102" spans="1:16"/>
    <row r="103" spans="1:16"/>
    <row r="104" spans="1:16"/>
    <row r="105" spans="1:16"/>
    <row r="106" spans="1:16"/>
    <row r="107" spans="1:16"/>
    <row r="108" spans="1:16">
      <c r="A108" s="101" t="s">
        <v>624</v>
      </c>
      <c r="B108" s="120">
        <f>D72*B64</f>
        <v>0</v>
      </c>
    </row>
    <row r="109" spans="1:16">
      <c r="A109" s="101" t="s">
        <v>626</v>
      </c>
      <c r="B109" s="120">
        <f>D71*B60*B96</f>
        <v>3.49865</v>
      </c>
    </row>
    <row r="110" spans="1:16">
      <c r="A110" s="101" t="s">
        <v>485</v>
      </c>
      <c r="B110" s="115"/>
    </row>
    <row r="111" spans="1:16">
      <c r="A111" s="1" t="s">
        <v>627</v>
      </c>
      <c r="B111" s="1">
        <f>SUM(B108:B110)</f>
        <v>3.49865</v>
      </c>
    </row>
    <row r="112" spans="1:16">
      <c r="A112" s="101"/>
    </row>
    <row r="113" spans="1:12">
      <c r="A113" s="101"/>
    </row>
    <row r="114" spans="1:12">
      <c r="A114" s="101"/>
    </row>
    <row r="115" spans="1:12">
      <c r="A115" s="101"/>
    </row>
    <row r="116" spans="1:12">
      <c r="A116" s="101"/>
    </row>
    <row r="117" spans="1:12">
      <c r="A117" s="101"/>
    </row>
    <row r="118" spans="1:12">
      <c r="A118" s="101"/>
    </row>
    <row r="119" spans="1:12">
      <c r="A119" s="101"/>
    </row>
    <row r="120" spans="1:12">
      <c r="A120" s="101"/>
    </row>
    <row r="121" spans="1:12">
      <c r="A121" s="101"/>
    </row>
    <row r="122" spans="1:12">
      <c r="A122" s="101"/>
    </row>
    <row r="123" spans="1:12">
      <c r="A123" s="101"/>
    </row>
    <row r="124" spans="1:12">
      <c r="A124" s="101"/>
      <c r="C124" s="126" t="s">
        <v>628</v>
      </c>
    </row>
    <row r="125" spans="1:12">
      <c r="A125" s="1" t="s">
        <v>486</v>
      </c>
      <c r="B125" s="122" t="s">
        <v>453</v>
      </c>
      <c r="C125" s="126">
        <f>ROUND(VLOOKUP(B125,[3]!State_energy_table[#Data],8,FALSE),2)</f>
        <v>0.22</v>
      </c>
      <c r="D125" s="1">
        <f>C125*B111</f>
        <v>0.76970300000000003</v>
      </c>
    </row>
    <row r="126" spans="1:12"/>
    <row r="127" spans="1:12"/>
    <row r="128" spans="1:12">
      <c r="A128" s="127" t="s">
        <v>636</v>
      </c>
      <c r="B128" s="128"/>
      <c r="C128" s="129"/>
      <c r="D128" s="129"/>
      <c r="E128" s="129"/>
      <c r="F128" s="129"/>
      <c r="G128" s="129"/>
      <c r="H128" s="129"/>
      <c r="I128" s="129"/>
      <c r="J128" s="124"/>
      <c r="K128" s="124"/>
      <c r="L128" s="124"/>
    </row>
    <row r="129" spans="1:12">
      <c r="A129" s="327" t="s">
        <v>629</v>
      </c>
      <c r="B129" s="327"/>
      <c r="C129" s="327"/>
      <c r="D129" s="327"/>
      <c r="E129" s="327"/>
      <c r="F129" s="327"/>
      <c r="G129" s="327"/>
      <c r="H129" s="327"/>
      <c r="I129" s="327"/>
      <c r="J129" s="124"/>
      <c r="K129" s="124"/>
      <c r="L129" s="124"/>
    </row>
    <row r="130" spans="1:12" ht="42">
      <c r="A130" s="130" t="s">
        <v>630</v>
      </c>
      <c r="B130" s="130" t="s">
        <v>631</v>
      </c>
      <c r="C130" s="130" t="s">
        <v>632</v>
      </c>
      <c r="D130" s="130" t="s">
        <v>633</v>
      </c>
      <c r="E130" s="130" t="s">
        <v>634</v>
      </c>
      <c r="F130" s="130" t="s">
        <v>10</v>
      </c>
      <c r="G130" s="130" t="s">
        <v>11</v>
      </c>
      <c r="H130" s="130" t="s">
        <v>12</v>
      </c>
      <c r="I130" s="130" t="s">
        <v>635</v>
      </c>
      <c r="K130" s="125"/>
    </row>
    <row r="131" spans="1:12">
      <c r="A131" s="409">
        <v>0</v>
      </c>
      <c r="B131" s="409">
        <v>0</v>
      </c>
      <c r="C131" s="409">
        <v>0</v>
      </c>
      <c r="D131" s="409">
        <v>0</v>
      </c>
      <c r="E131" s="409">
        <v>0</v>
      </c>
      <c r="F131" s="409">
        <v>0</v>
      </c>
      <c r="G131" s="409">
        <v>0</v>
      </c>
      <c r="H131" s="409">
        <v>0</v>
      </c>
      <c r="I131" s="409">
        <v>0</v>
      </c>
      <c r="K131" s="124"/>
    </row>
    <row r="132" spans="1:12">
      <c r="A132" s="132"/>
      <c r="B132" s="132"/>
      <c r="C132" s="132"/>
      <c r="D132" s="132"/>
      <c r="E132" s="132"/>
      <c r="F132" s="132"/>
      <c r="G132" s="132"/>
      <c r="H132" s="132"/>
      <c r="I132" s="132"/>
    </row>
    <row r="133" spans="1:12"/>
    <row r="134" spans="1:12"/>
    <row r="135" spans="1:12"/>
    <row r="136" spans="1:12"/>
    <row r="137" spans="1:12">
      <c r="A137" s="290"/>
      <c r="B137" s="290"/>
      <c r="C137" s="290"/>
      <c r="D137" s="290"/>
      <c r="E137" s="290"/>
    </row>
    <row r="138" spans="1:12">
      <c r="A138" s="290"/>
      <c r="B138" s="290"/>
      <c r="C138" s="290"/>
      <c r="D138" s="290"/>
      <c r="E138" s="290"/>
    </row>
    <row r="139" spans="1:12">
      <c r="A139" s="290"/>
      <c r="B139" s="290"/>
      <c r="C139" s="290"/>
      <c r="D139" s="290"/>
      <c r="E139" s="290"/>
    </row>
    <row r="140" spans="1:12">
      <c r="A140" s="290"/>
      <c r="B140" s="290"/>
      <c r="C140" s="290"/>
      <c r="D140" s="290"/>
      <c r="E140" s="290"/>
    </row>
    <row r="141" spans="1:12">
      <c r="A141" s="290" t="s">
        <v>640</v>
      </c>
      <c r="B141" s="297">
        <f>SUM(G29:G30)</f>
        <v>1</v>
      </c>
      <c r="C141" s="290"/>
      <c r="D141" s="290"/>
      <c r="E141" s="290"/>
    </row>
    <row r="142" spans="1:12">
      <c r="A142" s="290"/>
      <c r="B142" s="290"/>
      <c r="C142" s="290"/>
      <c r="D142" s="290"/>
      <c r="E142" s="290"/>
    </row>
    <row r="143" spans="1:12">
      <c r="A143" s="290" t="s">
        <v>637</v>
      </c>
      <c r="B143" s="410">
        <v>3</v>
      </c>
      <c r="C143" s="290"/>
      <c r="D143" s="290"/>
      <c r="E143" s="290"/>
    </row>
    <row r="144" spans="1:12">
      <c r="A144" s="290"/>
      <c r="B144" s="290"/>
      <c r="C144" s="290"/>
      <c r="D144" s="290"/>
      <c r="E144" s="290"/>
    </row>
    <row r="145" spans="1:5">
      <c r="A145" s="290"/>
      <c r="B145" s="290"/>
      <c r="C145" s="290"/>
      <c r="D145" s="290"/>
      <c r="E145" s="290"/>
    </row>
    <row r="146" spans="1:5">
      <c r="A146" s="290" t="s">
        <v>638</v>
      </c>
      <c r="B146" s="411">
        <f>B143/B141</f>
        <v>3</v>
      </c>
      <c r="C146" s="290"/>
      <c r="D146" s="290"/>
      <c r="E146" s="290"/>
    </row>
    <row r="147" spans="1:5">
      <c r="A147" s="290"/>
      <c r="B147" s="290"/>
      <c r="C147" s="290"/>
      <c r="D147" s="290"/>
      <c r="E147" s="290"/>
    </row>
    <row r="148" spans="1:5">
      <c r="A148" s="290" t="s">
        <v>639</v>
      </c>
      <c r="B148" s="292">
        <f>B141-B143</f>
        <v>-2</v>
      </c>
      <c r="C148" s="290"/>
      <c r="D148" s="290"/>
      <c r="E148" s="290"/>
    </row>
    <row r="149" spans="1:5"/>
    <row r="150" spans="1:5"/>
    <row r="151" spans="1:5"/>
    <row r="152" spans="1:5"/>
    <row r="153" spans="1:5"/>
    <row r="154" spans="1:5"/>
    <row r="155" spans="1:5"/>
    <row r="156" spans="1:5"/>
    <row r="157" spans="1:5">
      <c r="A157" s="290"/>
      <c r="B157" s="290"/>
      <c r="C157" s="290"/>
      <c r="D157" s="290"/>
    </row>
    <row r="158" spans="1:5">
      <c r="A158" s="291" t="s">
        <v>487</v>
      </c>
      <c r="B158" s="292">
        <f>B143</f>
        <v>3</v>
      </c>
      <c r="C158" s="290"/>
      <c r="D158" s="290"/>
    </row>
    <row r="159" spans="1:5">
      <c r="A159" s="291" t="s">
        <v>488</v>
      </c>
      <c r="B159" s="412"/>
      <c r="C159" s="290"/>
      <c r="D159" s="290"/>
    </row>
    <row r="160" spans="1:5">
      <c r="A160" s="290" t="s">
        <v>645</v>
      </c>
      <c r="B160" s="412"/>
      <c r="C160" s="290"/>
      <c r="D160" s="290"/>
    </row>
    <row r="161" spans="1:6">
      <c r="A161" s="290"/>
      <c r="B161" s="290"/>
      <c r="C161" s="290"/>
      <c r="D161" s="290"/>
    </row>
    <row r="162" spans="1:6">
      <c r="A162" s="290" t="s">
        <v>641</v>
      </c>
      <c r="B162" s="292">
        <f>SUM(B158:B159)</f>
        <v>3</v>
      </c>
      <c r="C162" s="290"/>
      <c r="D162" s="290"/>
    </row>
    <row r="163" spans="1:6">
      <c r="A163" s="291" t="s">
        <v>642</v>
      </c>
      <c r="B163" s="290">
        <f>B92</f>
        <v>6.68</v>
      </c>
      <c r="C163" s="290"/>
      <c r="D163" s="290"/>
    </row>
    <row r="164" spans="1:6">
      <c r="A164" s="291"/>
      <c r="B164" s="290"/>
      <c r="C164" s="290"/>
      <c r="D164" s="290"/>
    </row>
    <row r="165" spans="1:6">
      <c r="A165" s="101"/>
    </row>
    <row r="166" spans="1:6">
      <c r="A166" s="101"/>
    </row>
    <row r="167" spans="1:6">
      <c r="A167" s="101"/>
    </row>
    <row r="168" spans="1:6">
      <c r="A168" s="101"/>
    </row>
    <row r="169" spans="1:6">
      <c r="A169" s="133"/>
      <c r="B169" s="109" t="s">
        <v>178</v>
      </c>
      <c r="C169" s="109" t="s">
        <v>177</v>
      </c>
      <c r="D169" s="109" t="s">
        <v>179</v>
      </c>
      <c r="E169" s="109" t="s">
        <v>643</v>
      </c>
      <c r="F169" s="109" t="s">
        <v>644</v>
      </c>
    </row>
    <row r="170" spans="1:6">
      <c r="A170" s="101" t="s">
        <v>489</v>
      </c>
      <c r="B170" s="1" t="s">
        <v>191</v>
      </c>
      <c r="C170" s="1" t="str">
        <f>VLOOKUP(B170,[3]!GHG_Table[#Data],2,FALSE)</f>
        <v>AR4-100</v>
      </c>
      <c r="D170" s="1">
        <f>VLOOKUP(B170,[3]!GHG_Table[#Data],3,FALSE)</f>
        <v>1</v>
      </c>
      <c r="E170" s="413">
        <v>0</v>
      </c>
      <c r="F170" s="1">
        <f>D170*E170</f>
        <v>0</v>
      </c>
    </row>
    <row r="171" spans="1:6">
      <c r="A171" s="101" t="s">
        <v>543</v>
      </c>
      <c r="B171" s="1" t="s">
        <v>541</v>
      </c>
      <c r="C171" s="1" t="str">
        <f>VLOOKUP(B171,[3]!GHG_Table[#Data],2,FALSE)</f>
        <v>NA</v>
      </c>
      <c r="D171" s="1">
        <f>VLOOKUP(B171,[3]!GHG_Table[#Data],3,FALSE)</f>
        <v>0</v>
      </c>
      <c r="E171" s="413">
        <v>0</v>
      </c>
      <c r="F171" s="1">
        <f>D171*E171</f>
        <v>0</v>
      </c>
    </row>
    <row r="172" spans="1:6">
      <c r="A172" s="101" t="s">
        <v>490</v>
      </c>
    </row>
    <row r="173" spans="1:6">
      <c r="A173" s="101"/>
    </row>
    <row r="174" spans="1:6">
      <c r="A174" s="101"/>
    </row>
    <row r="175" spans="1:6">
      <c r="A175" s="133"/>
    </row>
    <row r="176" spans="1:6">
      <c r="A176" s="134" t="s">
        <v>646</v>
      </c>
    </row>
    <row r="177" spans="1:2">
      <c r="A177" s="127" t="s">
        <v>491</v>
      </c>
    </row>
    <row r="178" spans="1:2">
      <c r="A178" s="127" t="s">
        <v>492</v>
      </c>
    </row>
    <row r="179" spans="1:2">
      <c r="A179" s="291"/>
      <c r="B179" s="290"/>
    </row>
    <row r="180" spans="1:2">
      <c r="A180" s="291"/>
      <c r="B180" s="290"/>
    </row>
    <row r="181" spans="1:2">
      <c r="A181" s="291"/>
      <c r="B181" s="290"/>
    </row>
    <row r="182" spans="1:2">
      <c r="A182" s="291"/>
      <c r="B182" s="290"/>
    </row>
    <row r="183" spans="1:2">
      <c r="A183" s="290" t="s">
        <v>493</v>
      </c>
      <c r="B183" s="300">
        <f>SUM(C48:C50)/B143</f>
        <v>0</v>
      </c>
    </row>
    <row r="184" spans="1:2">
      <c r="A184" s="290" t="s">
        <v>494</v>
      </c>
      <c r="B184" s="300">
        <f>ROUND(B160/B143,2)</f>
        <v>0</v>
      </c>
    </row>
    <row r="185" spans="1:2">
      <c r="A185" s="290"/>
      <c r="B185" s="290"/>
    </row>
    <row r="186" spans="1:2"/>
    <row r="187" spans="1:2" ht="21" customHeight="1"/>
    <row r="188" spans="1:2" ht="21" customHeight="1"/>
    <row r="189" spans="1:2">
      <c r="A189" s="1" t="s">
        <v>529</v>
      </c>
      <c r="B189" s="119">
        <f>ROUND(SUM(F170:F171)/B143,2)</f>
        <v>0</v>
      </c>
    </row>
    <row r="190" spans="1:2">
      <c r="A190" s="1" t="s">
        <v>495</v>
      </c>
    </row>
    <row r="191" spans="1:2"/>
    <row r="192" spans="1:2"/>
    <row r="193" spans="1:2"/>
    <row r="194" spans="1:2"/>
    <row r="195" spans="1:2">
      <c r="A195" s="98"/>
    </row>
    <row r="196" spans="1:2">
      <c r="A196" s="1" t="s">
        <v>496</v>
      </c>
      <c r="B196" s="119">
        <f>B111</f>
        <v>3.49865</v>
      </c>
    </row>
    <row r="197" spans="1:2"/>
    <row r="198" spans="1:2"/>
    <row r="199" spans="1:2"/>
    <row r="200" spans="1:2"/>
    <row r="201" spans="1:2"/>
    <row r="202" spans="1:2"/>
    <row r="203" spans="1:2"/>
    <row r="204" spans="1:2">
      <c r="A204" s="100" t="s">
        <v>497</v>
      </c>
      <c r="B204" s="119">
        <f>SUM(D125,F170:F171)</f>
        <v>0.76970300000000003</v>
      </c>
    </row>
    <row r="205" spans="1:2">
      <c r="A205" s="102" t="s">
        <v>498</v>
      </c>
      <c r="B205" s="119"/>
    </row>
    <row r="206" spans="1:2">
      <c r="A206" s="102" t="s">
        <v>499</v>
      </c>
      <c r="B206" s="119"/>
    </row>
    <row r="207" spans="1:2">
      <c r="A207" s="102" t="s">
        <v>500</v>
      </c>
      <c r="B207" s="119"/>
    </row>
    <row r="208" spans="1:2">
      <c r="A208" s="100" t="s">
        <v>753</v>
      </c>
      <c r="B208" s="119">
        <f>B111</f>
        <v>3.49865</v>
      </c>
    </row>
    <row r="209" spans="1:2">
      <c r="A209" s="100" t="s">
        <v>501</v>
      </c>
      <c r="B209" s="119">
        <f>SUM(C48:C50)</f>
        <v>0</v>
      </c>
    </row>
    <row r="210" spans="1:2"/>
    <row r="211" spans="1:2"/>
    <row r="212" spans="1:2"/>
    <row r="213" spans="1:2"/>
    <row r="214" spans="1:2"/>
    <row r="215" spans="1:2"/>
    <row r="216" spans="1:2"/>
    <row r="217" spans="1:2"/>
    <row r="218" spans="1:2"/>
    <row r="219" spans="1:2" ht="20" customHeight="1"/>
  </sheetData>
  <mergeCells count="1">
    <mergeCell ref="A129:I129"/>
  </mergeCells>
  <dataValidations count="4">
    <dataValidation type="list" allowBlank="1" showInputMessage="1" showErrorMessage="1" sqref="B15:B20 B22:B27" xr:uid="{4BADE0F8-9D6D-554E-9DAF-8EDDA1A011EC}">
      <formula1>"Precursor Synthesis,Calcination,Milling,Filtering,Washing,Drying"</formula1>
    </dataValidation>
    <dataValidation type="list" allowBlank="1" showInputMessage="1" showErrorMessage="1" sqref="B170:B171" xr:uid="{794E3B05-DC1D-3748-9C1A-5E295A147D89}">
      <formula1>GHG_chemical_gas</formula1>
    </dataValidation>
    <dataValidation type="list" allowBlank="1" showInputMessage="1" showErrorMessage="1" sqref="B62" xr:uid="{8B72A4C4-475D-9044-8627-46CCA14545D7}">
      <formula1>"Active Process Time Only,Includes Warm-up/Cool-down"</formula1>
    </dataValidation>
    <dataValidation type="list" allowBlank="1" showInputMessage="1" showErrorMessage="1" sqref="B48" xr:uid="{070D1317-BEBA-4C40-B900-2D5D8278614A}">
      <formula1>"Municipal water, RO water, DIW, UPW"</formula1>
    </dataValidation>
  </dataValidations>
  <hyperlinks>
    <hyperlink ref="Y35" location="All_Equipment!A1" display="Click here to add your process into database" xr:uid="{C0A0F503-80BC-3E4A-93DB-84B801BFA651}"/>
  </hyperlinks>
  <pageMargins left="0.7" right="0.7" top="0.75" bottom="0.75" header="0.3" footer="0.3"/>
  <pageSetup scale="28" orientation="portrait" horizontalDpi="0" verticalDpi="0"/>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08A21F-9D09-634B-869F-B8C506E4293E}">
  <sheetPr codeName="Sheet22">
    <tabColor theme="8" tint="0.59999389629810485"/>
  </sheetPr>
  <dimension ref="B7:J83"/>
  <sheetViews>
    <sheetView tabSelected="1" topLeftCell="A30" zoomScale="150" zoomScaleNormal="100" workbookViewId="0">
      <selection activeCell="D58" sqref="D58"/>
    </sheetView>
  </sheetViews>
  <sheetFormatPr baseColWidth="10" defaultColWidth="10.83203125" defaultRowHeight="25"/>
  <cols>
    <col min="1" max="1" width="10.83203125" style="166"/>
    <col min="2" max="2" width="40.83203125" style="167" customWidth="1"/>
    <col min="3" max="3" width="38.5" style="166" bestFit="1" customWidth="1"/>
    <col min="4" max="4" width="50.5" style="166" customWidth="1"/>
    <col min="5" max="5" width="43.83203125" style="166" customWidth="1"/>
    <col min="6" max="6" width="40.1640625" style="166" bestFit="1" customWidth="1"/>
    <col min="7" max="7" width="38.5" style="166" customWidth="1"/>
    <col min="8" max="8" width="25.33203125" style="166" customWidth="1"/>
    <col min="9" max="9" width="10.83203125" style="166" customWidth="1"/>
    <col min="10" max="10" width="21.5" style="166" customWidth="1"/>
    <col min="11" max="14" width="10.83203125" style="166" customWidth="1"/>
    <col min="15" max="15" width="16.5" style="166" customWidth="1"/>
    <col min="16" max="16384" width="10.83203125" style="166"/>
  </cols>
  <sheetData>
    <row r="7" spans="2:10" s="167" customFormat="1" ht="78">
      <c r="B7" s="168" t="s">
        <v>654</v>
      </c>
      <c r="C7" s="168" t="s">
        <v>593</v>
      </c>
      <c r="D7" s="168" t="s">
        <v>1178</v>
      </c>
      <c r="E7" s="168" t="s">
        <v>1179</v>
      </c>
      <c r="F7" s="168" t="s">
        <v>1191</v>
      </c>
      <c r="G7" s="168" t="s">
        <v>1192</v>
      </c>
      <c r="H7" s="397" t="s">
        <v>662</v>
      </c>
      <c r="J7" s="167" t="s">
        <v>663</v>
      </c>
    </row>
    <row r="8" spans="2:10" ht="26">
      <c r="B8" s="392" t="s">
        <v>711</v>
      </c>
      <c r="C8" s="166" t="str" cm="1">
        <f t="array" aca="1" ref="C8" ca="1">IFERROR(INDIRECT("'" &amp; B8 &amp; "'!B14"), "Process sheet not found")</f>
        <v>Mixing</v>
      </c>
      <c r="D8" s="303" cm="1">
        <f t="array" aca="1" ref="D8" ca="1">IFERROR(INDIRECT("'" &amp; B8 &amp; "'!B204"), "Process sheet not found")</f>
        <v>3.1000000000000003E-2</v>
      </c>
      <c r="E8" s="303" cm="1">
        <f t="array" aca="1" ref="E8" ca="1">IFERROR(INDIRECT("'" &amp; B8 &amp; "'!B208"), "Process sheet not found")</f>
        <v>9.6875000000000003E-2</v>
      </c>
      <c r="F8" s="166" cm="1">
        <f t="array" aca="1" ref="F8" ca="1">IFERROR(INDIRECT("'" &amp; B8 &amp; "'!B209"), "Process sheet not found")</f>
        <v>0</v>
      </c>
      <c r="G8" s="396" cm="1">
        <f t="array" aca="1" ref="G8" ca="1">IFERROR(INDIRECT("'" &amp; B8 &amp; "'!B147"), "Process sheet not found")</f>
        <v>0</v>
      </c>
      <c r="H8" s="398" t="s">
        <v>660</v>
      </c>
    </row>
    <row r="9" spans="2:10" ht="26">
      <c r="B9" s="392" t="s">
        <v>655</v>
      </c>
      <c r="C9" s="166" t="str" cm="1">
        <f t="array" aca="1" ref="C9" ca="1">IFERROR(INDIRECT("'" &amp; B9 &amp; "'!B14"), "Process sheet not found")</f>
        <v>Calcination</v>
      </c>
      <c r="D9" s="303" cm="1">
        <f t="array" aca="1" ref="D9" ca="1">IFERROR(INDIRECT("'" &amp; B9 &amp; "'!B204"), "Process sheet not found")</f>
        <v>2.7609499999999998</v>
      </c>
      <c r="E9" s="303" cm="1">
        <f t="array" aca="1" ref="E9" ca="1">IFERROR(INDIRECT("'" &amp; B9 &amp; "'!B208"), "Process sheet not found")</f>
        <v>12.3225</v>
      </c>
      <c r="F9" s="166" cm="1">
        <f t="array" aca="1" ref="F9" ca="1">IFERROR(INDIRECT("'" &amp; B9 &amp; "'!B209"), "Process sheet not found")</f>
        <v>0</v>
      </c>
      <c r="G9" s="396" cm="1">
        <f t="array" aca="1" ref="G9" ca="1">IFERROR(INDIRECT("'" &amp; B9 &amp; "'!B147"), "Process sheet not found")</f>
        <v>0</v>
      </c>
      <c r="H9" s="398"/>
    </row>
    <row r="10" spans="2:10" ht="26">
      <c r="B10" s="392" t="s">
        <v>656</v>
      </c>
      <c r="C10" s="166" t="str" cm="1">
        <f t="array" aca="1" ref="C10" ca="1">IFERROR(INDIRECT("'" &amp; B10 &amp; "'!B14"), "Process sheet not found")</f>
        <v>Mixing</v>
      </c>
      <c r="D10" s="303" cm="1">
        <f t="array" aca="1" ref="D10" ca="1">IFERROR(INDIRECT("'" &amp; B10 &amp; "'!B204"), "Process sheet not found")</f>
        <v>3.0616666666666667E-2</v>
      </c>
      <c r="E10" s="303" cm="1">
        <f t="array" aca="1" ref="E10" ca="1">IFERROR(INDIRECT("'" &amp; B10 &amp; "'!B208"), "Process sheet not found")</f>
        <v>0.13916666666666666</v>
      </c>
      <c r="F10" s="166" cm="1">
        <f t="array" aca="1" ref="F10" ca="1">IFERROR(INDIRECT("'" &amp; B10 &amp; "'!B209"), "Process sheet not found")</f>
        <v>0</v>
      </c>
      <c r="G10" s="396" cm="1">
        <f t="array" aca="1" ref="G10" ca="1">IFERROR(INDIRECT("'" &amp; B10 &amp; "'!B147"), "Process sheet not found")</f>
        <v>0</v>
      </c>
      <c r="H10" s="398"/>
    </row>
    <row r="11" spans="2:10" ht="26" customHeight="1">
      <c r="B11" s="393" t="s">
        <v>766</v>
      </c>
      <c r="C11" s="166" t="str" cm="1">
        <f t="array" aca="1" ref="C11" ca="1">IFERROR(INDIRECT("'" &amp; B11 &amp; "'!B14"), "Process sheet not found")</f>
        <v>Milling</v>
      </c>
      <c r="D11" s="303" cm="1">
        <f t="array" aca="1" ref="D11" ca="1">IFERROR(INDIRECT("'" &amp; B11 &amp; "'!B204"), "Process sheet not found")</f>
        <v>1.0011650000000001</v>
      </c>
      <c r="E11" s="303" cm="1">
        <f t="array" aca="1" ref="E11" ca="1">IFERROR(INDIRECT("'" &amp; B11 &amp; "'!B208"), "Process sheet not found")</f>
        <v>4.5507499999999999</v>
      </c>
      <c r="F11" s="166" cm="1">
        <f t="array" aca="1" ref="F11" ca="1">IFERROR(INDIRECT("'" &amp; B11 &amp; "'!B209"), "Process sheet not found")</f>
        <v>0</v>
      </c>
      <c r="G11" s="396" cm="1">
        <f t="array" aca="1" ref="G11" ca="1">IFERROR(INDIRECT("'" &amp; B11 &amp; "'!B147"), "Process sheet not found")</f>
        <v>0</v>
      </c>
      <c r="H11" s="398"/>
    </row>
    <row r="12" spans="2:10" ht="26">
      <c r="B12" s="393" t="s">
        <v>767</v>
      </c>
      <c r="C12" s="166" t="str" cm="1">
        <f t="array" aca="1" ref="C12" ca="1">IFERROR(INDIRECT("'" &amp; B12 &amp; "'!B14"), "Process sheet not found")</f>
        <v>Filtration</v>
      </c>
      <c r="D12" s="303" cm="1">
        <f t="array" aca="1" ref="D12" ca="1">IFERROR(INDIRECT("'" &amp; B12 &amp; "'!B204"), "Process sheet not found")</f>
        <v>0.76970300000000003</v>
      </c>
      <c r="E12" s="303" cm="1">
        <f t="array" aca="1" ref="E12" ca="1">IFERROR(INDIRECT("'" &amp; B12 &amp; "'!B208"), "Process sheet not found")</f>
        <v>3.49865</v>
      </c>
      <c r="F12" s="166" cm="1">
        <f t="array" aca="1" ref="F12" ca="1">IFERROR(INDIRECT("'" &amp; B12 &amp; "'!B209"), "Process sheet not found")</f>
        <v>0</v>
      </c>
      <c r="G12" s="396" cm="1">
        <f t="array" aca="1" ref="G12" ca="1">IFERROR(INDIRECT("'" &amp; B12 &amp; "'!B147"), "Process sheet not found")</f>
        <v>0</v>
      </c>
      <c r="H12" s="398"/>
    </row>
    <row r="13" spans="2:10" ht="26">
      <c r="B13" s="393" t="s">
        <v>661</v>
      </c>
      <c r="C13" s="166" t="str" cm="1">
        <f t="array" aca="1" ref="C13" ca="1">IFERROR(INDIRECT("'" &amp; B13 &amp; "'!B14"), "Process sheet not found")</f>
        <v>Process sheet not found</v>
      </c>
      <c r="D13" s="166" t="str" cm="1">
        <f t="array" aca="1" ref="D13" ca="1">IFERROR(INDIRECT("'" &amp; B13 &amp; "'!B204"), "Process sheet not found")</f>
        <v>Process sheet not found</v>
      </c>
      <c r="E13" s="166" t="str" cm="1">
        <f t="array" aca="1" ref="E13" ca="1">IFERROR(INDIRECT("'" &amp; B13 &amp; "'!B208"), "Process sheet not found")</f>
        <v>Process sheet not found</v>
      </c>
      <c r="F13" s="166" t="str" cm="1">
        <f t="array" aca="1" ref="F13" ca="1">IFERROR(INDIRECT("'" &amp; B13 &amp; "'!B210"), "Process sheet not found")</f>
        <v>Process sheet not found</v>
      </c>
      <c r="G13" s="396" t="str" cm="1">
        <f t="array" aca="1" ref="G13" ca="1">IFERROR(INDIRECT("'" &amp; B13 &amp; "'!B147"), "Process sheet not found")</f>
        <v>Process sheet not found</v>
      </c>
      <c r="H13" s="398"/>
    </row>
    <row r="14" spans="2:10" ht="26">
      <c r="B14" s="393" t="s">
        <v>1174</v>
      </c>
      <c r="C14" s="166" t="str" cm="1">
        <f t="array" aca="1" ref="C14" ca="1">IFERROR(INDIRECT("'" &amp; B14 &amp; "'!B14"), "Process sheet not found")</f>
        <v>Process sheet not found</v>
      </c>
      <c r="D14" s="166" t="str" cm="1">
        <f t="array" aca="1" ref="D14" ca="1">IFERROR(INDIRECT("'" &amp; B14 &amp; "'!B204"), "Process sheet not found")</f>
        <v>Process sheet not found</v>
      </c>
      <c r="E14" s="166" t="str" cm="1">
        <f t="array" aca="1" ref="E14" ca="1">IFERROR(INDIRECT("'" &amp; B14 &amp; "'!B208"), "Process sheet not found")</f>
        <v>Process sheet not found</v>
      </c>
      <c r="F14" s="166" t="str" cm="1">
        <f t="array" aca="1" ref="F14" ca="1">IFERROR(INDIRECT("'" &amp; B14 &amp; "'!B210"), "Process sheet not found")</f>
        <v>Process sheet not found</v>
      </c>
      <c r="G14" s="396" t="str" cm="1">
        <f t="array" aca="1" ref="G14" ca="1">IFERROR(INDIRECT("'" &amp; B14 &amp; "'!B147"), "Process sheet not found")</f>
        <v>Process sheet not found</v>
      </c>
      <c r="H14" s="398"/>
    </row>
    <row r="15" spans="2:10">
      <c r="G15" s="302"/>
      <c r="H15" s="302"/>
      <c r="I15" s="302"/>
      <c r="J15" s="302"/>
    </row>
    <row r="16" spans="2:10">
      <c r="G16" s="302"/>
      <c r="H16" s="302"/>
      <c r="I16" s="302"/>
      <c r="J16" s="302"/>
    </row>
    <row r="17" spans="2:10">
      <c r="G17" s="302"/>
      <c r="H17" s="302"/>
      <c r="I17" s="302"/>
      <c r="J17" s="302"/>
    </row>
    <row r="18" spans="2:10">
      <c r="G18" s="302"/>
      <c r="H18" s="302"/>
      <c r="I18" s="302"/>
      <c r="J18" s="302"/>
    </row>
    <row r="19" spans="2:10">
      <c r="G19" s="302"/>
      <c r="H19" s="302"/>
      <c r="I19" s="302"/>
      <c r="J19" s="302"/>
    </row>
    <row r="20" spans="2:10">
      <c r="G20" s="302"/>
      <c r="H20" s="302"/>
      <c r="I20" s="302"/>
      <c r="J20" s="302"/>
    </row>
    <row r="21" spans="2:10">
      <c r="G21" s="302"/>
      <c r="H21" s="302"/>
      <c r="I21" s="302"/>
      <c r="J21" s="302"/>
    </row>
    <row r="22" spans="2:10">
      <c r="G22" s="302"/>
      <c r="H22" s="302"/>
      <c r="I22" s="302"/>
      <c r="J22" s="302"/>
    </row>
    <row r="23" spans="2:10">
      <c r="C23" s="166" t="s">
        <v>1203</v>
      </c>
      <c r="D23" s="303">
        <f ca="1">SUM(D8:D19)</f>
        <v>4.5934346666666661</v>
      </c>
      <c r="G23" s="302"/>
      <c r="H23" s="302"/>
      <c r="I23" s="302"/>
      <c r="J23" s="302"/>
    </row>
    <row r="24" spans="2:10">
      <c r="C24" s="166" t="s">
        <v>1204</v>
      </c>
      <c r="D24" s="303">
        <f ca="1">SUM(E8:E19)</f>
        <v>20.607941666666669</v>
      </c>
      <c r="G24" s="302"/>
      <c r="H24" s="302"/>
      <c r="I24" s="302"/>
      <c r="J24" s="302"/>
    </row>
    <row r="25" spans="2:10">
      <c r="C25" s="166" t="s">
        <v>1205</v>
      </c>
      <c r="D25" s="303">
        <f ca="1">SUM(F8:F19)</f>
        <v>0</v>
      </c>
      <c r="G25" s="302"/>
      <c r="H25" s="302"/>
      <c r="I25" s="302"/>
      <c r="J25" s="302"/>
    </row>
    <row r="26" spans="2:10">
      <c r="G26" s="302"/>
      <c r="H26" s="302"/>
      <c r="I26" s="302"/>
      <c r="J26" s="302"/>
    </row>
    <row r="32" spans="2:10" ht="26">
      <c r="B32" s="167" t="s">
        <v>916</v>
      </c>
      <c r="C32" s="166" t="s">
        <v>1184</v>
      </c>
      <c r="D32" s="166" t="s">
        <v>105</v>
      </c>
    </row>
    <row r="34" spans="2:5" ht="26">
      <c r="B34" s="394" t="s">
        <v>1199</v>
      </c>
      <c r="C34" s="401">
        <v>100</v>
      </c>
      <c r="D34" s="391" t="s">
        <v>1210</v>
      </c>
      <c r="E34" s="395"/>
    </row>
    <row r="35" spans="2:5" ht="26">
      <c r="B35" s="394" t="s">
        <v>1200</v>
      </c>
      <c r="C35" s="166">
        <v>1</v>
      </c>
      <c r="D35" s="166" t="s">
        <v>1193</v>
      </c>
    </row>
    <row r="36" spans="2:5" ht="78">
      <c r="B36" s="394" t="s">
        <v>1185</v>
      </c>
      <c r="C36" s="402">
        <v>5</v>
      </c>
      <c r="D36" s="394" t="s">
        <v>1230</v>
      </c>
      <c r="E36" s="166" t="s">
        <v>1229</v>
      </c>
    </row>
    <row r="37" spans="2:5" ht="52">
      <c r="B37" s="394" t="s">
        <v>1231</v>
      </c>
      <c r="C37" s="403">
        <f>(C36/100)*C34*C35</f>
        <v>5</v>
      </c>
      <c r="D37" s="391" t="s">
        <v>1195</v>
      </c>
    </row>
    <row r="38" spans="2:5" ht="52">
      <c r="B38" s="394" t="s">
        <v>1232</v>
      </c>
      <c r="C38" s="403">
        <f>C37*1000</f>
        <v>5000</v>
      </c>
      <c r="D38" s="391" t="s">
        <v>1194</v>
      </c>
    </row>
    <row r="39" spans="2:5">
      <c r="B39" s="394"/>
      <c r="D39" s="391"/>
    </row>
    <row r="41" spans="2:5">
      <c r="C41" s="401"/>
      <c r="D41" s="391"/>
      <c r="E41" s="395"/>
    </row>
    <row r="42" spans="2:5">
      <c r="C42" s="401"/>
      <c r="D42" s="391"/>
      <c r="E42" s="395"/>
    </row>
    <row r="43" spans="2:5">
      <c r="C43" s="401"/>
      <c r="D43" s="391"/>
      <c r="E43" s="395"/>
    </row>
    <row r="44" spans="2:5">
      <c r="C44" s="401"/>
      <c r="D44" s="391"/>
      <c r="E44" s="395"/>
    </row>
    <row r="45" spans="2:5">
      <c r="C45" s="401"/>
      <c r="D45" s="391"/>
      <c r="E45" s="395"/>
    </row>
    <row r="46" spans="2:5">
      <c r="C46" s="401"/>
      <c r="D46" s="391"/>
      <c r="E46" s="395"/>
    </row>
    <row r="47" spans="2:5">
      <c r="C47" s="401"/>
      <c r="D47" s="391"/>
      <c r="E47" s="395"/>
    </row>
    <row r="48" spans="2:5">
      <c r="C48" s="401"/>
      <c r="D48" s="391"/>
      <c r="E48" s="395"/>
    </row>
    <row r="49" spans="2:6">
      <c r="C49" s="401"/>
      <c r="D49" s="391"/>
      <c r="E49" s="395"/>
    </row>
    <row r="50" spans="2:6" ht="52">
      <c r="B50" s="167" t="s">
        <v>1198</v>
      </c>
      <c r="C50" s="401">
        <v>40</v>
      </c>
      <c r="D50" s="391" t="s">
        <v>1188</v>
      </c>
      <c r="E50" s="395" t="s">
        <v>1197</v>
      </c>
      <c r="F50" s="166" t="s">
        <v>1196</v>
      </c>
    </row>
    <row r="51" spans="2:6" ht="26">
      <c r="B51" s="394" t="s">
        <v>1189</v>
      </c>
      <c r="C51" s="403">
        <f>C36/C54</f>
        <v>10</v>
      </c>
      <c r="D51" s="404" t="s">
        <v>1190</v>
      </c>
      <c r="E51" s="395"/>
    </row>
    <row r="52" spans="2:6">
      <c r="C52" s="401"/>
      <c r="D52" s="391"/>
      <c r="E52" s="395"/>
    </row>
    <row r="53" spans="2:6" ht="26">
      <c r="B53" s="394" t="s">
        <v>1201</v>
      </c>
      <c r="C53" s="166">
        <v>1</v>
      </c>
      <c r="D53" s="166" t="s">
        <v>1208</v>
      </c>
      <c r="E53" s="395"/>
    </row>
    <row r="54" spans="2:6" ht="52">
      <c r="B54" s="394" t="s">
        <v>1186</v>
      </c>
      <c r="C54" s="402">
        <v>0.5</v>
      </c>
      <c r="D54" s="391" t="s">
        <v>1187</v>
      </c>
    </row>
    <row r="55" spans="2:6" ht="52">
      <c r="B55" s="394" t="s">
        <v>1202</v>
      </c>
      <c r="C55" s="403">
        <f>(C54/100)*C50*C53</f>
        <v>0.2</v>
      </c>
      <c r="D55" s="391" t="s">
        <v>1195</v>
      </c>
    </row>
    <row r="56" spans="2:6" ht="26">
      <c r="B56" s="394" t="s">
        <v>1207</v>
      </c>
      <c r="C56" s="166">
        <f ca="1">D23*C55</f>
        <v>0.91868693333333329</v>
      </c>
      <c r="D56" s="391" t="s">
        <v>1233</v>
      </c>
      <c r="E56" s="166" t="s">
        <v>1206</v>
      </c>
    </row>
    <row r="57" spans="2:6">
      <c r="B57" s="394"/>
      <c r="D57" s="391"/>
    </row>
    <row r="63" spans="2:6" ht="52">
      <c r="B63" s="167" t="s">
        <v>1213</v>
      </c>
      <c r="C63" s="166">
        <v>40</v>
      </c>
      <c r="D63" s="166" t="s">
        <v>1180</v>
      </c>
    </row>
    <row r="64" spans="2:6" ht="52">
      <c r="B64" s="167" t="s">
        <v>1218</v>
      </c>
      <c r="C64" s="166">
        <v>0.5</v>
      </c>
      <c r="D64" s="166" t="s">
        <v>1214</v>
      </c>
    </row>
    <row r="66" spans="2:4" ht="52">
      <c r="B66" s="167" t="s">
        <v>1219</v>
      </c>
      <c r="C66" s="403">
        <f>C64%*C63</f>
        <v>0.2</v>
      </c>
      <c r="D66" s="166" t="s">
        <v>1216</v>
      </c>
    </row>
    <row r="69" spans="2:4" ht="26">
      <c r="B69" s="167" t="s">
        <v>1217</v>
      </c>
      <c r="C69" s="166">
        <v>5</v>
      </c>
      <c r="D69" s="166" t="s">
        <v>1215</v>
      </c>
    </row>
    <row r="70" spans="2:4" ht="26">
      <c r="B70" s="167" t="s">
        <v>1221</v>
      </c>
      <c r="C70" s="403">
        <f>C69%*1000/1000</f>
        <v>0.05</v>
      </c>
      <c r="D70" s="166" t="s">
        <v>1222</v>
      </c>
    </row>
    <row r="72" spans="2:4" ht="26">
      <c r="B72" s="167" t="s">
        <v>1220</v>
      </c>
      <c r="C72" s="403">
        <f>C66/C70</f>
        <v>4</v>
      </c>
      <c r="D72" s="166" t="s">
        <v>1180</v>
      </c>
    </row>
    <row r="73" spans="2:4">
      <c r="B73" s="166"/>
    </row>
    <row r="74" spans="2:4" ht="26">
      <c r="B74" s="167" t="s">
        <v>1223</v>
      </c>
      <c r="C74" s="166">
        <f>C63-C72</f>
        <v>36</v>
      </c>
      <c r="D74" s="166" t="s">
        <v>1180</v>
      </c>
    </row>
    <row r="77" spans="2:4" ht="78">
      <c r="B77" s="400" t="s">
        <v>1211</v>
      </c>
      <c r="C77" s="403">
        <f ca="1">SUM(D25)</f>
        <v>0</v>
      </c>
    </row>
    <row r="78" spans="2:4" ht="78">
      <c r="B78" s="400" t="s">
        <v>1212</v>
      </c>
      <c r="C78" s="403">
        <f ca="1">C77*C55</f>
        <v>0</v>
      </c>
      <c r="D78" s="166" t="s">
        <v>1226</v>
      </c>
    </row>
    <row r="79" spans="2:4">
      <c r="B79" s="400"/>
      <c r="C79" s="405"/>
    </row>
    <row r="80" spans="2:4" ht="52">
      <c r="B80" s="399" t="s">
        <v>1209</v>
      </c>
      <c r="C80" s="166">
        <f>C74</f>
        <v>36</v>
      </c>
    </row>
    <row r="81" spans="2:4">
      <c r="B81" s="394"/>
      <c r="D81" s="404"/>
    </row>
    <row r="83" spans="2:4" ht="28">
      <c r="B83" s="167" t="s">
        <v>1224</v>
      </c>
      <c r="C83" s="406">
        <f ca="1">SUM(C78:C80)</f>
        <v>36</v>
      </c>
      <c r="D83" s="166" t="s">
        <v>1225</v>
      </c>
    </row>
  </sheetData>
  <phoneticPr fontId="21" type="noConversion"/>
  <conditionalFormatting sqref="B1:B33 B54 B82:B1048576 B56:B66 B74:B80 B69:B72">
    <cfRule type="notContainsBlanks" dxfId="7" priority="1">
      <formula>LEN(TRIM(B1))&gt;0</formula>
    </cfRule>
  </conditionalFormatting>
  <pageMargins left="0.7" right="0.7" top="0.75" bottom="0.75" header="0.3" footer="0.3"/>
  <pageSetup orientation="portrait" horizontalDpi="0" verticalDpi="0"/>
  <ignoredErrors>
    <ignoredError sqref="D24" formula="1"/>
  </ignoredErrors>
  <drawing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5B0BF6-E446-0E43-9CDE-4D701C8B570F}">
  <sheetPr codeName="Sheet11"/>
  <dimension ref="B1:V182"/>
  <sheetViews>
    <sheetView zoomScale="90" zoomScaleNormal="100" workbookViewId="0">
      <selection activeCell="B2" sqref="B2:L3"/>
    </sheetView>
  </sheetViews>
  <sheetFormatPr baseColWidth="10" defaultColWidth="8.83203125" defaultRowHeight="15" customHeight="1"/>
  <cols>
    <col min="1" max="1" width="3.6640625" style="57" customWidth="1"/>
    <col min="2" max="2" width="34.33203125" style="57" customWidth="1"/>
    <col min="3" max="4" width="12.83203125" style="57" customWidth="1"/>
    <col min="5" max="12" width="8.83203125" style="57" customWidth="1"/>
    <col min="13" max="16384" width="8.83203125" style="57"/>
  </cols>
  <sheetData>
    <row r="1" spans="2:12" ht="15" customHeight="1" thickBot="1"/>
    <row r="2" spans="2:12" ht="15" customHeight="1">
      <c r="B2" s="321" t="s">
        <v>754</v>
      </c>
      <c r="C2" s="322"/>
      <c r="D2" s="322"/>
      <c r="E2" s="322"/>
      <c r="F2" s="322"/>
      <c r="G2" s="322"/>
      <c r="H2" s="322"/>
      <c r="I2" s="322"/>
      <c r="J2" s="322"/>
      <c r="K2" s="322"/>
      <c r="L2" s="323"/>
    </row>
    <row r="3" spans="2:12" ht="15" customHeight="1" thickBot="1">
      <c r="B3" s="324"/>
      <c r="C3" s="325"/>
      <c r="D3" s="325"/>
      <c r="E3" s="325"/>
      <c r="F3" s="325"/>
      <c r="G3" s="325"/>
      <c r="H3" s="325"/>
      <c r="I3" s="325"/>
      <c r="J3" s="325"/>
      <c r="K3" s="325"/>
      <c r="L3" s="326"/>
    </row>
    <row r="5" spans="2:12" ht="15" customHeight="1">
      <c r="B5" s="343"/>
      <c r="C5" s="344"/>
      <c r="D5" s="344"/>
      <c r="E5" s="344"/>
      <c r="F5" s="344"/>
      <c r="G5" s="344"/>
      <c r="H5" s="344"/>
      <c r="I5" s="344"/>
      <c r="J5" s="344"/>
      <c r="K5" s="344"/>
      <c r="L5" s="345"/>
    </row>
    <row r="6" spans="2:12" ht="15" customHeight="1">
      <c r="B6" s="346"/>
      <c r="C6" s="347"/>
      <c r="D6" s="347"/>
      <c r="E6" s="347"/>
      <c r="F6" s="347"/>
      <c r="G6" s="347"/>
      <c r="H6" s="347"/>
      <c r="I6" s="347"/>
      <c r="J6" s="347"/>
      <c r="K6" s="347"/>
      <c r="L6" s="348"/>
    </row>
    <row r="7" spans="2:12" ht="15" customHeight="1" thickBot="1"/>
    <row r="8" spans="2:12" ht="15" customHeight="1">
      <c r="B8" s="349" t="s">
        <v>664</v>
      </c>
      <c r="C8" s="350"/>
      <c r="D8" s="350"/>
      <c r="E8" s="350"/>
      <c r="F8" s="350"/>
      <c r="G8" s="350"/>
      <c r="H8" s="350"/>
      <c r="I8" s="350"/>
      <c r="J8" s="350"/>
      <c r="K8" s="350"/>
      <c r="L8" s="351"/>
    </row>
    <row r="9" spans="2:12" ht="15" customHeight="1" thickBot="1">
      <c r="B9" s="352"/>
      <c r="C9" s="353"/>
      <c r="D9" s="353"/>
      <c r="E9" s="353"/>
      <c r="F9" s="353"/>
      <c r="G9" s="353"/>
      <c r="H9" s="353"/>
      <c r="I9" s="353"/>
      <c r="J9" s="353"/>
      <c r="K9" s="353"/>
      <c r="L9" s="354"/>
    </row>
    <row r="10" spans="2:12" ht="15" customHeight="1">
      <c r="F10" s="169"/>
      <c r="G10" s="169"/>
      <c r="H10" s="169"/>
      <c r="I10" s="169"/>
      <c r="J10" s="169"/>
      <c r="K10" s="169"/>
      <c r="L10" s="169"/>
    </row>
    <row r="11" spans="2:12" ht="15" customHeight="1">
      <c r="B11" s="328" t="s">
        <v>665</v>
      </c>
      <c r="C11" s="329"/>
      <c r="D11" s="334" t="s">
        <v>666</v>
      </c>
      <c r="E11" s="335"/>
      <c r="F11" s="335"/>
      <c r="G11" s="335"/>
      <c r="H11" s="335"/>
      <c r="I11" s="335"/>
      <c r="J11" s="335"/>
      <c r="K11" s="335"/>
      <c r="L11" s="336"/>
    </row>
    <row r="12" spans="2:12" ht="15" customHeight="1">
      <c r="B12" s="330"/>
      <c r="C12" s="331"/>
      <c r="D12" s="337"/>
      <c r="E12" s="338"/>
      <c r="F12" s="338"/>
      <c r="G12" s="338"/>
      <c r="H12" s="338"/>
      <c r="I12" s="338"/>
      <c r="J12" s="338"/>
      <c r="K12" s="338"/>
      <c r="L12" s="339"/>
    </row>
    <row r="13" spans="2:12" ht="15" customHeight="1">
      <c r="B13" s="330"/>
      <c r="C13" s="331"/>
      <c r="D13" s="337"/>
      <c r="E13" s="338"/>
      <c r="F13" s="338"/>
      <c r="G13" s="338"/>
      <c r="H13" s="338"/>
      <c r="I13" s="338"/>
      <c r="J13" s="338"/>
      <c r="K13" s="338"/>
      <c r="L13" s="339"/>
    </row>
    <row r="14" spans="2:12" ht="15" customHeight="1">
      <c r="B14" s="332"/>
      <c r="C14" s="333"/>
      <c r="D14" s="340"/>
      <c r="E14" s="341"/>
      <c r="F14" s="341"/>
      <c r="G14" s="341"/>
      <c r="H14" s="341"/>
      <c r="I14" s="341"/>
      <c r="J14" s="341"/>
      <c r="K14" s="341"/>
      <c r="L14" s="342"/>
    </row>
    <row r="16" spans="2:12" ht="15" customHeight="1">
      <c r="B16" s="328" t="s">
        <v>667</v>
      </c>
      <c r="C16" s="329"/>
      <c r="D16" s="334" t="s">
        <v>668</v>
      </c>
      <c r="E16" s="335"/>
      <c r="F16" s="335"/>
      <c r="G16" s="335"/>
      <c r="H16" s="335"/>
      <c r="I16" s="335"/>
      <c r="J16" s="335"/>
      <c r="K16" s="335"/>
      <c r="L16" s="336"/>
    </row>
    <row r="17" spans="2:12" ht="15" customHeight="1">
      <c r="B17" s="330"/>
      <c r="C17" s="331"/>
      <c r="D17" s="337"/>
      <c r="E17" s="338"/>
      <c r="F17" s="338"/>
      <c r="G17" s="338"/>
      <c r="H17" s="338"/>
      <c r="I17" s="338"/>
      <c r="J17" s="338"/>
      <c r="K17" s="338"/>
      <c r="L17" s="339"/>
    </row>
    <row r="18" spans="2:12" ht="15" customHeight="1">
      <c r="B18" s="330"/>
      <c r="C18" s="331"/>
      <c r="D18" s="337"/>
      <c r="E18" s="338"/>
      <c r="F18" s="338"/>
      <c r="G18" s="338"/>
      <c r="H18" s="338"/>
      <c r="I18" s="338"/>
      <c r="J18" s="338"/>
      <c r="K18" s="338"/>
      <c r="L18" s="339"/>
    </row>
    <row r="19" spans="2:12" ht="15" customHeight="1">
      <c r="B19" s="332"/>
      <c r="C19" s="333"/>
      <c r="D19" s="340"/>
      <c r="E19" s="341"/>
      <c r="F19" s="341"/>
      <c r="G19" s="341"/>
      <c r="H19" s="341"/>
      <c r="I19" s="341"/>
      <c r="J19" s="341"/>
      <c r="K19" s="341"/>
      <c r="L19" s="342"/>
    </row>
    <row r="21" spans="2:12" ht="15" customHeight="1">
      <c r="B21" s="328" t="s">
        <v>669</v>
      </c>
      <c r="C21" s="329"/>
      <c r="D21" s="334" t="s">
        <v>670</v>
      </c>
      <c r="E21" s="335"/>
      <c r="F21" s="335"/>
      <c r="G21" s="335"/>
      <c r="H21" s="335"/>
      <c r="I21" s="335"/>
      <c r="J21" s="335"/>
      <c r="K21" s="335"/>
      <c r="L21" s="336"/>
    </row>
    <row r="22" spans="2:12" ht="15" customHeight="1">
      <c r="B22" s="330"/>
      <c r="C22" s="331"/>
      <c r="D22" s="337"/>
      <c r="E22" s="338"/>
      <c r="F22" s="338"/>
      <c r="G22" s="338"/>
      <c r="H22" s="338"/>
      <c r="I22" s="338"/>
      <c r="J22" s="338"/>
      <c r="K22" s="338"/>
      <c r="L22" s="339"/>
    </row>
    <row r="23" spans="2:12" ht="15" customHeight="1">
      <c r="B23" s="330"/>
      <c r="C23" s="331"/>
      <c r="D23" s="337"/>
      <c r="E23" s="338"/>
      <c r="F23" s="338"/>
      <c r="G23" s="338"/>
      <c r="H23" s="338"/>
      <c r="I23" s="338"/>
      <c r="J23" s="338"/>
      <c r="K23" s="338"/>
      <c r="L23" s="339"/>
    </row>
    <row r="24" spans="2:12" ht="15" customHeight="1">
      <c r="B24" s="332"/>
      <c r="C24" s="333"/>
      <c r="D24" s="340"/>
      <c r="E24" s="341"/>
      <c r="F24" s="341"/>
      <c r="G24" s="341"/>
      <c r="H24" s="341"/>
      <c r="I24" s="341"/>
      <c r="J24" s="341"/>
      <c r="K24" s="341"/>
      <c r="L24" s="342"/>
    </row>
    <row r="25" spans="2:12" ht="15" customHeight="1">
      <c r="F25" s="169"/>
      <c r="G25" s="169"/>
      <c r="H25" s="169"/>
      <c r="I25" s="169"/>
      <c r="J25" s="169"/>
      <c r="K25" s="169"/>
      <c r="L25" s="169"/>
    </row>
    <row r="26" spans="2:12" ht="15" customHeight="1">
      <c r="B26" s="328" t="s">
        <v>671</v>
      </c>
      <c r="C26" s="329"/>
      <c r="D26" s="334" t="s">
        <v>672</v>
      </c>
      <c r="E26" s="335"/>
      <c r="F26" s="335"/>
      <c r="G26" s="335"/>
      <c r="H26" s="335"/>
      <c r="I26" s="335"/>
      <c r="J26" s="335"/>
      <c r="K26" s="335"/>
      <c r="L26" s="336"/>
    </row>
    <row r="27" spans="2:12" ht="15" customHeight="1">
      <c r="B27" s="330"/>
      <c r="C27" s="331"/>
      <c r="D27" s="337"/>
      <c r="E27" s="338"/>
      <c r="F27" s="338"/>
      <c r="G27" s="338"/>
      <c r="H27" s="338"/>
      <c r="I27" s="338"/>
      <c r="J27" s="338"/>
      <c r="K27" s="338"/>
      <c r="L27" s="339"/>
    </row>
    <row r="28" spans="2:12" ht="15" customHeight="1">
      <c r="B28" s="330"/>
      <c r="C28" s="331"/>
      <c r="D28" s="337"/>
      <c r="E28" s="338"/>
      <c r="F28" s="338"/>
      <c r="G28" s="338"/>
      <c r="H28" s="338"/>
      <c r="I28" s="338"/>
      <c r="J28" s="338"/>
      <c r="K28" s="338"/>
      <c r="L28" s="339"/>
    </row>
    <row r="29" spans="2:12" ht="15" customHeight="1">
      <c r="B29" s="332"/>
      <c r="C29" s="333"/>
      <c r="D29" s="340"/>
      <c r="E29" s="341"/>
      <c r="F29" s="341"/>
      <c r="G29" s="341"/>
      <c r="H29" s="341"/>
      <c r="I29" s="341"/>
      <c r="J29" s="341"/>
      <c r="K29" s="341"/>
      <c r="L29" s="342"/>
    </row>
    <row r="30" spans="2:12" ht="15" customHeight="1">
      <c r="F30" s="169"/>
      <c r="G30" s="169"/>
      <c r="H30" s="169"/>
      <c r="I30" s="169"/>
      <c r="J30" s="169"/>
      <c r="K30" s="169"/>
      <c r="L30" s="169"/>
    </row>
    <row r="31" spans="2:12" ht="15" customHeight="1">
      <c r="B31" s="328" t="s">
        <v>673</v>
      </c>
      <c r="C31" s="329"/>
      <c r="D31" s="334" t="s">
        <v>674</v>
      </c>
      <c r="E31" s="335"/>
      <c r="F31" s="335"/>
      <c r="G31" s="335"/>
      <c r="H31" s="335"/>
      <c r="I31" s="335"/>
      <c r="J31" s="335"/>
      <c r="K31" s="335"/>
      <c r="L31" s="336"/>
    </row>
    <row r="32" spans="2:12" ht="15" customHeight="1">
      <c r="B32" s="330"/>
      <c r="C32" s="331"/>
      <c r="D32" s="337"/>
      <c r="E32" s="338"/>
      <c r="F32" s="338"/>
      <c r="G32" s="338"/>
      <c r="H32" s="338"/>
      <c r="I32" s="338"/>
      <c r="J32" s="338"/>
      <c r="K32" s="338"/>
      <c r="L32" s="339"/>
    </row>
    <row r="33" spans="2:14" ht="15" customHeight="1">
      <c r="B33" s="332"/>
      <c r="C33" s="333"/>
      <c r="D33" s="340"/>
      <c r="E33" s="341"/>
      <c r="F33" s="341"/>
      <c r="G33" s="341"/>
      <c r="H33" s="341"/>
      <c r="I33" s="341"/>
      <c r="J33" s="341"/>
      <c r="K33" s="341"/>
      <c r="L33" s="342"/>
    </row>
    <row r="34" spans="2:14" ht="15" customHeight="1">
      <c r="F34" s="169"/>
      <c r="G34" s="169"/>
      <c r="H34" s="169"/>
      <c r="I34" s="169"/>
      <c r="J34" s="169"/>
      <c r="K34" s="169"/>
      <c r="L34" s="169"/>
    </row>
    <row r="35" spans="2:14" ht="15" customHeight="1">
      <c r="B35" s="328" t="s">
        <v>675</v>
      </c>
      <c r="C35" s="329"/>
      <c r="D35" s="334" t="s">
        <v>676</v>
      </c>
      <c r="E35" s="335"/>
      <c r="F35" s="335"/>
      <c r="G35" s="335"/>
      <c r="H35" s="335"/>
      <c r="I35" s="335"/>
      <c r="J35" s="335"/>
      <c r="K35" s="335"/>
      <c r="L35" s="336"/>
    </row>
    <row r="36" spans="2:14" ht="15" customHeight="1">
      <c r="B36" s="330"/>
      <c r="C36" s="331"/>
      <c r="D36" s="337"/>
      <c r="E36" s="338"/>
      <c r="F36" s="338"/>
      <c r="G36" s="338"/>
      <c r="H36" s="338"/>
      <c r="I36" s="338"/>
      <c r="J36" s="338"/>
      <c r="K36" s="338"/>
      <c r="L36" s="339"/>
      <c r="N36" s="171"/>
    </row>
    <row r="37" spans="2:14" ht="15" customHeight="1">
      <c r="B37" s="330"/>
      <c r="C37" s="331"/>
      <c r="D37" s="337"/>
      <c r="E37" s="338"/>
      <c r="F37" s="338"/>
      <c r="G37" s="338"/>
      <c r="H37" s="338"/>
      <c r="I37" s="338"/>
      <c r="J37" s="338"/>
      <c r="K37" s="338"/>
      <c r="L37" s="339"/>
    </row>
    <row r="38" spans="2:14" ht="15" customHeight="1">
      <c r="B38" s="332"/>
      <c r="C38" s="333"/>
      <c r="D38" s="340"/>
      <c r="E38" s="341"/>
      <c r="F38" s="341"/>
      <c r="G38" s="341"/>
      <c r="H38" s="341"/>
      <c r="I38" s="341"/>
      <c r="J38" s="341"/>
      <c r="K38" s="341"/>
      <c r="L38" s="342"/>
    </row>
    <row r="39" spans="2:14" ht="15" customHeight="1">
      <c r="B39" s="55"/>
      <c r="C39" s="55"/>
      <c r="D39" s="169"/>
      <c r="E39" s="169"/>
      <c r="F39" s="169"/>
      <c r="G39" s="169"/>
      <c r="H39" s="169"/>
      <c r="I39" s="169"/>
      <c r="J39" s="169"/>
      <c r="K39" s="169"/>
      <c r="L39" s="169"/>
    </row>
    <row r="40" spans="2:14" ht="15" customHeight="1">
      <c r="B40" s="328" t="s">
        <v>677</v>
      </c>
      <c r="C40" s="329"/>
      <c r="D40" s="334" t="s">
        <v>678</v>
      </c>
      <c r="E40" s="335"/>
      <c r="F40" s="335"/>
      <c r="G40" s="335"/>
      <c r="H40" s="335"/>
      <c r="I40" s="335"/>
      <c r="J40" s="335"/>
      <c r="K40" s="335"/>
      <c r="L40" s="336"/>
    </row>
    <row r="41" spans="2:14" ht="15" customHeight="1">
      <c r="B41" s="330"/>
      <c r="C41" s="331"/>
      <c r="D41" s="337"/>
      <c r="E41" s="338"/>
      <c r="F41" s="338"/>
      <c r="G41" s="338"/>
      <c r="H41" s="338"/>
      <c r="I41" s="338"/>
      <c r="J41" s="338"/>
      <c r="K41" s="338"/>
      <c r="L41" s="339"/>
    </row>
    <row r="42" spans="2:14" ht="15" customHeight="1">
      <c r="B42" s="332"/>
      <c r="C42" s="333"/>
      <c r="D42" s="340"/>
      <c r="E42" s="341"/>
      <c r="F42" s="341"/>
      <c r="G42" s="341"/>
      <c r="H42" s="341"/>
      <c r="I42" s="341"/>
      <c r="J42" s="341"/>
      <c r="K42" s="341"/>
      <c r="L42" s="342"/>
    </row>
    <row r="43" spans="2:14" ht="15" customHeight="1" thickBot="1">
      <c r="B43" s="55"/>
      <c r="C43" s="55"/>
      <c r="F43" s="172"/>
      <c r="G43" s="172"/>
      <c r="H43" s="172"/>
      <c r="I43" s="172"/>
      <c r="J43" s="172"/>
    </row>
    <row r="44" spans="2:14" ht="15" customHeight="1">
      <c r="B44" s="349" t="s">
        <v>679</v>
      </c>
      <c r="C44" s="350"/>
      <c r="D44" s="350"/>
      <c r="E44" s="350"/>
      <c r="F44" s="350"/>
      <c r="G44" s="350"/>
      <c r="H44" s="350"/>
      <c r="I44" s="350"/>
      <c r="J44" s="350"/>
      <c r="K44" s="350"/>
      <c r="L44" s="351"/>
    </row>
    <row r="45" spans="2:14" ht="15" customHeight="1" thickBot="1">
      <c r="B45" s="352"/>
      <c r="C45" s="353"/>
      <c r="D45" s="353"/>
      <c r="E45" s="353"/>
      <c r="F45" s="353"/>
      <c r="G45" s="353"/>
      <c r="H45" s="353"/>
      <c r="I45" s="353"/>
      <c r="J45" s="353"/>
      <c r="K45" s="353"/>
      <c r="L45" s="354"/>
    </row>
    <row r="46" spans="2:14" ht="15" customHeight="1">
      <c r="F46" s="172"/>
      <c r="G46" s="172"/>
      <c r="H46" s="172"/>
      <c r="I46" s="172"/>
      <c r="J46" s="172"/>
    </row>
    <row r="47" spans="2:14" ht="15" customHeight="1">
      <c r="B47" s="328" t="s">
        <v>680</v>
      </c>
      <c r="C47" s="329"/>
      <c r="D47" s="334" t="s">
        <v>681</v>
      </c>
      <c r="E47" s="335"/>
      <c r="F47" s="335"/>
      <c r="G47" s="335"/>
      <c r="H47" s="335"/>
      <c r="I47" s="335"/>
      <c r="J47" s="335"/>
      <c r="K47" s="335"/>
      <c r="L47" s="336"/>
    </row>
    <row r="48" spans="2:14" ht="15" customHeight="1">
      <c r="B48" s="330"/>
      <c r="C48" s="331"/>
      <c r="D48" s="337"/>
      <c r="E48" s="338"/>
      <c r="F48" s="338"/>
      <c r="G48" s="338"/>
      <c r="H48" s="338"/>
      <c r="I48" s="338"/>
      <c r="J48" s="338"/>
      <c r="K48" s="338"/>
      <c r="L48" s="339"/>
    </row>
    <row r="49" spans="2:12" ht="15" customHeight="1">
      <c r="B49" s="330"/>
      <c r="C49" s="331"/>
      <c r="D49" s="337"/>
      <c r="E49" s="338"/>
      <c r="F49" s="338"/>
      <c r="G49" s="338"/>
      <c r="H49" s="338"/>
      <c r="I49" s="338"/>
      <c r="J49" s="338"/>
      <c r="K49" s="338"/>
      <c r="L49" s="339"/>
    </row>
    <row r="50" spans="2:12" ht="15" customHeight="1">
      <c r="B50" s="332"/>
      <c r="C50" s="333"/>
      <c r="D50" s="340"/>
      <c r="E50" s="341"/>
      <c r="F50" s="341"/>
      <c r="G50" s="341"/>
      <c r="H50" s="341"/>
      <c r="I50" s="341"/>
      <c r="J50" s="341"/>
      <c r="K50" s="341"/>
      <c r="L50" s="342"/>
    </row>
    <row r="51" spans="2:12" ht="15" customHeight="1">
      <c r="F51" s="172"/>
      <c r="G51" s="172"/>
      <c r="H51" s="172"/>
      <c r="I51" s="172"/>
      <c r="J51" s="172"/>
    </row>
    <row r="52" spans="2:12" ht="15" customHeight="1">
      <c r="B52" s="328" t="s">
        <v>682</v>
      </c>
      <c r="C52" s="329"/>
      <c r="D52" s="334" t="s">
        <v>683</v>
      </c>
      <c r="E52" s="335"/>
      <c r="F52" s="335"/>
      <c r="G52" s="335"/>
      <c r="H52" s="335"/>
      <c r="I52" s="335"/>
      <c r="J52" s="335"/>
      <c r="K52" s="335"/>
      <c r="L52" s="336"/>
    </row>
    <row r="53" spans="2:12" ht="15" customHeight="1">
      <c r="B53" s="332"/>
      <c r="C53" s="333"/>
      <c r="D53" s="340"/>
      <c r="E53" s="341"/>
      <c r="F53" s="341"/>
      <c r="G53" s="341"/>
      <c r="H53" s="341"/>
      <c r="I53" s="341"/>
      <c r="J53" s="341"/>
      <c r="K53" s="341"/>
      <c r="L53" s="342"/>
    </row>
    <row r="55" spans="2:12" ht="15" customHeight="1">
      <c r="B55" s="328" t="s">
        <v>684</v>
      </c>
      <c r="C55" s="329"/>
      <c r="D55" s="334" t="s">
        <v>685</v>
      </c>
      <c r="E55" s="335"/>
      <c r="F55" s="335"/>
      <c r="G55" s="335"/>
      <c r="H55" s="335"/>
      <c r="I55" s="335"/>
      <c r="J55" s="335"/>
      <c r="K55" s="335"/>
      <c r="L55" s="336"/>
    </row>
    <row r="56" spans="2:12" ht="15" customHeight="1">
      <c r="B56" s="330"/>
      <c r="C56" s="331"/>
      <c r="D56" s="337"/>
      <c r="E56" s="338"/>
      <c r="F56" s="338"/>
      <c r="G56" s="338"/>
      <c r="H56" s="338"/>
      <c r="I56" s="338"/>
      <c r="J56" s="338"/>
      <c r="K56" s="338"/>
      <c r="L56" s="339"/>
    </row>
    <row r="57" spans="2:12" ht="15" customHeight="1">
      <c r="B57" s="330"/>
      <c r="C57" s="331"/>
      <c r="D57" s="337"/>
      <c r="E57" s="338"/>
      <c r="F57" s="338"/>
      <c r="G57" s="338"/>
      <c r="H57" s="338"/>
      <c r="I57" s="338"/>
      <c r="J57" s="338"/>
      <c r="K57" s="338"/>
      <c r="L57" s="339"/>
    </row>
    <row r="58" spans="2:12" ht="15" customHeight="1">
      <c r="B58" s="330"/>
      <c r="C58" s="331"/>
      <c r="D58" s="337"/>
      <c r="E58" s="338"/>
      <c r="F58" s="338"/>
      <c r="G58" s="338"/>
      <c r="H58" s="338"/>
      <c r="I58" s="338"/>
      <c r="J58" s="338"/>
      <c r="K58" s="338"/>
      <c r="L58" s="339"/>
    </row>
    <row r="59" spans="2:12" ht="15" customHeight="1">
      <c r="B59" s="330"/>
      <c r="C59" s="331"/>
      <c r="D59" s="337"/>
      <c r="E59" s="338"/>
      <c r="F59" s="338"/>
      <c r="G59" s="338"/>
      <c r="H59" s="338"/>
      <c r="I59" s="338"/>
      <c r="J59" s="338"/>
      <c r="K59" s="338"/>
      <c r="L59" s="339"/>
    </row>
    <row r="60" spans="2:12" ht="15" customHeight="1">
      <c r="B60" s="332"/>
      <c r="C60" s="333"/>
      <c r="D60" s="340"/>
      <c r="E60" s="341"/>
      <c r="F60" s="341"/>
      <c r="G60" s="341"/>
      <c r="H60" s="341"/>
      <c r="I60" s="341"/>
      <c r="J60" s="341"/>
      <c r="K60" s="341"/>
      <c r="L60" s="342"/>
    </row>
    <row r="62" spans="2:12" ht="15" customHeight="1">
      <c r="B62" s="55"/>
      <c r="C62" s="55"/>
      <c r="D62" s="172"/>
      <c r="E62" s="172"/>
      <c r="F62" s="172"/>
      <c r="G62" s="172"/>
      <c r="H62" s="172"/>
      <c r="I62" s="173"/>
      <c r="J62" s="173"/>
      <c r="K62" s="173"/>
      <c r="L62" s="173"/>
    </row>
    <row r="63" spans="2:12" ht="15" customHeight="1">
      <c r="B63" s="328" t="s">
        <v>686</v>
      </c>
      <c r="C63" s="329"/>
      <c r="D63" s="334" t="s">
        <v>687</v>
      </c>
      <c r="E63" s="335"/>
      <c r="F63" s="335"/>
      <c r="G63" s="335"/>
      <c r="H63" s="335"/>
      <c r="I63" s="335"/>
      <c r="J63" s="335"/>
      <c r="K63" s="335"/>
      <c r="L63" s="336"/>
    </row>
    <row r="64" spans="2:12" ht="15" customHeight="1">
      <c r="B64" s="330"/>
      <c r="C64" s="331"/>
      <c r="D64" s="337"/>
      <c r="E64" s="338"/>
      <c r="F64" s="338"/>
      <c r="G64" s="338"/>
      <c r="H64" s="338"/>
      <c r="I64" s="338"/>
      <c r="J64" s="338"/>
      <c r="K64" s="338"/>
      <c r="L64" s="339"/>
    </row>
    <row r="65" spans="2:22" ht="15" customHeight="1">
      <c r="B65" s="330"/>
      <c r="C65" s="331"/>
      <c r="D65" s="337"/>
      <c r="E65" s="338"/>
      <c r="F65" s="338"/>
      <c r="G65" s="338"/>
      <c r="H65" s="338"/>
      <c r="I65" s="338"/>
      <c r="J65" s="338"/>
      <c r="K65" s="338"/>
      <c r="L65" s="339"/>
    </row>
    <row r="66" spans="2:22" ht="15" customHeight="1">
      <c r="B66" s="330"/>
      <c r="C66" s="331"/>
      <c r="D66" s="337"/>
      <c r="E66" s="338"/>
      <c r="F66" s="338"/>
      <c r="G66" s="338"/>
      <c r="H66" s="338"/>
      <c r="I66" s="338"/>
      <c r="J66" s="338"/>
      <c r="K66" s="338"/>
      <c r="L66" s="339"/>
    </row>
    <row r="67" spans="2:22" ht="15" customHeight="1">
      <c r="B67" s="330"/>
      <c r="C67" s="331"/>
      <c r="D67" s="337"/>
      <c r="E67" s="338"/>
      <c r="F67" s="338"/>
      <c r="G67" s="338"/>
      <c r="H67" s="338"/>
      <c r="I67" s="338"/>
      <c r="J67" s="338"/>
      <c r="K67" s="338"/>
      <c r="L67" s="339"/>
    </row>
    <row r="68" spans="2:22" ht="15" customHeight="1">
      <c r="B68" s="332"/>
      <c r="C68" s="333"/>
      <c r="D68" s="340"/>
      <c r="E68" s="341"/>
      <c r="F68" s="341"/>
      <c r="G68" s="341"/>
      <c r="H68" s="341"/>
      <c r="I68" s="341"/>
      <c r="J68" s="341"/>
      <c r="K68" s="341"/>
      <c r="L68" s="342"/>
    </row>
    <row r="70" spans="2:22" ht="15" customHeight="1">
      <c r="D70" s="174" t="s">
        <v>688</v>
      </c>
      <c r="E70" s="176" t="s">
        <v>688</v>
      </c>
      <c r="F70" s="175" t="s">
        <v>689</v>
      </c>
    </row>
    <row r="71" spans="2:22" ht="15" customHeight="1">
      <c r="D71" s="177">
        <v>2</v>
      </c>
      <c r="E71" s="57">
        <v>2</v>
      </c>
      <c r="F71" s="178">
        <f>D71+E71</f>
        <v>4</v>
      </c>
    </row>
    <row r="72" spans="2:22" ht="15" customHeight="1">
      <c r="D72" s="177">
        <v>3</v>
      </c>
      <c r="E72" s="57">
        <v>3</v>
      </c>
      <c r="F72" s="178"/>
    </row>
    <row r="73" spans="2:22" ht="15" customHeight="1">
      <c r="D73" s="179">
        <v>4</v>
      </c>
      <c r="E73" s="180">
        <v>4</v>
      </c>
      <c r="F73" s="178"/>
    </row>
    <row r="74" spans="2:22" ht="15" customHeight="1">
      <c r="B74" s="55"/>
      <c r="C74" s="55"/>
      <c r="D74" s="172"/>
      <c r="E74" s="172"/>
      <c r="F74" s="176"/>
      <c r="G74" s="172"/>
      <c r="H74" s="172"/>
      <c r="I74" s="173"/>
      <c r="J74" s="173"/>
      <c r="K74" s="173"/>
      <c r="L74" s="173"/>
      <c r="N74" s="55"/>
      <c r="O74" s="55"/>
      <c r="P74" s="55"/>
      <c r="Q74" s="55"/>
      <c r="R74" s="55"/>
      <c r="S74" s="55"/>
      <c r="T74" s="55"/>
      <c r="U74" s="55"/>
      <c r="V74" s="55"/>
    </row>
    <row r="75" spans="2:22" ht="15" customHeight="1">
      <c r="B75" s="328" t="s">
        <v>690</v>
      </c>
      <c r="C75" s="329"/>
      <c r="D75" s="334" t="s">
        <v>691</v>
      </c>
      <c r="E75" s="335"/>
      <c r="F75" s="335"/>
      <c r="G75" s="335"/>
      <c r="H75" s="335"/>
      <c r="I75" s="335"/>
      <c r="J75" s="335"/>
      <c r="K75" s="335"/>
      <c r="L75" s="336"/>
      <c r="N75" s="55"/>
      <c r="O75" s="55"/>
      <c r="P75" s="55"/>
      <c r="Q75" s="55"/>
      <c r="R75" s="55"/>
      <c r="S75" s="55"/>
      <c r="T75" s="55"/>
      <c r="U75" s="55"/>
      <c r="V75" s="55"/>
    </row>
    <row r="76" spans="2:22" ht="15" customHeight="1">
      <c r="B76" s="330"/>
      <c r="C76" s="331"/>
      <c r="D76" s="337"/>
      <c r="E76" s="338"/>
      <c r="F76" s="338"/>
      <c r="G76" s="338"/>
      <c r="H76" s="338"/>
      <c r="I76" s="338"/>
      <c r="J76" s="338"/>
      <c r="K76" s="338"/>
      <c r="L76" s="339"/>
      <c r="N76" s="55"/>
      <c r="O76" s="55"/>
      <c r="P76" s="55"/>
      <c r="Q76" s="55"/>
      <c r="R76" s="55"/>
      <c r="S76" s="55"/>
      <c r="T76" s="55"/>
      <c r="U76" s="55"/>
      <c r="V76" s="55"/>
    </row>
    <row r="77" spans="2:22" ht="15" customHeight="1">
      <c r="B77" s="330"/>
      <c r="C77" s="331"/>
      <c r="D77" s="337"/>
      <c r="E77" s="338"/>
      <c r="F77" s="338"/>
      <c r="G77" s="338"/>
      <c r="H77" s="338"/>
      <c r="I77" s="338"/>
      <c r="J77" s="338"/>
      <c r="K77" s="338"/>
      <c r="L77" s="339"/>
      <c r="N77" s="55"/>
      <c r="O77" s="55"/>
      <c r="P77" s="55"/>
      <c r="Q77" s="55"/>
      <c r="R77" s="55"/>
      <c r="S77" s="55"/>
      <c r="T77" s="55"/>
      <c r="U77" s="55"/>
      <c r="V77" s="55"/>
    </row>
    <row r="78" spans="2:22" ht="15" customHeight="1">
      <c r="B78" s="330"/>
      <c r="C78" s="331"/>
      <c r="D78" s="337"/>
      <c r="E78" s="338"/>
      <c r="F78" s="338"/>
      <c r="G78" s="338"/>
      <c r="H78" s="338"/>
      <c r="I78" s="338"/>
      <c r="J78" s="338"/>
      <c r="K78" s="338"/>
      <c r="L78" s="339"/>
      <c r="N78" s="55"/>
      <c r="O78" s="55"/>
      <c r="P78" s="55"/>
      <c r="Q78" s="55"/>
      <c r="R78" s="55"/>
      <c r="S78" s="55"/>
      <c r="T78" s="55"/>
      <c r="U78" s="55"/>
      <c r="V78" s="55"/>
    </row>
    <row r="79" spans="2:22" ht="15" customHeight="1">
      <c r="B79" s="330"/>
      <c r="C79" s="331"/>
      <c r="D79" s="337"/>
      <c r="E79" s="338"/>
      <c r="F79" s="338"/>
      <c r="G79" s="338"/>
      <c r="H79" s="338"/>
      <c r="I79" s="338"/>
      <c r="J79" s="338"/>
      <c r="K79" s="338"/>
      <c r="L79" s="339"/>
      <c r="N79" s="55"/>
      <c r="O79" s="55"/>
      <c r="P79" s="55"/>
      <c r="Q79" s="55"/>
      <c r="R79" s="55"/>
      <c r="S79" s="55"/>
      <c r="T79" s="55"/>
      <c r="U79" s="55"/>
      <c r="V79" s="55"/>
    </row>
    <row r="80" spans="2:22" ht="15" customHeight="1">
      <c r="B80" s="330"/>
      <c r="C80" s="331"/>
      <c r="D80" s="337"/>
      <c r="E80" s="338"/>
      <c r="F80" s="338"/>
      <c r="G80" s="338"/>
      <c r="H80" s="338"/>
      <c r="I80" s="338"/>
      <c r="J80" s="338"/>
      <c r="K80" s="338"/>
      <c r="L80" s="339"/>
      <c r="N80" s="55"/>
      <c r="O80" s="55"/>
      <c r="P80" s="55"/>
      <c r="Q80" s="55"/>
      <c r="R80" s="55"/>
      <c r="S80" s="55"/>
      <c r="T80" s="55"/>
      <c r="U80" s="55"/>
      <c r="V80" s="55"/>
    </row>
    <row r="81" spans="2:22" ht="15" customHeight="1">
      <c r="B81" s="332"/>
      <c r="C81" s="333"/>
      <c r="D81" s="340"/>
      <c r="E81" s="341"/>
      <c r="F81" s="341"/>
      <c r="G81" s="341"/>
      <c r="H81" s="341"/>
      <c r="I81" s="341"/>
      <c r="J81" s="341"/>
      <c r="K81" s="341"/>
      <c r="L81" s="342"/>
      <c r="N81" s="55"/>
      <c r="O81" s="55"/>
      <c r="P81" s="55"/>
      <c r="Q81" s="55"/>
      <c r="R81" s="55"/>
      <c r="S81" s="55"/>
      <c r="T81" s="55"/>
      <c r="U81" s="55"/>
      <c r="V81" s="55"/>
    </row>
    <row r="82" spans="2:22" ht="15" customHeight="1">
      <c r="N82" s="55"/>
      <c r="O82" s="55"/>
      <c r="P82" s="55"/>
      <c r="Q82" s="55"/>
      <c r="R82" s="55"/>
      <c r="S82" s="55"/>
      <c r="T82" s="55"/>
      <c r="U82" s="55"/>
      <c r="V82" s="55"/>
    </row>
    <row r="83" spans="2:22" ht="15" customHeight="1">
      <c r="D83" s="174" t="s">
        <v>692</v>
      </c>
      <c r="E83" s="175" t="s">
        <v>693</v>
      </c>
      <c r="N83" s="55"/>
      <c r="O83" s="55"/>
      <c r="P83" s="55"/>
      <c r="Q83" s="55"/>
      <c r="R83" s="55"/>
      <c r="S83" s="55"/>
      <c r="T83" s="55"/>
      <c r="U83" s="55"/>
      <c r="V83" s="55"/>
    </row>
    <row r="84" spans="2:22" ht="15" customHeight="1">
      <c r="D84" s="181">
        <v>10</v>
      </c>
      <c r="E84" s="182">
        <v>25</v>
      </c>
      <c r="N84" s="55"/>
      <c r="O84" s="55"/>
      <c r="P84" s="55"/>
      <c r="Q84" s="55"/>
      <c r="R84" s="55"/>
      <c r="S84" s="55"/>
      <c r="T84" s="55"/>
      <c r="U84" s="55"/>
      <c r="V84" s="55"/>
    </row>
    <row r="85" spans="2:22" ht="15" customHeight="1">
      <c r="D85" s="177"/>
      <c r="E85" s="178"/>
      <c r="N85" s="55"/>
      <c r="O85" s="55"/>
      <c r="P85" s="55"/>
      <c r="Q85" s="55"/>
      <c r="R85" s="55"/>
      <c r="S85" s="55"/>
      <c r="T85" s="55"/>
      <c r="U85" s="55"/>
      <c r="V85" s="55"/>
    </row>
    <row r="86" spans="2:22" ht="15" customHeight="1">
      <c r="D86" s="355" t="s">
        <v>694</v>
      </c>
      <c r="E86" s="356"/>
      <c r="N86" s="55"/>
      <c r="O86" s="55"/>
      <c r="P86" s="55"/>
      <c r="Q86" s="55"/>
      <c r="R86" s="55"/>
      <c r="S86" s="55"/>
      <c r="T86" s="55"/>
      <c r="U86" s="55"/>
      <c r="V86" s="55"/>
    </row>
    <row r="87" spans="2:22" ht="15" customHeight="1">
      <c r="D87" s="357">
        <f>D84*E84</f>
        <v>250</v>
      </c>
      <c r="E87" s="358"/>
      <c r="N87" s="55"/>
      <c r="O87" s="55"/>
      <c r="P87" s="55"/>
      <c r="Q87" s="55"/>
      <c r="R87" s="55"/>
      <c r="S87" s="55"/>
      <c r="T87" s="55"/>
      <c r="U87" s="55"/>
      <c r="V87" s="55"/>
    </row>
    <row r="88" spans="2:22" ht="15" customHeight="1">
      <c r="D88" s="172"/>
      <c r="E88" s="172"/>
      <c r="N88" s="55"/>
      <c r="O88" s="55"/>
      <c r="P88" s="55"/>
      <c r="Q88" s="55"/>
      <c r="R88" s="55"/>
      <c r="S88" s="55"/>
      <c r="T88" s="55"/>
      <c r="U88" s="55"/>
      <c r="V88" s="55"/>
    </row>
    <row r="89" spans="2:22" ht="15" customHeight="1">
      <c r="B89" s="328" t="s">
        <v>695</v>
      </c>
      <c r="C89" s="329"/>
      <c r="D89" s="334" t="s">
        <v>696</v>
      </c>
      <c r="E89" s="335"/>
      <c r="F89" s="335"/>
      <c r="G89" s="335"/>
      <c r="H89" s="335"/>
      <c r="I89" s="335"/>
      <c r="J89" s="335"/>
      <c r="K89" s="335"/>
      <c r="L89" s="336"/>
    </row>
    <row r="90" spans="2:22" ht="15" customHeight="1">
      <c r="B90" s="330"/>
      <c r="C90" s="331"/>
      <c r="D90" s="337"/>
      <c r="E90" s="338"/>
      <c r="F90" s="338"/>
      <c r="G90" s="338"/>
      <c r="H90" s="338"/>
      <c r="I90" s="338"/>
      <c r="J90" s="338"/>
      <c r="K90" s="338"/>
      <c r="L90" s="339"/>
    </row>
    <row r="91" spans="2:22" ht="15" customHeight="1">
      <c r="B91" s="330"/>
      <c r="C91" s="331"/>
      <c r="D91" s="337"/>
      <c r="E91" s="338"/>
      <c r="F91" s="338"/>
      <c r="G91" s="338"/>
      <c r="H91" s="338"/>
      <c r="I91" s="338"/>
      <c r="J91" s="338"/>
      <c r="K91" s="338"/>
      <c r="L91" s="339"/>
    </row>
    <row r="92" spans="2:22" ht="15" customHeight="1">
      <c r="B92" s="330"/>
      <c r="C92" s="331"/>
      <c r="D92" s="337"/>
      <c r="E92" s="338"/>
      <c r="F92" s="338"/>
      <c r="G92" s="338"/>
      <c r="H92" s="338"/>
      <c r="I92" s="338"/>
      <c r="J92" s="338"/>
      <c r="K92" s="338"/>
      <c r="L92" s="339"/>
    </row>
    <row r="93" spans="2:22" ht="15" customHeight="1">
      <c r="B93" s="330"/>
      <c r="C93" s="331"/>
      <c r="D93" s="337"/>
      <c r="E93" s="338"/>
      <c r="F93" s="338"/>
      <c r="G93" s="338"/>
      <c r="H93" s="338"/>
      <c r="I93" s="338"/>
      <c r="J93" s="338"/>
      <c r="K93" s="338"/>
      <c r="L93" s="339"/>
    </row>
    <row r="94" spans="2:22" ht="15" customHeight="1">
      <c r="B94" s="330"/>
      <c r="C94" s="331"/>
      <c r="D94" s="359"/>
      <c r="E94" s="360"/>
      <c r="F94" s="360"/>
      <c r="G94" s="360"/>
      <c r="H94" s="360"/>
      <c r="I94" s="360"/>
      <c r="J94" s="360"/>
      <c r="K94" s="360"/>
      <c r="L94" s="361"/>
    </row>
    <row r="95" spans="2:22" ht="15" customHeight="1">
      <c r="B95" s="330"/>
      <c r="C95" s="331"/>
      <c r="D95" s="337" t="s">
        <v>697</v>
      </c>
      <c r="E95" s="338"/>
      <c r="F95" s="338"/>
      <c r="G95" s="338"/>
      <c r="H95" s="338"/>
      <c r="I95" s="338"/>
      <c r="J95" s="338"/>
      <c r="K95" s="338"/>
      <c r="L95" s="339"/>
    </row>
    <row r="96" spans="2:22" ht="15" customHeight="1">
      <c r="B96" s="330"/>
      <c r="C96" s="331"/>
      <c r="D96" s="337"/>
      <c r="E96" s="338"/>
      <c r="F96" s="338"/>
      <c r="G96" s="338"/>
      <c r="H96" s="338"/>
      <c r="I96" s="338"/>
      <c r="J96" s="338"/>
      <c r="K96" s="338"/>
      <c r="L96" s="339"/>
    </row>
    <row r="97" spans="2:12" ht="15" customHeight="1">
      <c r="B97" s="330"/>
      <c r="C97" s="331"/>
      <c r="D97" s="359"/>
      <c r="E97" s="360"/>
      <c r="F97" s="360"/>
      <c r="G97" s="360"/>
      <c r="H97" s="360"/>
      <c r="I97" s="360"/>
      <c r="J97" s="360"/>
      <c r="K97" s="360"/>
      <c r="L97" s="361"/>
    </row>
    <row r="98" spans="2:12" ht="15" customHeight="1">
      <c r="B98" s="330"/>
      <c r="C98" s="331"/>
      <c r="D98" s="337" t="s">
        <v>698</v>
      </c>
      <c r="E98" s="338"/>
      <c r="F98" s="338"/>
      <c r="G98" s="338"/>
      <c r="H98" s="338"/>
      <c r="I98" s="338"/>
      <c r="J98" s="338"/>
      <c r="K98" s="338"/>
      <c r="L98" s="339"/>
    </row>
    <row r="99" spans="2:12" ht="15" customHeight="1">
      <c r="B99" s="330"/>
      <c r="C99" s="331"/>
      <c r="D99" s="337"/>
      <c r="E99" s="338"/>
      <c r="F99" s="338"/>
      <c r="G99" s="338"/>
      <c r="H99" s="338"/>
      <c r="I99" s="338"/>
      <c r="J99" s="338"/>
      <c r="K99" s="338"/>
      <c r="L99" s="339"/>
    </row>
    <row r="100" spans="2:12" ht="15" customHeight="1">
      <c r="B100" s="330"/>
      <c r="C100" s="331"/>
      <c r="D100" s="337"/>
      <c r="E100" s="338"/>
      <c r="F100" s="338"/>
      <c r="G100" s="338"/>
      <c r="H100" s="338"/>
      <c r="I100" s="338"/>
      <c r="J100" s="338"/>
      <c r="K100" s="338"/>
      <c r="L100" s="339"/>
    </row>
    <row r="101" spans="2:12" ht="15" customHeight="1">
      <c r="B101" s="330"/>
      <c r="C101" s="331"/>
      <c r="D101" s="337"/>
      <c r="E101" s="338"/>
      <c r="F101" s="338"/>
      <c r="G101" s="338"/>
      <c r="H101" s="338"/>
      <c r="I101" s="338"/>
      <c r="J101" s="338"/>
      <c r="K101" s="338"/>
      <c r="L101" s="339"/>
    </row>
    <row r="102" spans="2:12" ht="15" customHeight="1">
      <c r="B102" s="330"/>
      <c r="C102" s="331"/>
      <c r="D102" s="337"/>
      <c r="E102" s="338"/>
      <c r="F102" s="338"/>
      <c r="G102" s="338"/>
      <c r="H102" s="338"/>
      <c r="I102" s="338"/>
      <c r="J102" s="338"/>
      <c r="K102" s="338"/>
      <c r="L102" s="339"/>
    </row>
    <row r="103" spans="2:12" ht="15" customHeight="1">
      <c r="B103" s="332"/>
      <c r="C103" s="333"/>
      <c r="D103" s="340"/>
      <c r="E103" s="341"/>
      <c r="F103" s="341"/>
      <c r="G103" s="341"/>
      <c r="H103" s="341"/>
      <c r="I103" s="341"/>
      <c r="J103" s="341"/>
      <c r="K103" s="341"/>
      <c r="L103" s="342"/>
    </row>
    <row r="105" spans="2:12" ht="15" customHeight="1">
      <c r="D105" s="174" t="s">
        <v>692</v>
      </c>
      <c r="E105" s="176"/>
      <c r="F105" s="176" t="s">
        <v>693</v>
      </c>
      <c r="G105" s="176"/>
      <c r="H105" s="175" t="s">
        <v>694</v>
      </c>
      <c r="J105" s="362" t="s">
        <v>699</v>
      </c>
      <c r="K105" s="362" t="s">
        <v>700</v>
      </c>
    </row>
    <row r="106" spans="2:12" ht="15" customHeight="1">
      <c r="D106" s="183">
        <v>10</v>
      </c>
      <c r="E106" s="185" t="s">
        <v>701</v>
      </c>
      <c r="F106" s="186">
        <v>10</v>
      </c>
      <c r="G106" s="186" t="s">
        <v>702</v>
      </c>
      <c r="H106" s="184">
        <f>D106*F106</f>
        <v>100</v>
      </c>
      <c r="J106" s="363"/>
      <c r="K106" s="363"/>
    </row>
    <row r="107" spans="2:12" ht="15" customHeight="1">
      <c r="D107" s="172"/>
      <c r="E107" s="172"/>
      <c r="F107" s="172"/>
      <c r="G107" s="172"/>
      <c r="J107" s="187">
        <f>D106</f>
        <v>10</v>
      </c>
      <c r="K107" s="188">
        <f>H106</f>
        <v>100</v>
      </c>
    </row>
    <row r="108" spans="2:12" ht="15" customHeight="1">
      <c r="J108" s="189">
        <v>15</v>
      </c>
      <c r="K108" s="190"/>
    </row>
    <row r="109" spans="2:12" ht="15" customHeight="1">
      <c r="J109" s="189">
        <v>20</v>
      </c>
      <c r="K109" s="191"/>
    </row>
    <row r="110" spans="2:12" ht="15" customHeight="1">
      <c r="J110" s="189">
        <v>25</v>
      </c>
      <c r="K110" s="191"/>
    </row>
    <row r="111" spans="2:12" ht="15" customHeight="1">
      <c r="J111" s="189">
        <v>30</v>
      </c>
      <c r="K111" s="191"/>
    </row>
    <row r="112" spans="2:12" ht="15" customHeight="1">
      <c r="D112" s="172"/>
      <c r="J112" s="189">
        <v>35</v>
      </c>
      <c r="K112" s="191"/>
    </row>
    <row r="113" spans="2:12" ht="15" customHeight="1">
      <c r="J113" s="189">
        <v>40</v>
      </c>
      <c r="K113" s="191"/>
    </row>
    <row r="115" spans="2:12" ht="15" customHeight="1">
      <c r="B115" s="328" t="s">
        <v>703</v>
      </c>
      <c r="C115" s="329"/>
      <c r="D115" s="334" t="s">
        <v>704</v>
      </c>
      <c r="E115" s="335"/>
      <c r="F115" s="335"/>
      <c r="G115" s="335"/>
      <c r="H115" s="335"/>
      <c r="I115" s="335"/>
      <c r="J115" s="335"/>
      <c r="K115" s="335"/>
      <c r="L115" s="336"/>
    </row>
    <row r="116" spans="2:12" ht="15" customHeight="1">
      <c r="B116" s="330"/>
      <c r="C116" s="331"/>
      <c r="D116" s="337"/>
      <c r="E116" s="338"/>
      <c r="F116" s="338"/>
      <c r="G116" s="338"/>
      <c r="H116" s="338"/>
      <c r="I116" s="338"/>
      <c r="J116" s="338"/>
      <c r="K116" s="338"/>
      <c r="L116" s="339"/>
    </row>
    <row r="117" spans="2:12" ht="15" customHeight="1">
      <c r="B117" s="330"/>
      <c r="C117" s="331"/>
      <c r="D117" s="337"/>
      <c r="E117" s="338"/>
      <c r="F117" s="338"/>
      <c r="G117" s="338"/>
      <c r="H117" s="338"/>
      <c r="I117" s="338"/>
      <c r="J117" s="338"/>
      <c r="K117" s="338"/>
      <c r="L117" s="339"/>
    </row>
    <row r="118" spans="2:12" ht="15" customHeight="1">
      <c r="B118" s="330"/>
      <c r="C118" s="331"/>
      <c r="D118" s="337"/>
      <c r="E118" s="338"/>
      <c r="F118" s="338"/>
      <c r="G118" s="338"/>
      <c r="H118" s="338"/>
      <c r="I118" s="338"/>
      <c r="J118" s="338"/>
      <c r="K118" s="338"/>
      <c r="L118" s="339"/>
    </row>
    <row r="119" spans="2:12" ht="15" customHeight="1">
      <c r="B119" s="330"/>
      <c r="C119" s="331"/>
      <c r="D119" s="337"/>
      <c r="E119" s="338"/>
      <c r="F119" s="338"/>
      <c r="G119" s="338"/>
      <c r="H119" s="338"/>
      <c r="I119" s="338"/>
      <c r="J119" s="338"/>
      <c r="K119" s="338"/>
      <c r="L119" s="339"/>
    </row>
    <row r="120" spans="2:12" ht="15" customHeight="1">
      <c r="B120" s="330"/>
      <c r="C120" s="331"/>
      <c r="D120" s="337"/>
      <c r="E120" s="338"/>
      <c r="F120" s="338"/>
      <c r="G120" s="338"/>
      <c r="H120" s="338"/>
      <c r="I120" s="338"/>
      <c r="J120" s="338"/>
      <c r="K120" s="338"/>
      <c r="L120" s="339"/>
    </row>
    <row r="121" spans="2:12" ht="15" customHeight="1">
      <c r="B121" s="330"/>
      <c r="C121" s="331"/>
      <c r="D121" s="337"/>
      <c r="E121" s="338"/>
      <c r="F121" s="338"/>
      <c r="G121" s="338"/>
      <c r="H121" s="338"/>
      <c r="I121" s="338"/>
      <c r="J121" s="338"/>
      <c r="K121" s="338"/>
      <c r="L121" s="339"/>
    </row>
    <row r="122" spans="2:12" ht="15" customHeight="1">
      <c r="B122" s="332"/>
      <c r="C122" s="333"/>
      <c r="D122" s="340"/>
      <c r="E122" s="341"/>
      <c r="F122" s="341"/>
      <c r="G122" s="341"/>
      <c r="H122" s="341"/>
      <c r="I122" s="341"/>
      <c r="J122" s="341"/>
      <c r="K122" s="341"/>
      <c r="L122" s="342"/>
    </row>
    <row r="123" spans="2:12" ht="15" customHeight="1">
      <c r="F123" s="169"/>
      <c r="G123" s="169"/>
      <c r="H123" s="169"/>
      <c r="I123" s="169"/>
      <c r="J123" s="169"/>
      <c r="K123" s="169"/>
      <c r="L123" s="169"/>
    </row>
    <row r="124" spans="2:12" ht="15" customHeight="1">
      <c r="D124" s="174" t="s">
        <v>692</v>
      </c>
      <c r="E124" s="176"/>
      <c r="F124" s="176" t="s">
        <v>693</v>
      </c>
      <c r="G124" s="176"/>
      <c r="H124" s="175" t="s">
        <v>694</v>
      </c>
      <c r="I124" s="169"/>
      <c r="J124" s="169"/>
      <c r="K124" s="169"/>
      <c r="L124" s="169"/>
    </row>
    <row r="125" spans="2:12" ht="15" customHeight="1">
      <c r="D125" s="183">
        <v>10</v>
      </c>
      <c r="E125" s="185" t="s">
        <v>701</v>
      </c>
      <c r="F125" s="186">
        <v>10</v>
      </c>
      <c r="G125" s="186" t="s">
        <v>702</v>
      </c>
      <c r="H125" s="184">
        <f>D125*F125</f>
        <v>100</v>
      </c>
    </row>
    <row r="126" spans="2:12" ht="15" customHeight="1">
      <c r="F126" s="169"/>
      <c r="G126" s="169"/>
      <c r="H126" s="169"/>
    </row>
    <row r="127" spans="2:12" ht="15" customHeight="1">
      <c r="D127" s="192">
        <f>H125</f>
        <v>100</v>
      </c>
      <c r="E127" s="193">
        <v>10</v>
      </c>
      <c r="F127" s="193">
        <v>11</v>
      </c>
      <c r="G127" s="194">
        <v>12</v>
      </c>
      <c r="H127" s="194">
        <v>13</v>
      </c>
      <c r="I127" s="194">
        <v>14</v>
      </c>
      <c r="J127" s="55"/>
    </row>
    <row r="128" spans="2:12" ht="15" customHeight="1">
      <c r="D128" s="195">
        <v>10</v>
      </c>
      <c r="E128" s="196"/>
      <c r="F128" s="196"/>
      <c r="G128" s="197"/>
      <c r="H128" s="197"/>
      <c r="I128" s="197"/>
    </row>
    <row r="129" spans="2:12" ht="15" customHeight="1">
      <c r="D129" s="195">
        <v>20</v>
      </c>
      <c r="E129" s="196"/>
      <c r="F129" s="196"/>
      <c r="G129" s="197"/>
      <c r="H129" s="197"/>
      <c r="I129" s="197"/>
    </row>
    <row r="130" spans="2:12" ht="15" customHeight="1">
      <c r="D130" s="195">
        <v>30</v>
      </c>
      <c r="E130" s="196"/>
      <c r="F130" s="196"/>
      <c r="G130" s="197"/>
      <c r="H130" s="197"/>
      <c r="I130" s="197"/>
    </row>
    <row r="131" spans="2:12" ht="15" customHeight="1">
      <c r="D131" s="195">
        <v>40</v>
      </c>
      <c r="E131" s="196"/>
      <c r="F131" s="196"/>
      <c r="G131" s="197"/>
      <c r="H131" s="197"/>
      <c r="I131" s="197"/>
      <c r="K131" s="169"/>
      <c r="L131" s="169"/>
    </row>
    <row r="132" spans="2:12" ht="15" customHeight="1">
      <c r="D132" s="195">
        <v>50</v>
      </c>
      <c r="E132" s="196"/>
      <c r="F132" s="196"/>
      <c r="G132" s="197"/>
      <c r="H132" s="197"/>
      <c r="I132" s="197"/>
      <c r="K132" s="169"/>
      <c r="L132" s="169"/>
    </row>
    <row r="133" spans="2:12" ht="15" customHeight="1">
      <c r="D133" s="55"/>
      <c r="K133" s="169"/>
      <c r="L133" s="169"/>
    </row>
    <row r="134" spans="2:12" ht="15" customHeight="1">
      <c r="B134" s="328" t="s">
        <v>705</v>
      </c>
      <c r="C134" s="329"/>
      <c r="D134" s="334" t="s">
        <v>706</v>
      </c>
      <c r="E134" s="335"/>
      <c r="F134" s="335"/>
      <c r="G134" s="335"/>
      <c r="H134" s="335"/>
      <c r="I134" s="335"/>
      <c r="J134" s="335"/>
      <c r="K134" s="335"/>
      <c r="L134" s="336"/>
    </row>
    <row r="135" spans="2:12" ht="15" customHeight="1">
      <c r="B135" s="330"/>
      <c r="C135" s="331"/>
      <c r="D135" s="337"/>
      <c r="E135" s="338"/>
      <c r="F135" s="338"/>
      <c r="G135" s="338"/>
      <c r="H135" s="338"/>
      <c r="I135" s="338"/>
      <c r="J135" s="338"/>
      <c r="K135" s="338"/>
      <c r="L135" s="339"/>
    </row>
    <row r="136" spans="2:12" ht="15" customHeight="1">
      <c r="B136" s="330"/>
      <c r="C136" s="331"/>
      <c r="D136" s="337"/>
      <c r="E136" s="338"/>
      <c r="F136" s="338"/>
      <c r="G136" s="338"/>
      <c r="H136" s="338"/>
      <c r="I136" s="338"/>
      <c r="J136" s="338"/>
      <c r="K136" s="338"/>
      <c r="L136" s="339"/>
    </row>
    <row r="137" spans="2:12" ht="15" customHeight="1">
      <c r="B137" s="330"/>
      <c r="C137" s="331"/>
      <c r="D137" s="337"/>
      <c r="E137" s="338"/>
      <c r="F137" s="338"/>
      <c r="G137" s="338"/>
      <c r="H137" s="338"/>
      <c r="I137" s="338"/>
      <c r="J137" s="338"/>
      <c r="K137" s="338"/>
      <c r="L137" s="339"/>
    </row>
    <row r="138" spans="2:12" ht="15" customHeight="1">
      <c r="B138" s="330"/>
      <c r="C138" s="331"/>
      <c r="D138" s="337"/>
      <c r="E138" s="338"/>
      <c r="F138" s="338"/>
      <c r="G138" s="338"/>
      <c r="H138" s="338"/>
      <c r="I138" s="338"/>
      <c r="J138" s="338"/>
      <c r="K138" s="338"/>
      <c r="L138" s="339"/>
    </row>
    <row r="139" spans="2:12" ht="15" customHeight="1">
      <c r="B139" s="330"/>
      <c r="C139" s="331"/>
      <c r="D139" s="359"/>
      <c r="E139" s="360"/>
      <c r="F139" s="360"/>
      <c r="G139" s="360"/>
      <c r="H139" s="360"/>
      <c r="I139" s="360"/>
      <c r="J139" s="360"/>
      <c r="K139" s="360"/>
      <c r="L139" s="361"/>
    </row>
    <row r="140" spans="2:12" ht="15" customHeight="1">
      <c r="B140" s="330"/>
      <c r="C140" s="331"/>
      <c r="D140" s="337" t="s">
        <v>707</v>
      </c>
      <c r="E140" s="338"/>
      <c r="F140" s="338"/>
      <c r="G140" s="338"/>
      <c r="H140" s="338"/>
      <c r="I140" s="338"/>
      <c r="J140" s="338"/>
      <c r="K140" s="338"/>
      <c r="L140" s="339"/>
    </row>
    <row r="141" spans="2:12" ht="15" customHeight="1">
      <c r="B141" s="330"/>
      <c r="C141" s="331"/>
      <c r="D141" s="337"/>
      <c r="E141" s="338"/>
      <c r="F141" s="338"/>
      <c r="G141" s="338"/>
      <c r="H141" s="338"/>
      <c r="I141" s="338"/>
      <c r="J141" s="338"/>
      <c r="K141" s="338"/>
      <c r="L141" s="339"/>
    </row>
    <row r="142" spans="2:12" ht="15" customHeight="1">
      <c r="B142" s="330"/>
      <c r="C142" s="331"/>
      <c r="D142" s="337"/>
      <c r="E142" s="338"/>
      <c r="F142" s="338"/>
      <c r="G142" s="338"/>
      <c r="H142" s="338"/>
      <c r="I142" s="338"/>
      <c r="J142" s="338"/>
      <c r="K142" s="338"/>
      <c r="L142" s="339"/>
    </row>
    <row r="143" spans="2:12" ht="15" customHeight="1">
      <c r="B143" s="330"/>
      <c r="C143" s="331"/>
      <c r="D143" s="337"/>
      <c r="E143" s="338"/>
      <c r="F143" s="338"/>
      <c r="G143" s="338"/>
      <c r="H143" s="338"/>
      <c r="I143" s="338"/>
      <c r="J143" s="338"/>
      <c r="K143" s="338"/>
      <c r="L143" s="339"/>
    </row>
    <row r="144" spans="2:12" ht="15" customHeight="1">
      <c r="B144" s="330"/>
      <c r="C144" s="331"/>
      <c r="D144" s="337"/>
      <c r="E144" s="338"/>
      <c r="F144" s="338"/>
      <c r="G144" s="338"/>
      <c r="H144" s="338"/>
      <c r="I144" s="338"/>
      <c r="J144" s="338"/>
      <c r="K144" s="338"/>
      <c r="L144" s="339"/>
    </row>
    <row r="145" spans="2:12" ht="15" customHeight="1">
      <c r="B145" s="330"/>
      <c r="C145" s="331"/>
      <c r="D145" s="337"/>
      <c r="E145" s="338"/>
      <c r="F145" s="338"/>
      <c r="G145" s="338"/>
      <c r="H145" s="338"/>
      <c r="I145" s="338"/>
      <c r="J145" s="338"/>
      <c r="K145" s="338"/>
      <c r="L145" s="339"/>
    </row>
    <row r="146" spans="2:12" ht="15" customHeight="1">
      <c r="B146" s="332"/>
      <c r="C146" s="333"/>
      <c r="D146" s="340"/>
      <c r="E146" s="341"/>
      <c r="F146" s="341"/>
      <c r="G146" s="341"/>
      <c r="H146" s="341"/>
      <c r="I146" s="341"/>
      <c r="J146" s="341"/>
      <c r="K146" s="341"/>
      <c r="L146" s="342"/>
    </row>
    <row r="148" spans="2:12" ht="15" customHeight="1">
      <c r="B148" s="198" t="s">
        <v>708</v>
      </c>
      <c r="C148" s="198" t="s">
        <v>709</v>
      </c>
      <c r="D148" s="198" t="s">
        <v>710</v>
      </c>
      <c r="E148" s="366" t="s">
        <v>105</v>
      </c>
      <c r="F148" s="366"/>
      <c r="G148" s="366"/>
      <c r="H148" s="366"/>
      <c r="I148" s="366"/>
      <c r="J148" s="366"/>
      <c r="K148" s="366"/>
      <c r="L148" s="366"/>
    </row>
    <row r="149" spans="2:12" ht="15" customHeight="1">
      <c r="B149" s="199" t="s">
        <v>711</v>
      </c>
      <c r="C149" s="200">
        <v>1</v>
      </c>
      <c r="D149" s="200" t="s">
        <v>712</v>
      </c>
      <c r="E149" s="367" t="s">
        <v>713</v>
      </c>
      <c r="F149" s="367"/>
      <c r="G149" s="367"/>
      <c r="H149" s="367"/>
      <c r="I149" s="367"/>
      <c r="J149" s="367"/>
      <c r="K149" s="367"/>
      <c r="L149" s="368"/>
    </row>
    <row r="150" spans="2:12" ht="15" customHeight="1">
      <c r="B150" s="201" t="s">
        <v>655</v>
      </c>
      <c r="C150" s="202">
        <v>1</v>
      </c>
      <c r="D150" s="202" t="s">
        <v>712</v>
      </c>
      <c r="E150" s="369" t="s">
        <v>714</v>
      </c>
      <c r="F150" s="369"/>
      <c r="G150" s="369"/>
      <c r="H150" s="369"/>
      <c r="I150" s="369"/>
      <c r="J150" s="369"/>
      <c r="K150" s="369"/>
      <c r="L150" s="370"/>
    </row>
    <row r="151" spans="2:12" ht="15" customHeight="1">
      <c r="B151" s="203" t="s">
        <v>715</v>
      </c>
      <c r="C151" s="200">
        <v>1</v>
      </c>
      <c r="D151" s="200" t="s">
        <v>712</v>
      </c>
      <c r="E151" s="364" t="s">
        <v>716</v>
      </c>
      <c r="F151" s="364"/>
      <c r="G151" s="364"/>
      <c r="H151" s="364"/>
      <c r="I151" s="364"/>
      <c r="J151" s="364"/>
      <c r="K151" s="364"/>
      <c r="L151" s="365"/>
    </row>
    <row r="152" spans="2:12" ht="15" customHeight="1">
      <c r="B152" s="170"/>
      <c r="E152" s="180"/>
      <c r="F152" s="180"/>
      <c r="G152" s="180"/>
      <c r="H152" s="180"/>
      <c r="I152" s="180"/>
      <c r="J152" s="180"/>
      <c r="K152" s="180"/>
      <c r="L152" s="206"/>
    </row>
    <row r="153" spans="2:12" ht="15" customHeight="1">
      <c r="B153" s="198" t="s">
        <v>717</v>
      </c>
      <c r="C153" s="198" t="s">
        <v>709</v>
      </c>
      <c r="D153" s="198" t="s">
        <v>710</v>
      </c>
      <c r="E153" s="366" t="s">
        <v>105</v>
      </c>
      <c r="F153" s="366"/>
      <c r="G153" s="366"/>
      <c r="H153" s="366"/>
      <c r="I153" s="366"/>
      <c r="J153" s="366"/>
      <c r="K153" s="366"/>
      <c r="L153" s="366"/>
    </row>
    <row r="154" spans="2:12" ht="15" customHeight="1">
      <c r="B154" s="199" t="s">
        <v>718</v>
      </c>
      <c r="C154" s="200">
        <v>15.8</v>
      </c>
      <c r="D154" s="200" t="s">
        <v>719</v>
      </c>
      <c r="E154" s="367" t="s">
        <v>720</v>
      </c>
      <c r="F154" s="367"/>
      <c r="G154" s="367"/>
      <c r="H154" s="367"/>
      <c r="I154" s="367"/>
      <c r="J154" s="367"/>
      <c r="K154" s="367"/>
      <c r="L154" s="368"/>
    </row>
    <row r="155" spans="2:12" ht="15" customHeight="1">
      <c r="B155" s="201" t="s">
        <v>721</v>
      </c>
      <c r="C155" s="207">
        <v>74</v>
      </c>
      <c r="D155" s="202" t="s">
        <v>719</v>
      </c>
      <c r="E155" s="369" t="s">
        <v>722</v>
      </c>
      <c r="F155" s="369"/>
      <c r="G155" s="369"/>
      <c r="H155" s="369"/>
      <c r="I155" s="369"/>
      <c r="J155" s="369"/>
      <c r="K155" s="369"/>
      <c r="L155" s="370"/>
    </row>
    <row r="156" spans="2:12" ht="15" customHeight="1">
      <c r="B156" s="203" t="s">
        <v>723</v>
      </c>
      <c r="C156" s="208">
        <v>35.67</v>
      </c>
      <c r="D156" s="200" t="s">
        <v>719</v>
      </c>
      <c r="E156" s="364" t="s">
        <v>724</v>
      </c>
      <c r="F156" s="364"/>
      <c r="G156" s="364"/>
      <c r="H156" s="364"/>
      <c r="I156" s="364"/>
      <c r="J156" s="364"/>
      <c r="K156" s="364"/>
      <c r="L156" s="365"/>
    </row>
    <row r="157" spans="2:12" ht="15" customHeight="1">
      <c r="B157" s="177"/>
      <c r="C157" s="171"/>
      <c r="E157" s="209"/>
      <c r="F157" s="209"/>
      <c r="G157" s="209"/>
      <c r="H157" s="209"/>
      <c r="I157" s="209"/>
      <c r="J157" s="209"/>
      <c r="K157" s="209"/>
      <c r="L157" s="210"/>
    </row>
    <row r="158" spans="2:12" ht="15" customHeight="1">
      <c r="B158" s="198" t="s">
        <v>725</v>
      </c>
      <c r="C158" s="198" t="s">
        <v>709</v>
      </c>
      <c r="D158" s="198" t="s">
        <v>710</v>
      </c>
      <c r="E158" s="366" t="s">
        <v>105</v>
      </c>
      <c r="F158" s="366"/>
      <c r="G158" s="366"/>
      <c r="H158" s="366"/>
      <c r="I158" s="366"/>
      <c r="J158" s="366"/>
      <c r="K158" s="366"/>
      <c r="L158" s="366"/>
    </row>
    <row r="159" spans="2:12" ht="15" customHeight="1">
      <c r="B159" s="199" t="s">
        <v>718</v>
      </c>
      <c r="C159" s="211">
        <v>159302</v>
      </c>
      <c r="D159" s="200" t="s">
        <v>726</v>
      </c>
      <c r="E159" s="367" t="s">
        <v>727</v>
      </c>
      <c r="F159" s="367"/>
      <c r="G159" s="367"/>
      <c r="H159" s="367"/>
      <c r="I159" s="367"/>
      <c r="J159" s="367"/>
      <c r="K159" s="367"/>
      <c r="L159" s="368"/>
    </row>
    <row r="160" spans="2:12" ht="15" customHeight="1">
      <c r="B160" s="201" t="s">
        <v>721</v>
      </c>
      <c r="C160" s="212">
        <v>230500</v>
      </c>
      <c r="D160" s="202" t="s">
        <v>726</v>
      </c>
      <c r="E160" s="369" t="s">
        <v>728</v>
      </c>
      <c r="F160" s="369"/>
      <c r="G160" s="369"/>
      <c r="H160" s="369"/>
      <c r="I160" s="369"/>
      <c r="J160" s="369"/>
      <c r="K160" s="369"/>
      <c r="L160" s="370"/>
    </row>
    <row r="161" spans="2:12" ht="15" customHeight="1">
      <c r="B161" s="203" t="s">
        <v>723</v>
      </c>
      <c r="C161" s="211">
        <v>1754500</v>
      </c>
      <c r="D161" s="200" t="s">
        <v>726</v>
      </c>
      <c r="E161" s="364" t="s">
        <v>729</v>
      </c>
      <c r="F161" s="364"/>
      <c r="G161" s="364"/>
      <c r="H161" s="364"/>
      <c r="I161" s="364"/>
      <c r="J161" s="364"/>
      <c r="K161" s="364"/>
      <c r="L161" s="365"/>
    </row>
    <row r="162" spans="2:12" ht="15" customHeight="1">
      <c r="B162" s="203"/>
      <c r="C162" s="211"/>
      <c r="D162" s="200"/>
      <c r="E162" s="204"/>
      <c r="F162" s="204"/>
      <c r="G162" s="204"/>
      <c r="H162" s="204"/>
      <c r="I162" s="204"/>
      <c r="J162" s="204"/>
      <c r="K162" s="204"/>
      <c r="L162" s="205"/>
    </row>
    <row r="163" spans="2:12" ht="15" customHeight="1">
      <c r="B163" s="198" t="s">
        <v>730</v>
      </c>
      <c r="C163" s="198" t="s">
        <v>709</v>
      </c>
      <c r="D163" s="198" t="s">
        <v>710</v>
      </c>
      <c r="E163" s="366" t="s">
        <v>105</v>
      </c>
      <c r="F163" s="366"/>
      <c r="G163" s="366"/>
      <c r="H163" s="366"/>
      <c r="I163" s="366"/>
      <c r="J163" s="366"/>
      <c r="K163" s="366"/>
      <c r="L163" s="366"/>
    </row>
    <row r="164" spans="2:12" ht="15" customHeight="1">
      <c r="B164" s="199" t="s">
        <v>718</v>
      </c>
      <c r="C164" s="213">
        <v>2</v>
      </c>
      <c r="D164" s="200" t="s">
        <v>731</v>
      </c>
      <c r="E164" s="367" t="s">
        <v>732</v>
      </c>
      <c r="F164" s="367"/>
      <c r="G164" s="367"/>
      <c r="H164" s="367"/>
      <c r="I164" s="367"/>
      <c r="J164" s="367"/>
      <c r="K164" s="367"/>
      <c r="L164" s="368"/>
    </row>
    <row r="165" spans="2:12" ht="15" customHeight="1">
      <c r="B165" s="201" t="s">
        <v>721</v>
      </c>
      <c r="C165" s="214">
        <v>2</v>
      </c>
      <c r="D165" s="202" t="s">
        <v>731</v>
      </c>
      <c r="E165" s="369" t="s">
        <v>733</v>
      </c>
      <c r="F165" s="369"/>
      <c r="G165" s="369"/>
      <c r="H165" s="369"/>
      <c r="I165" s="369"/>
      <c r="J165" s="369"/>
      <c r="K165" s="369"/>
      <c r="L165" s="370"/>
    </row>
    <row r="166" spans="2:12" ht="15" customHeight="1">
      <c r="B166" s="203" t="s">
        <v>723</v>
      </c>
      <c r="C166" s="213">
        <v>2</v>
      </c>
      <c r="D166" s="200" t="s">
        <v>731</v>
      </c>
      <c r="E166" s="364" t="s">
        <v>734</v>
      </c>
      <c r="F166" s="364"/>
      <c r="G166" s="364"/>
      <c r="H166" s="364"/>
      <c r="I166" s="364"/>
      <c r="J166" s="364"/>
      <c r="K166" s="364"/>
      <c r="L166" s="365"/>
    </row>
    <row r="167" spans="2:12" ht="15" customHeight="1">
      <c r="B167" s="215"/>
      <c r="C167" s="216"/>
      <c r="D167" s="217"/>
      <c r="E167" s="218"/>
      <c r="F167" s="218"/>
      <c r="G167" s="218"/>
      <c r="H167" s="218"/>
      <c r="I167" s="218"/>
      <c r="J167" s="218"/>
      <c r="K167" s="218"/>
      <c r="L167" s="219"/>
    </row>
    <row r="168" spans="2:12" ht="15" customHeight="1">
      <c r="B168" s="198" t="s">
        <v>735</v>
      </c>
      <c r="C168" s="198" t="s">
        <v>709</v>
      </c>
      <c r="D168" s="198" t="s">
        <v>710</v>
      </c>
      <c r="E168" s="366" t="s">
        <v>105</v>
      </c>
      <c r="F168" s="366"/>
      <c r="G168" s="366"/>
      <c r="H168" s="366"/>
      <c r="I168" s="366"/>
      <c r="J168" s="366"/>
      <c r="K168" s="366"/>
      <c r="L168" s="366"/>
    </row>
    <row r="169" spans="2:12" ht="15" customHeight="1">
      <c r="B169" s="199" t="s">
        <v>718</v>
      </c>
      <c r="C169" s="220">
        <v>0.67</v>
      </c>
      <c r="D169" s="200" t="s">
        <v>736</v>
      </c>
      <c r="E169" s="367" t="s">
        <v>737</v>
      </c>
      <c r="F169" s="367"/>
      <c r="G169" s="367"/>
      <c r="H169" s="367"/>
      <c r="I169" s="367"/>
      <c r="J169" s="367"/>
      <c r="K169" s="367"/>
      <c r="L169" s="368"/>
    </row>
    <row r="170" spans="2:12" ht="15" customHeight="1">
      <c r="B170" s="201" t="s">
        <v>721</v>
      </c>
      <c r="C170" s="221">
        <v>0.5</v>
      </c>
      <c r="D170" s="202" t="s">
        <v>736</v>
      </c>
      <c r="E170" s="369" t="s">
        <v>738</v>
      </c>
      <c r="F170" s="369"/>
      <c r="G170" s="369"/>
      <c r="H170" s="369"/>
      <c r="I170" s="369"/>
      <c r="J170" s="369"/>
      <c r="K170" s="369"/>
      <c r="L170" s="370"/>
    </row>
    <row r="171" spans="2:12" ht="15" customHeight="1">
      <c r="B171" s="203" t="s">
        <v>723</v>
      </c>
      <c r="C171" s="220">
        <v>1</v>
      </c>
      <c r="D171" s="200" t="s">
        <v>736</v>
      </c>
      <c r="E171" s="364" t="s">
        <v>737</v>
      </c>
      <c r="F171" s="364"/>
      <c r="G171" s="364"/>
      <c r="H171" s="364"/>
      <c r="I171" s="364"/>
      <c r="J171" s="364"/>
      <c r="K171" s="364"/>
      <c r="L171" s="365"/>
    </row>
    <row r="172" spans="2:12" ht="15" customHeight="1">
      <c r="B172" s="177"/>
      <c r="C172" s="222"/>
      <c r="E172" s="209"/>
      <c r="F172" s="209"/>
      <c r="G172" s="209"/>
      <c r="H172" s="209"/>
      <c r="I172" s="209"/>
      <c r="J172" s="209"/>
      <c r="K172" s="209"/>
      <c r="L172" s="210"/>
    </row>
    <row r="173" spans="2:12" ht="15" customHeight="1">
      <c r="B173" s="198" t="s">
        <v>739</v>
      </c>
      <c r="C173" s="198" t="s">
        <v>709</v>
      </c>
      <c r="D173" s="198" t="s">
        <v>710</v>
      </c>
      <c r="E173" s="366" t="s">
        <v>105</v>
      </c>
      <c r="F173" s="366"/>
      <c r="G173" s="366"/>
      <c r="H173" s="366"/>
      <c r="I173" s="366"/>
      <c r="J173" s="366"/>
      <c r="K173" s="366"/>
      <c r="L173" s="366"/>
    </row>
    <row r="174" spans="2:12" ht="15" customHeight="1">
      <c r="B174" s="199" t="s">
        <v>718</v>
      </c>
      <c r="C174" s="213">
        <v>3.2</v>
      </c>
      <c r="D174" s="200" t="s">
        <v>740</v>
      </c>
      <c r="E174" s="367" t="s">
        <v>741</v>
      </c>
      <c r="F174" s="367"/>
      <c r="G174" s="367"/>
      <c r="H174" s="367"/>
      <c r="I174" s="367"/>
      <c r="J174" s="367"/>
      <c r="K174" s="367"/>
      <c r="L174" s="368"/>
    </row>
    <row r="175" spans="2:12" ht="15" customHeight="1">
      <c r="B175" s="201" t="s">
        <v>721</v>
      </c>
      <c r="C175" s="214">
        <v>4.2</v>
      </c>
      <c r="D175" s="202" t="s">
        <v>740</v>
      </c>
      <c r="E175" s="369" t="s">
        <v>742</v>
      </c>
      <c r="F175" s="369"/>
      <c r="G175" s="369"/>
      <c r="H175" s="369"/>
      <c r="I175" s="369"/>
      <c r="J175" s="369"/>
      <c r="K175" s="369"/>
      <c r="L175" s="370"/>
    </row>
    <row r="176" spans="2:12" ht="15" customHeight="1">
      <c r="B176" s="203" t="s">
        <v>723</v>
      </c>
      <c r="C176" s="213">
        <v>0.22</v>
      </c>
      <c r="D176" s="200" t="s">
        <v>743</v>
      </c>
      <c r="E176" s="364" t="s">
        <v>744</v>
      </c>
      <c r="F176" s="364"/>
      <c r="G176" s="364"/>
      <c r="H176" s="364"/>
      <c r="I176" s="364"/>
      <c r="J176" s="364"/>
      <c r="K176" s="364"/>
      <c r="L176" s="365"/>
    </row>
    <row r="177" spans="2:12" ht="15" customHeight="1">
      <c r="B177" s="203"/>
      <c r="C177" s="213"/>
      <c r="D177" s="200"/>
      <c r="E177" s="200"/>
      <c r="F177" s="200"/>
      <c r="G177" s="200"/>
      <c r="H177" s="200"/>
      <c r="I177" s="200"/>
      <c r="J177" s="200"/>
      <c r="K177" s="200"/>
      <c r="L177" s="223"/>
    </row>
    <row r="178" spans="2:12" ht="15" customHeight="1">
      <c r="B178" s="198" t="s">
        <v>745</v>
      </c>
      <c r="C178" s="198" t="s">
        <v>709</v>
      </c>
      <c r="D178" s="198" t="s">
        <v>710</v>
      </c>
      <c r="E178" s="366" t="s">
        <v>105</v>
      </c>
      <c r="F178" s="366"/>
      <c r="G178" s="366"/>
      <c r="H178" s="366"/>
      <c r="I178" s="366"/>
      <c r="J178" s="366"/>
      <c r="K178" s="366"/>
      <c r="L178" s="366"/>
    </row>
    <row r="179" spans="2:12" ht="15" customHeight="1">
      <c r="B179" s="199" t="s">
        <v>746</v>
      </c>
      <c r="C179" s="220">
        <v>0.66666666666666663</v>
      </c>
      <c r="D179" s="200" t="s">
        <v>736</v>
      </c>
      <c r="E179" s="367" t="s">
        <v>747</v>
      </c>
      <c r="F179" s="367"/>
      <c r="G179" s="367"/>
      <c r="H179" s="367"/>
      <c r="I179" s="367"/>
      <c r="J179" s="367"/>
      <c r="K179" s="367"/>
      <c r="L179" s="368"/>
    </row>
    <row r="180" spans="2:12" ht="15" customHeight="1">
      <c r="B180" s="203" t="s">
        <v>718</v>
      </c>
      <c r="C180" s="213">
        <v>8</v>
      </c>
      <c r="D180" s="200" t="s">
        <v>748</v>
      </c>
      <c r="E180" s="364" t="s">
        <v>749</v>
      </c>
      <c r="F180" s="364"/>
      <c r="G180" s="364"/>
      <c r="H180" s="364"/>
      <c r="I180" s="364"/>
      <c r="J180" s="364"/>
      <c r="K180" s="364"/>
      <c r="L180" s="365"/>
    </row>
    <row r="181" spans="2:12" ht="15" customHeight="1">
      <c r="B181" s="201" t="s">
        <v>721</v>
      </c>
      <c r="C181" s="214">
        <v>5.5</v>
      </c>
      <c r="D181" s="202" t="s">
        <v>750</v>
      </c>
      <c r="E181" s="369" t="s">
        <v>751</v>
      </c>
      <c r="F181" s="369"/>
      <c r="G181" s="369"/>
      <c r="H181" s="369"/>
      <c r="I181" s="369"/>
      <c r="J181" s="369"/>
      <c r="K181" s="369"/>
      <c r="L181" s="370"/>
    </row>
    <row r="182" spans="2:12" ht="15" customHeight="1">
      <c r="B182" s="224" t="s">
        <v>723</v>
      </c>
      <c r="C182" s="225">
        <v>7</v>
      </c>
      <c r="D182" s="226" t="s">
        <v>748</v>
      </c>
      <c r="E182" s="371" t="s">
        <v>752</v>
      </c>
      <c r="F182" s="371"/>
      <c r="G182" s="371"/>
      <c r="H182" s="371"/>
      <c r="I182" s="371"/>
      <c r="J182" s="371"/>
      <c r="K182" s="371"/>
      <c r="L182" s="372"/>
    </row>
  </sheetData>
  <mergeCells count="73">
    <mergeCell ref="E178:L178"/>
    <mergeCell ref="E179:L179"/>
    <mergeCell ref="E180:L180"/>
    <mergeCell ref="E181:L181"/>
    <mergeCell ref="E182:L182"/>
    <mergeCell ref="E176:L176"/>
    <mergeCell ref="E163:L163"/>
    <mergeCell ref="E164:L164"/>
    <mergeCell ref="E165:L165"/>
    <mergeCell ref="E166:L166"/>
    <mergeCell ref="E168:L168"/>
    <mergeCell ref="E169:L169"/>
    <mergeCell ref="E170:L170"/>
    <mergeCell ref="E171:L171"/>
    <mergeCell ref="E173:L173"/>
    <mergeCell ref="E174:L174"/>
    <mergeCell ref="E175:L175"/>
    <mergeCell ref="E161:L161"/>
    <mergeCell ref="E148:L148"/>
    <mergeCell ref="E149:L149"/>
    <mergeCell ref="E150:L150"/>
    <mergeCell ref="E151:L151"/>
    <mergeCell ref="E153:L153"/>
    <mergeCell ref="E154:L154"/>
    <mergeCell ref="E155:L155"/>
    <mergeCell ref="E156:L156"/>
    <mergeCell ref="E158:L158"/>
    <mergeCell ref="E159:L159"/>
    <mergeCell ref="E160:L160"/>
    <mergeCell ref="J105:J106"/>
    <mergeCell ref="K105:K106"/>
    <mergeCell ref="B115:C122"/>
    <mergeCell ref="D115:L122"/>
    <mergeCell ref="B134:C146"/>
    <mergeCell ref="D134:L138"/>
    <mergeCell ref="D139:L139"/>
    <mergeCell ref="D140:L146"/>
    <mergeCell ref="B75:C81"/>
    <mergeCell ref="D75:L81"/>
    <mergeCell ref="D86:E86"/>
    <mergeCell ref="D87:E87"/>
    <mergeCell ref="B89:C103"/>
    <mergeCell ref="D89:L93"/>
    <mergeCell ref="D94:L94"/>
    <mergeCell ref="D95:L96"/>
    <mergeCell ref="D97:L97"/>
    <mergeCell ref="D98:L103"/>
    <mergeCell ref="B63:C68"/>
    <mergeCell ref="D63:L68"/>
    <mergeCell ref="B52:C53"/>
    <mergeCell ref="D52:L53"/>
    <mergeCell ref="B55:C60"/>
    <mergeCell ref="D55:L60"/>
    <mergeCell ref="B47:C50"/>
    <mergeCell ref="D47:L50"/>
    <mergeCell ref="B21:C24"/>
    <mergeCell ref="D21:L24"/>
    <mergeCell ref="B26:C29"/>
    <mergeCell ref="D26:L29"/>
    <mergeCell ref="B31:C33"/>
    <mergeCell ref="D31:L33"/>
    <mergeCell ref="B35:C38"/>
    <mergeCell ref="D35:L38"/>
    <mergeCell ref="B40:C42"/>
    <mergeCell ref="D40:L42"/>
    <mergeCell ref="B44:L45"/>
    <mergeCell ref="B16:C19"/>
    <mergeCell ref="D16:L19"/>
    <mergeCell ref="B2:L3"/>
    <mergeCell ref="B5:L6"/>
    <mergeCell ref="B8:L9"/>
    <mergeCell ref="B11:C14"/>
    <mergeCell ref="D11:L14"/>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D771E-AA98-5D49-A619-68A34743616C}">
  <sheetPr codeName="Sheet8">
    <tabColor theme="4" tint="-0.249977111117893"/>
    <pageSetUpPr fitToPage="1"/>
  </sheetPr>
  <dimension ref="A1:N10"/>
  <sheetViews>
    <sheetView workbookViewId="0"/>
  </sheetViews>
  <sheetFormatPr baseColWidth="10" defaultColWidth="10.6640625" defaultRowHeight="16"/>
  <cols>
    <col min="1" max="1" width="5.6640625" style="161" customWidth="1"/>
    <col min="2" max="2" width="93.83203125" style="161" customWidth="1"/>
    <col min="3" max="3" width="5.6640625" style="161" customWidth="1"/>
    <col min="4" max="13" width="12.1640625" style="161" customWidth="1"/>
    <col min="14" max="14" width="5.6640625" style="161" customWidth="1"/>
    <col min="15" max="16384" width="10.6640625" style="161"/>
  </cols>
  <sheetData>
    <row r="1" spans="1:14" ht="30" customHeight="1">
      <c r="A1" s="160"/>
      <c r="B1" s="160"/>
      <c r="C1" s="160"/>
      <c r="D1" s="160"/>
      <c r="E1" s="160"/>
      <c r="F1" s="160"/>
      <c r="G1" s="160"/>
      <c r="H1" s="160"/>
      <c r="I1" s="160"/>
      <c r="J1" s="160"/>
      <c r="K1" s="160"/>
      <c r="L1" s="160"/>
      <c r="M1" s="160"/>
      <c r="N1" s="160"/>
    </row>
    <row r="2" spans="1:14" s="164" customFormat="1" ht="100" customHeight="1">
      <c r="A2" s="162"/>
      <c r="B2" s="163" t="s">
        <v>653</v>
      </c>
      <c r="C2" s="162"/>
      <c r="D2" s="162"/>
      <c r="E2" s="162"/>
      <c r="F2" s="162"/>
      <c r="G2" s="162"/>
      <c r="H2" s="162"/>
      <c r="I2" s="162"/>
      <c r="J2" s="162"/>
      <c r="K2" s="162"/>
      <c r="L2" s="162"/>
      <c r="M2" s="162"/>
      <c r="N2" s="162"/>
    </row>
    <row r="3" spans="1:14" ht="32" customHeight="1">
      <c r="A3" s="160"/>
      <c r="B3" s="160"/>
      <c r="C3" s="160"/>
      <c r="D3" s="160"/>
      <c r="E3" s="160"/>
      <c r="F3" s="160"/>
      <c r="G3" s="160"/>
      <c r="H3" s="160"/>
      <c r="I3" s="160"/>
      <c r="J3" s="160"/>
      <c r="K3" s="160"/>
      <c r="L3" s="160"/>
      <c r="M3" s="160"/>
      <c r="N3" s="160"/>
    </row>
    <row r="4" spans="1:14" ht="32" customHeight="1">
      <c r="A4" s="160"/>
      <c r="B4" s="165" t="s">
        <v>652</v>
      </c>
      <c r="C4" s="160"/>
      <c r="D4" s="160"/>
      <c r="E4" s="160"/>
      <c r="F4" s="160"/>
      <c r="G4" s="160"/>
      <c r="H4" s="160"/>
      <c r="I4" s="160"/>
      <c r="J4" s="160"/>
      <c r="K4" s="160"/>
      <c r="L4" s="160"/>
      <c r="M4" s="160"/>
      <c r="N4" s="160"/>
    </row>
    <row r="5" spans="1:14" ht="231" customHeight="1">
      <c r="A5" s="160"/>
      <c r="B5" s="160"/>
      <c r="C5" s="160"/>
      <c r="D5" s="160"/>
      <c r="E5" s="160"/>
      <c r="F5" s="160"/>
      <c r="G5" s="160"/>
      <c r="H5" s="160"/>
      <c r="I5" s="160"/>
      <c r="J5" s="160"/>
      <c r="K5" s="160"/>
      <c r="L5" s="160"/>
      <c r="M5" s="160"/>
      <c r="N5" s="160"/>
    </row>
    <row r="6" spans="1:14" ht="32" customHeight="1">
      <c r="A6" s="160"/>
      <c r="B6" s="160"/>
      <c r="C6" s="160"/>
      <c r="D6" s="160"/>
      <c r="E6" s="160"/>
      <c r="F6" s="160"/>
      <c r="G6" s="160"/>
      <c r="H6" s="160"/>
      <c r="I6" s="160"/>
      <c r="J6" s="160"/>
      <c r="K6" s="160"/>
      <c r="L6" s="160"/>
      <c r="M6" s="160"/>
      <c r="N6" s="160"/>
    </row>
    <row r="7" spans="1:14" ht="32" customHeight="1"/>
    <row r="8" spans="1:14" ht="32" customHeight="1"/>
    <row r="9" spans="1:14" ht="32" customHeight="1"/>
    <row r="10" spans="1:14" ht="32" customHeight="1"/>
  </sheetData>
  <printOptions horizontalCentered="1"/>
  <pageMargins left="0.25" right="0.25" top="0.75" bottom="0.75" header="0.3" footer="0.3"/>
  <pageSetup scale="58" orientation="landscape" r:id="rId1"/>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65C73E-EDED-EE47-B352-B45F4B80634A}">
  <sheetPr codeName="Sheet26">
    <tabColor theme="0" tint="-0.499984740745262"/>
    <pageSetUpPr fitToPage="1"/>
  </sheetPr>
  <dimension ref="B1:L56"/>
  <sheetViews>
    <sheetView topLeftCell="A58" zoomScale="177" workbookViewId="0"/>
  </sheetViews>
  <sheetFormatPr baseColWidth="10" defaultColWidth="8.83203125" defaultRowHeight="14"/>
  <cols>
    <col min="1" max="1" width="1.83203125" style="56" customWidth="1"/>
    <col min="2" max="2" width="8.83203125" style="56" customWidth="1"/>
    <col min="3" max="3" width="14.33203125" style="56" bestFit="1" customWidth="1"/>
    <col min="4" max="4" width="13.5" style="60" customWidth="1"/>
    <col min="5" max="8" width="13.5" style="70" customWidth="1"/>
    <col min="9" max="9" width="13.5" style="60" customWidth="1"/>
    <col min="10" max="10" width="16.5" style="60" customWidth="1"/>
    <col min="11" max="11" width="21.6640625" style="60" customWidth="1"/>
    <col min="12" max="12" width="13.5" style="70" customWidth="1"/>
    <col min="13" max="16384" width="8.83203125" style="56"/>
  </cols>
  <sheetData>
    <row r="1" spans="2:12" ht="21.75" customHeight="1" thickTop="1">
      <c r="B1" s="379" t="s">
        <v>544</v>
      </c>
      <c r="C1" s="380"/>
      <c r="D1" s="381"/>
      <c r="E1" s="381"/>
      <c r="F1" s="381"/>
      <c r="G1" s="381"/>
      <c r="H1" s="381"/>
      <c r="I1" s="381"/>
      <c r="J1" s="381"/>
      <c r="K1" s="381"/>
      <c r="L1" s="382"/>
    </row>
    <row r="2" spans="2:12" ht="11.25" customHeight="1">
      <c r="B2" s="373" t="s">
        <v>418</v>
      </c>
      <c r="C2" s="374"/>
      <c r="D2" s="374"/>
      <c r="E2" s="374"/>
      <c r="F2" s="374"/>
      <c r="G2" s="374"/>
      <c r="H2" s="374"/>
      <c r="I2" s="374"/>
      <c r="J2" s="374"/>
      <c r="K2" s="374"/>
      <c r="L2" s="375"/>
    </row>
    <row r="3" spans="2:12" ht="11.25" customHeight="1" thickBot="1">
      <c r="B3" s="376"/>
      <c r="C3" s="377"/>
      <c r="D3" s="377"/>
      <c r="E3" s="377"/>
      <c r="F3" s="377"/>
      <c r="G3" s="377"/>
      <c r="H3" s="377"/>
      <c r="I3" s="377"/>
      <c r="J3" s="377"/>
      <c r="K3" s="377"/>
      <c r="L3" s="378"/>
    </row>
    <row r="4" spans="2:12" ht="26" customHeight="1">
      <c r="B4" s="81" t="s">
        <v>417</v>
      </c>
      <c r="C4" s="82" t="s">
        <v>419</v>
      </c>
      <c r="D4" s="83" t="s">
        <v>548</v>
      </c>
      <c r="E4" s="84" t="s">
        <v>549</v>
      </c>
      <c r="F4" s="84" t="s">
        <v>550</v>
      </c>
      <c r="G4" s="86" t="s">
        <v>551</v>
      </c>
      <c r="H4" s="90" t="s">
        <v>552</v>
      </c>
      <c r="I4" s="89" t="s">
        <v>553</v>
      </c>
      <c r="J4" s="83" t="s">
        <v>554</v>
      </c>
      <c r="K4" s="83" t="s">
        <v>555</v>
      </c>
      <c r="L4" s="85" t="s">
        <v>556</v>
      </c>
    </row>
    <row r="5" spans="2:12" ht="13.5" customHeight="1">
      <c r="B5" s="73" t="s">
        <v>420</v>
      </c>
      <c r="C5" s="57" t="e" vm="1">
        <v>#VALUE!</v>
      </c>
      <c r="D5" s="58">
        <v>912.71400000000006</v>
      </c>
      <c r="E5" s="59">
        <v>7.0999999999999994E-2</v>
      </c>
      <c r="F5" s="59">
        <v>0.01</v>
      </c>
      <c r="G5" s="87">
        <v>917.45299999999997</v>
      </c>
      <c r="H5" s="91">
        <f>G5*0.453592</f>
        <v>416.14934117600001</v>
      </c>
      <c r="I5" s="60">
        <f>G5*0.453592/1000</f>
        <v>0.416149341176</v>
      </c>
      <c r="J5" s="58">
        <v>5.7539999999999996</v>
      </c>
      <c r="K5" s="58">
        <v>5.9210000000000003</v>
      </c>
      <c r="L5" s="75">
        <v>0.48699999999999999</v>
      </c>
    </row>
    <row r="6" spans="2:12" ht="13.5" customHeight="1">
      <c r="B6" s="73" t="s">
        <v>421</v>
      </c>
      <c r="C6" s="57" t="e" vm="2">
        <v>#VALUE!</v>
      </c>
      <c r="D6" s="58">
        <v>787.65599999999995</v>
      </c>
      <c r="E6" s="59">
        <v>5.5E-2</v>
      </c>
      <c r="F6" s="59">
        <v>8.0000000000000002E-3</v>
      </c>
      <c r="G6" s="87">
        <v>791.37</v>
      </c>
      <c r="H6" s="91">
        <f t="shared" ref="H6:H55" si="0">G6*0.453592</f>
        <v>358.95910104000001</v>
      </c>
      <c r="I6" s="60">
        <f t="shared" ref="I6:I55" si="1">G6*0.453592/1000</f>
        <v>0.35895910104000001</v>
      </c>
      <c r="J6" s="58">
        <v>0.24099999999999999</v>
      </c>
      <c r="K6" s="58">
        <v>0.24199999999999999</v>
      </c>
      <c r="L6" s="75">
        <v>8.4000000000000005E-2</v>
      </c>
    </row>
    <row r="7" spans="2:12" ht="13.5" customHeight="1">
      <c r="B7" s="73" t="s">
        <v>422</v>
      </c>
      <c r="C7" s="57" t="e" vm="3">
        <v>#VALUE!</v>
      </c>
      <c r="D7" s="58">
        <v>1055.8009999999999</v>
      </c>
      <c r="E7" s="59">
        <v>8.4000000000000005E-2</v>
      </c>
      <c r="F7" s="59">
        <v>1.2E-2</v>
      </c>
      <c r="G7" s="87">
        <v>1061.5309999999999</v>
      </c>
      <c r="H7" s="91">
        <f t="shared" si="0"/>
        <v>481.50196935199995</v>
      </c>
      <c r="I7" s="60">
        <f t="shared" si="1"/>
        <v>0.48150196935199996</v>
      </c>
      <c r="J7" s="58">
        <v>0.52900000000000003</v>
      </c>
      <c r="K7" s="58">
        <v>0.55700000000000005</v>
      </c>
      <c r="L7" s="75">
        <v>0.98199999999999998</v>
      </c>
    </row>
    <row r="8" spans="2:12" ht="13.5" customHeight="1">
      <c r="B8" s="73" t="s">
        <v>423</v>
      </c>
      <c r="C8" s="57" t="e" vm="4">
        <v>#VALUE!</v>
      </c>
      <c r="D8" s="58">
        <v>709.12</v>
      </c>
      <c r="E8" s="59">
        <v>4.2000000000000003E-2</v>
      </c>
      <c r="F8" s="59">
        <v>6.0000000000000001E-3</v>
      </c>
      <c r="G8" s="87">
        <v>711.91600000000005</v>
      </c>
      <c r="H8" s="91">
        <f t="shared" si="0"/>
        <v>322.91940227200001</v>
      </c>
      <c r="I8" s="60">
        <f t="shared" si="1"/>
        <v>0.322919402272</v>
      </c>
      <c r="J8" s="58">
        <v>0.33</v>
      </c>
      <c r="K8" s="58">
        <v>0.34899999999999998</v>
      </c>
      <c r="L8" s="75">
        <v>0.14199999999999999</v>
      </c>
    </row>
    <row r="9" spans="2:12" ht="13.5" customHeight="1">
      <c r="B9" s="73" t="s">
        <v>424</v>
      </c>
      <c r="C9" s="57" t="e" vm="5">
        <v>#VALUE!</v>
      </c>
      <c r="D9" s="58">
        <v>455.94</v>
      </c>
      <c r="E9" s="59">
        <v>2.5999999999999999E-2</v>
      </c>
      <c r="F9" s="59">
        <v>3.0000000000000001E-3</v>
      </c>
      <c r="G9" s="87">
        <v>457.48500000000001</v>
      </c>
      <c r="H9" s="91">
        <f t="shared" si="0"/>
        <v>207.51153612000002</v>
      </c>
      <c r="I9" s="60">
        <f t="shared" si="1"/>
        <v>0.20751153612000001</v>
      </c>
      <c r="J9" s="58">
        <v>0.40300000000000002</v>
      </c>
      <c r="K9" s="58">
        <v>0.35699999999999998</v>
      </c>
      <c r="L9" s="75">
        <v>1.4999999999999999E-2</v>
      </c>
    </row>
    <row r="10" spans="2:12" ht="13.5" customHeight="1">
      <c r="B10" s="73" t="s">
        <v>425</v>
      </c>
      <c r="C10" s="57" t="e" vm="6">
        <v>#VALUE!</v>
      </c>
      <c r="D10" s="58">
        <v>1166.201</v>
      </c>
      <c r="E10" s="59">
        <v>0.10299999999999999</v>
      </c>
      <c r="F10" s="59">
        <v>1.4999999999999999E-2</v>
      </c>
      <c r="G10" s="87">
        <v>1173.1479999999999</v>
      </c>
      <c r="H10" s="91">
        <f t="shared" si="0"/>
        <v>532.13054761599994</v>
      </c>
      <c r="I10" s="60">
        <f t="shared" si="1"/>
        <v>0.53213054761599998</v>
      </c>
      <c r="J10" s="58">
        <v>0.63600000000000001</v>
      </c>
      <c r="K10" s="58">
        <v>0.66500000000000004</v>
      </c>
      <c r="L10" s="75">
        <v>0.36</v>
      </c>
    </row>
    <row r="11" spans="2:12" ht="13.5" customHeight="1">
      <c r="B11" s="73" t="s">
        <v>426</v>
      </c>
      <c r="C11" s="57" t="e" vm="7">
        <v>#VALUE!</v>
      </c>
      <c r="D11" s="58">
        <v>520.86400000000003</v>
      </c>
      <c r="E11" s="59">
        <v>3.9E-2</v>
      </c>
      <c r="F11" s="59">
        <v>5.0000000000000001E-3</v>
      </c>
      <c r="G11" s="87">
        <v>523.29700000000003</v>
      </c>
      <c r="H11" s="91">
        <f t="shared" si="0"/>
        <v>237.363332824</v>
      </c>
      <c r="I11" s="60">
        <f t="shared" si="1"/>
        <v>0.23736333282399999</v>
      </c>
      <c r="J11" s="58">
        <v>0.20699999999999999</v>
      </c>
      <c r="K11" s="58">
        <v>0.19600000000000001</v>
      </c>
      <c r="L11" s="75">
        <v>8.5000000000000006E-2</v>
      </c>
    </row>
    <row r="12" spans="2:12" ht="13.5" customHeight="1">
      <c r="B12" s="73" t="s">
        <v>427</v>
      </c>
      <c r="C12" s="57" t="e" vm="8">
        <v>#VALUE!</v>
      </c>
      <c r="D12" s="58">
        <v>899.25199999999995</v>
      </c>
      <c r="E12" s="59">
        <v>2.5000000000000001E-2</v>
      </c>
      <c r="F12" s="59">
        <v>3.0000000000000001E-3</v>
      </c>
      <c r="G12" s="87">
        <v>900.79600000000005</v>
      </c>
      <c r="H12" s="91">
        <f t="shared" si="0"/>
        <v>408.593859232</v>
      </c>
      <c r="I12" s="60">
        <f t="shared" si="1"/>
        <v>0.40859385923199998</v>
      </c>
      <c r="J12" s="58">
        <v>0.51100000000000001</v>
      </c>
      <c r="K12" s="58">
        <v>0.46800000000000003</v>
      </c>
      <c r="L12" s="75">
        <v>0.191</v>
      </c>
    </row>
    <row r="13" spans="2:12" ht="13.5" customHeight="1">
      <c r="B13" s="73" t="s">
        <v>428</v>
      </c>
      <c r="C13" s="57" t="e" vm="9">
        <v>#VALUE!</v>
      </c>
      <c r="D13" s="58">
        <v>815.56500000000005</v>
      </c>
      <c r="E13" s="59">
        <v>4.7E-2</v>
      </c>
      <c r="F13" s="59">
        <v>6.0000000000000001E-3</v>
      </c>
      <c r="G13" s="87">
        <v>818.56200000000001</v>
      </c>
      <c r="H13" s="91">
        <f t="shared" si="0"/>
        <v>371.29317470400002</v>
      </c>
      <c r="I13" s="60">
        <f t="shared" si="1"/>
        <v>0.37129317470400003</v>
      </c>
      <c r="J13" s="58">
        <v>0.30599999999999999</v>
      </c>
      <c r="K13" s="58">
        <v>0.316</v>
      </c>
      <c r="L13" s="75">
        <v>0.14099999999999999</v>
      </c>
    </row>
    <row r="14" spans="2:12" ht="13.5" customHeight="1">
      <c r="B14" s="73" t="s">
        <v>429</v>
      </c>
      <c r="C14" s="57" t="e" vm="10">
        <v>#VALUE!</v>
      </c>
      <c r="D14" s="58">
        <v>737.18899999999996</v>
      </c>
      <c r="E14" s="59">
        <v>5.8999999999999997E-2</v>
      </c>
      <c r="F14" s="59">
        <v>8.9999999999999993E-3</v>
      </c>
      <c r="G14" s="87">
        <v>741.19399999999996</v>
      </c>
      <c r="H14" s="91">
        <f t="shared" si="0"/>
        <v>336.19966884799999</v>
      </c>
      <c r="I14" s="60">
        <f t="shared" si="1"/>
        <v>0.33619966884800001</v>
      </c>
      <c r="J14" s="58">
        <v>0.33300000000000002</v>
      </c>
      <c r="K14" s="58">
        <v>0.24199999999999999</v>
      </c>
      <c r="L14" s="75">
        <v>0.185</v>
      </c>
    </row>
    <row r="15" spans="2:12" ht="13.5" customHeight="1">
      <c r="B15" s="73" t="s">
        <v>430</v>
      </c>
      <c r="C15" s="57" t="e" vm="11">
        <v>#VALUE!</v>
      </c>
      <c r="D15" s="58">
        <v>1453.1790000000001</v>
      </c>
      <c r="E15" s="59">
        <v>0.151</v>
      </c>
      <c r="F15" s="59">
        <v>2.3E-2</v>
      </c>
      <c r="G15" s="87">
        <v>1463.566</v>
      </c>
      <c r="H15" s="91">
        <f t="shared" si="0"/>
        <v>663.86182907199998</v>
      </c>
      <c r="I15" s="60">
        <f t="shared" si="1"/>
        <v>0.66386182907199998</v>
      </c>
      <c r="J15" s="58">
        <v>4.8380000000000001</v>
      </c>
      <c r="K15" s="58">
        <v>4.7249999999999996</v>
      </c>
      <c r="L15" s="75">
        <v>5.3970000000000002</v>
      </c>
    </row>
    <row r="16" spans="2:12" ht="13.5" customHeight="1">
      <c r="B16" s="73" t="s">
        <v>431</v>
      </c>
      <c r="C16" s="57" t="e" vm="12">
        <v>#VALUE!</v>
      </c>
      <c r="D16" s="58">
        <v>617.34699999999998</v>
      </c>
      <c r="E16" s="59">
        <v>6.2E-2</v>
      </c>
      <c r="F16" s="59">
        <v>8.9999999999999993E-3</v>
      </c>
      <c r="G16" s="87">
        <v>621.56700000000001</v>
      </c>
      <c r="H16" s="91">
        <f t="shared" si="0"/>
        <v>281.93781866400002</v>
      </c>
      <c r="I16" s="60">
        <f t="shared" si="1"/>
        <v>0.28193781866400003</v>
      </c>
      <c r="J16" s="58">
        <v>0.53500000000000003</v>
      </c>
      <c r="K16" s="58">
        <v>0.71599999999999997</v>
      </c>
      <c r="L16" s="75">
        <v>0.55800000000000005</v>
      </c>
    </row>
    <row r="17" spans="2:12" ht="13.5" customHeight="1">
      <c r="B17" s="73" t="s">
        <v>432</v>
      </c>
      <c r="C17" s="57" t="e" vm="13">
        <v>#VALUE!</v>
      </c>
      <c r="D17" s="58">
        <v>247.852</v>
      </c>
      <c r="E17" s="59">
        <v>8.0000000000000002E-3</v>
      </c>
      <c r="F17" s="59">
        <v>1E-3</v>
      </c>
      <c r="G17" s="87">
        <v>248.434</v>
      </c>
      <c r="H17" s="91">
        <f t="shared" si="0"/>
        <v>112.68767492799999</v>
      </c>
      <c r="I17" s="60">
        <f t="shared" si="1"/>
        <v>0.112687674928</v>
      </c>
      <c r="J17" s="58">
        <v>0.155</v>
      </c>
      <c r="K17" s="58">
        <v>0.16500000000000001</v>
      </c>
      <c r="L17" s="75">
        <v>5.5E-2</v>
      </c>
    </row>
    <row r="18" spans="2:12" ht="13.5" customHeight="1">
      <c r="B18" s="73" t="s">
        <v>433</v>
      </c>
      <c r="C18" s="57" t="e" vm="14">
        <v>#VALUE!</v>
      </c>
      <c r="D18" s="58">
        <v>588.41099999999994</v>
      </c>
      <c r="E18" s="59">
        <v>5.8999999999999997E-2</v>
      </c>
      <c r="F18" s="59">
        <v>8.0000000000000002E-3</v>
      </c>
      <c r="G18" s="87">
        <v>592.39400000000001</v>
      </c>
      <c r="H18" s="91">
        <f t="shared" si="0"/>
        <v>268.70517924799998</v>
      </c>
      <c r="I18" s="60">
        <f t="shared" si="1"/>
        <v>0.26870517924799997</v>
      </c>
      <c r="J18" s="58">
        <v>0.27100000000000002</v>
      </c>
      <c r="K18" s="58">
        <v>0.26300000000000001</v>
      </c>
      <c r="L18" s="75">
        <v>0.68700000000000006</v>
      </c>
    </row>
    <row r="19" spans="2:12" ht="13.5" customHeight="1">
      <c r="B19" s="73" t="s">
        <v>434</v>
      </c>
      <c r="C19" s="57" t="e" vm="15">
        <v>#VALUE!</v>
      </c>
      <c r="D19" s="58">
        <v>1566.914</v>
      </c>
      <c r="E19" s="59">
        <v>0.14299999999999999</v>
      </c>
      <c r="F19" s="59">
        <v>2.1000000000000001E-2</v>
      </c>
      <c r="G19" s="87">
        <v>1576.6</v>
      </c>
      <c r="H19" s="91">
        <f t="shared" si="0"/>
        <v>715.13314719999994</v>
      </c>
      <c r="I19" s="60">
        <f t="shared" si="1"/>
        <v>0.71513314719999999</v>
      </c>
      <c r="J19" s="58">
        <v>0.90600000000000003</v>
      </c>
      <c r="K19" s="58">
        <v>0.71699999999999997</v>
      </c>
      <c r="L19" s="75">
        <v>0.76500000000000001</v>
      </c>
    </row>
    <row r="20" spans="2:12" ht="13.5" customHeight="1">
      <c r="B20" s="73" t="s">
        <v>435</v>
      </c>
      <c r="C20" s="57" t="e" vm="16">
        <v>#VALUE!</v>
      </c>
      <c r="D20" s="58">
        <v>820.173</v>
      </c>
      <c r="E20" s="59">
        <v>8.8999999999999996E-2</v>
      </c>
      <c r="F20" s="59">
        <v>1.2999999999999999E-2</v>
      </c>
      <c r="G20" s="87">
        <v>826.24300000000005</v>
      </c>
      <c r="H20" s="91">
        <f t="shared" si="0"/>
        <v>374.777214856</v>
      </c>
      <c r="I20" s="60">
        <f t="shared" si="1"/>
        <v>0.37477721485600002</v>
      </c>
      <c r="J20" s="58">
        <v>0.58399999999999996</v>
      </c>
      <c r="K20" s="58">
        <v>0.66100000000000003</v>
      </c>
      <c r="L20" s="75">
        <v>0.14299999999999999</v>
      </c>
    </row>
    <row r="21" spans="2:12" ht="13.5" customHeight="1">
      <c r="B21" s="73" t="s">
        <v>436</v>
      </c>
      <c r="C21" s="57" t="e" vm="17">
        <v>#VALUE!</v>
      </c>
      <c r="D21" s="58">
        <v>1720.0719999999999</v>
      </c>
      <c r="E21" s="59">
        <v>0.17899999999999999</v>
      </c>
      <c r="F21" s="59">
        <v>2.5999999999999999E-2</v>
      </c>
      <c r="G21" s="87">
        <v>1732.2550000000001</v>
      </c>
      <c r="H21" s="91">
        <f t="shared" si="0"/>
        <v>785.73700996000002</v>
      </c>
      <c r="I21" s="60">
        <f t="shared" si="1"/>
        <v>0.78573700996000007</v>
      </c>
      <c r="J21" s="58">
        <v>0.92300000000000004</v>
      </c>
      <c r="K21" s="58">
        <v>0.80100000000000005</v>
      </c>
      <c r="L21" s="75">
        <v>1.31</v>
      </c>
    </row>
    <row r="22" spans="2:12" ht="13.5" customHeight="1">
      <c r="B22" s="73" t="s">
        <v>437</v>
      </c>
      <c r="C22" s="57" t="e" vm="18">
        <v>#VALUE!</v>
      </c>
      <c r="D22" s="58">
        <v>818.05799999999999</v>
      </c>
      <c r="E22" s="59">
        <v>3.9E-2</v>
      </c>
      <c r="F22" s="59">
        <v>5.0000000000000001E-3</v>
      </c>
      <c r="G22" s="87">
        <v>820.65499999999997</v>
      </c>
      <c r="H22" s="91">
        <f t="shared" si="0"/>
        <v>372.24254275999999</v>
      </c>
      <c r="I22" s="60">
        <f t="shared" si="1"/>
        <v>0.37224254276000002</v>
      </c>
      <c r="J22" s="58">
        <v>0.60899999999999999</v>
      </c>
      <c r="K22" s="58">
        <v>0.61899999999999999</v>
      </c>
      <c r="L22" s="75">
        <v>0.59099999999999997</v>
      </c>
    </row>
    <row r="23" spans="2:12" ht="13.5" customHeight="1">
      <c r="B23" s="73" t="s">
        <v>438</v>
      </c>
      <c r="C23" s="57" t="e" vm="19">
        <v>#VALUE!</v>
      </c>
      <c r="D23" s="58">
        <v>851.73900000000003</v>
      </c>
      <c r="E23" s="59">
        <v>0.11799999999999999</v>
      </c>
      <c r="F23" s="59">
        <v>1.4999999999999999E-2</v>
      </c>
      <c r="G23" s="87">
        <v>859.21900000000005</v>
      </c>
      <c r="H23" s="91">
        <f t="shared" si="0"/>
        <v>389.73486464800004</v>
      </c>
      <c r="I23" s="60">
        <f t="shared" si="1"/>
        <v>0.38973486464800006</v>
      </c>
      <c r="J23" s="58">
        <v>0.60399999999999998</v>
      </c>
      <c r="K23" s="58">
        <v>0.53600000000000003</v>
      </c>
      <c r="L23" s="75">
        <v>0.17299999999999999</v>
      </c>
    </row>
    <row r="24" spans="2:12" ht="13.5" customHeight="1">
      <c r="B24" s="73" t="s">
        <v>439</v>
      </c>
      <c r="C24" s="57" t="e" vm="20">
        <v>#VALUE!</v>
      </c>
      <c r="D24" s="58">
        <v>637.05100000000004</v>
      </c>
      <c r="E24" s="59">
        <v>5.1999999999999998E-2</v>
      </c>
      <c r="F24" s="59">
        <v>7.0000000000000001E-3</v>
      </c>
      <c r="G24" s="87">
        <v>640.5</v>
      </c>
      <c r="H24" s="91">
        <f t="shared" si="0"/>
        <v>290.52567599999998</v>
      </c>
      <c r="I24" s="60">
        <f t="shared" si="1"/>
        <v>0.29052567599999995</v>
      </c>
      <c r="J24" s="58">
        <v>0.20200000000000001</v>
      </c>
      <c r="K24" s="58">
        <v>0.19800000000000001</v>
      </c>
      <c r="L24" s="75">
        <v>0.214</v>
      </c>
    </row>
    <row r="25" spans="2:12" ht="13.5" customHeight="1">
      <c r="B25" s="73" t="s">
        <v>440</v>
      </c>
      <c r="C25" s="56" t="e" vm="21">
        <v>#VALUE!</v>
      </c>
      <c r="D25" s="58">
        <v>336.61200000000002</v>
      </c>
      <c r="E25" s="59">
        <v>0.09</v>
      </c>
      <c r="F25" s="59">
        <v>1.2999999999999999E-2</v>
      </c>
      <c r="G25" s="87">
        <v>342.70800000000003</v>
      </c>
      <c r="H25" s="91">
        <f t="shared" si="0"/>
        <v>155.449607136</v>
      </c>
      <c r="I25" s="60">
        <f t="shared" si="1"/>
        <v>0.15544960713600001</v>
      </c>
      <c r="J25" s="58">
        <v>0.33900000000000002</v>
      </c>
      <c r="K25" s="58">
        <v>0.27300000000000002</v>
      </c>
      <c r="L25" s="75">
        <v>0.316</v>
      </c>
    </row>
    <row r="26" spans="2:12" ht="13.5" customHeight="1">
      <c r="B26" s="73" t="s">
        <v>441</v>
      </c>
      <c r="C26" s="57" t="e" vm="22">
        <v>#VALUE!</v>
      </c>
      <c r="D26" s="58">
        <v>1009.3049999999999</v>
      </c>
      <c r="E26" s="59">
        <v>9.5000000000000001E-2</v>
      </c>
      <c r="F26" s="59">
        <v>1.4E-2</v>
      </c>
      <c r="G26" s="87">
        <v>1015.727</v>
      </c>
      <c r="H26" s="91">
        <f t="shared" si="0"/>
        <v>460.72564138399997</v>
      </c>
      <c r="I26" s="60">
        <f t="shared" si="1"/>
        <v>0.46072564138399996</v>
      </c>
      <c r="J26" s="58">
        <v>0.69699999999999995</v>
      </c>
      <c r="K26" s="58">
        <v>0.69699999999999995</v>
      </c>
      <c r="L26" s="75">
        <v>0.75600000000000001</v>
      </c>
    </row>
    <row r="27" spans="2:12" ht="13.5" customHeight="1">
      <c r="B27" s="73" t="s">
        <v>442</v>
      </c>
      <c r="C27" s="57" t="e" vm="23">
        <v>#VALUE!</v>
      </c>
      <c r="D27" s="58">
        <v>768.24099999999999</v>
      </c>
      <c r="E27" s="59">
        <v>8.2000000000000003E-2</v>
      </c>
      <c r="F27" s="59">
        <v>1.2E-2</v>
      </c>
      <c r="G27" s="87">
        <v>773.81100000000004</v>
      </c>
      <c r="H27" s="91">
        <f t="shared" si="0"/>
        <v>350.99447911200002</v>
      </c>
      <c r="I27" s="60">
        <f t="shared" si="1"/>
        <v>0.35099447911200005</v>
      </c>
      <c r="J27" s="58">
        <v>0.54800000000000004</v>
      </c>
      <c r="K27" s="58">
        <v>0.58899999999999997</v>
      </c>
      <c r="L27" s="75">
        <v>0.23400000000000001</v>
      </c>
    </row>
    <row r="28" spans="2:12" ht="13.5" customHeight="1">
      <c r="B28" s="73" t="s">
        <v>443</v>
      </c>
      <c r="C28" s="57" t="e" vm="24">
        <v>#VALUE!</v>
      </c>
      <c r="D28" s="58">
        <v>1506.211</v>
      </c>
      <c r="E28" s="59">
        <v>0.16900000000000001</v>
      </c>
      <c r="F28" s="59">
        <v>2.5000000000000001E-2</v>
      </c>
      <c r="G28" s="87">
        <v>1517.7670000000001</v>
      </c>
      <c r="H28" s="91">
        <f t="shared" si="0"/>
        <v>688.44696906399997</v>
      </c>
      <c r="I28" s="60">
        <f t="shared" si="1"/>
        <v>0.68844696906399994</v>
      </c>
      <c r="J28" s="58">
        <v>1.2070000000000001</v>
      </c>
      <c r="K28" s="58">
        <v>0.83799999999999997</v>
      </c>
      <c r="L28" s="75">
        <v>2.403</v>
      </c>
    </row>
    <row r="29" spans="2:12" ht="13.5" customHeight="1">
      <c r="B29" s="73" t="s">
        <v>444</v>
      </c>
      <c r="C29" s="56" t="e" vm="25">
        <v>#VALUE!</v>
      </c>
      <c r="D29" s="58">
        <v>886.21100000000001</v>
      </c>
      <c r="E29" s="59">
        <v>3.7999999999999999E-2</v>
      </c>
      <c r="F29" s="59">
        <v>5.0000000000000001E-3</v>
      </c>
      <c r="G29" s="87">
        <v>888.7</v>
      </c>
      <c r="H29" s="91">
        <f t="shared" si="0"/>
        <v>403.10721040000004</v>
      </c>
      <c r="I29" s="60">
        <f t="shared" si="1"/>
        <v>0.40310721040000003</v>
      </c>
      <c r="J29" s="58">
        <v>0.44800000000000001</v>
      </c>
      <c r="K29" s="58">
        <v>0.48</v>
      </c>
      <c r="L29" s="75">
        <v>0.14599999999999999</v>
      </c>
    </row>
    <row r="30" spans="2:12" ht="13.5" customHeight="1">
      <c r="B30" s="73" t="s">
        <v>445</v>
      </c>
      <c r="C30" s="57" t="e" vm="26">
        <v>#VALUE!</v>
      </c>
      <c r="D30" s="58">
        <v>1023.457</v>
      </c>
      <c r="E30" s="59">
        <v>0.115</v>
      </c>
      <c r="F30" s="59">
        <v>1.7000000000000001E-2</v>
      </c>
      <c r="G30" s="87">
        <v>1031.354</v>
      </c>
      <c r="H30" s="91">
        <f t="shared" si="0"/>
        <v>467.81392356800001</v>
      </c>
      <c r="I30" s="60">
        <f t="shared" si="1"/>
        <v>0.467813923568</v>
      </c>
      <c r="J30" s="58">
        <v>0.86699999999999999</v>
      </c>
      <c r="K30" s="58">
        <v>0.89</v>
      </c>
      <c r="L30" s="75">
        <v>1.0409999999999999</v>
      </c>
    </row>
    <row r="31" spans="2:12" ht="13.5" customHeight="1">
      <c r="B31" s="73" t="s">
        <v>446</v>
      </c>
      <c r="C31" s="57" t="e" vm="27">
        <v>#VALUE!</v>
      </c>
      <c r="D31" s="58">
        <v>654.57000000000005</v>
      </c>
      <c r="E31" s="59">
        <v>3.7999999999999999E-2</v>
      </c>
      <c r="F31" s="59">
        <v>5.0000000000000001E-3</v>
      </c>
      <c r="G31" s="87">
        <v>657.11099999999999</v>
      </c>
      <c r="H31" s="91">
        <f t="shared" si="0"/>
        <v>298.06029271199998</v>
      </c>
      <c r="I31" s="60">
        <f t="shared" si="1"/>
        <v>0.29806029271199996</v>
      </c>
      <c r="J31" s="58">
        <v>0.39700000000000002</v>
      </c>
      <c r="K31" s="58">
        <v>0.40400000000000003</v>
      </c>
      <c r="L31" s="75">
        <v>0.17299999999999999</v>
      </c>
    </row>
    <row r="32" spans="2:12" ht="13.5" customHeight="1">
      <c r="B32" s="73" t="s">
        <v>447</v>
      </c>
      <c r="C32" s="57" t="e" vm="28">
        <v>#VALUE!</v>
      </c>
      <c r="D32" s="58">
        <v>1311.2819999999999</v>
      </c>
      <c r="E32" s="59">
        <v>0.14899999999999999</v>
      </c>
      <c r="F32" s="59">
        <v>2.1999999999999999E-2</v>
      </c>
      <c r="G32" s="87">
        <v>1321.4359999999999</v>
      </c>
      <c r="H32" s="91">
        <f t="shared" si="0"/>
        <v>599.39279811199992</v>
      </c>
      <c r="I32" s="60">
        <f t="shared" si="1"/>
        <v>0.59939279811199997</v>
      </c>
      <c r="J32" s="58">
        <v>1.274</v>
      </c>
      <c r="K32" s="58">
        <v>1.357</v>
      </c>
      <c r="L32" s="75">
        <v>1.498</v>
      </c>
    </row>
    <row r="33" spans="2:12" ht="13.5" customHeight="1">
      <c r="B33" s="73" t="s">
        <v>448</v>
      </c>
      <c r="C33" s="57" t="e" vm="29">
        <v>#VALUE!</v>
      </c>
      <c r="D33" s="58">
        <v>1097.105</v>
      </c>
      <c r="E33" s="59">
        <v>0.125</v>
      </c>
      <c r="F33" s="59">
        <v>1.7999999999999999E-2</v>
      </c>
      <c r="G33" s="87">
        <v>1105.6600000000001</v>
      </c>
      <c r="H33" s="91">
        <f t="shared" si="0"/>
        <v>501.51853072000006</v>
      </c>
      <c r="I33" s="60">
        <f t="shared" si="1"/>
        <v>0.50151853072000008</v>
      </c>
      <c r="J33" s="58">
        <v>0.98699999999999999</v>
      </c>
      <c r="K33" s="58">
        <v>1.0940000000000001</v>
      </c>
      <c r="L33" s="75">
        <v>2.1669999999999998</v>
      </c>
    </row>
    <row r="34" spans="2:12" ht="13.5" customHeight="1">
      <c r="B34" s="73" t="s">
        <v>449</v>
      </c>
      <c r="C34" s="57" t="e" vm="30">
        <v>#VALUE!</v>
      </c>
      <c r="D34" s="58">
        <v>302.928</v>
      </c>
      <c r="E34" s="59">
        <v>5.5E-2</v>
      </c>
      <c r="F34" s="59">
        <v>7.0000000000000001E-3</v>
      </c>
      <c r="G34" s="87">
        <v>306.45800000000003</v>
      </c>
      <c r="H34" s="91">
        <f t="shared" si="0"/>
        <v>139.00689713600002</v>
      </c>
      <c r="I34" s="60">
        <f t="shared" si="1"/>
        <v>0.13900689713600001</v>
      </c>
      <c r="J34" s="58">
        <v>0.158</v>
      </c>
      <c r="K34" s="58">
        <v>0.11799999999999999</v>
      </c>
      <c r="L34" s="75">
        <v>7.3999999999999996E-2</v>
      </c>
    </row>
    <row r="35" spans="2:12" ht="13.5" customHeight="1">
      <c r="B35" s="73" t="s">
        <v>450</v>
      </c>
      <c r="C35" s="57" t="e" vm="31">
        <v>#VALUE!</v>
      </c>
      <c r="D35" s="58">
        <v>486.62799999999999</v>
      </c>
      <c r="E35" s="59">
        <v>3.1E-2</v>
      </c>
      <c r="F35" s="59">
        <v>4.0000000000000001E-3</v>
      </c>
      <c r="G35" s="87">
        <v>488.572</v>
      </c>
      <c r="H35" s="91">
        <f t="shared" si="0"/>
        <v>221.61235062399999</v>
      </c>
      <c r="I35" s="60">
        <f t="shared" si="1"/>
        <v>0.22161235062399998</v>
      </c>
      <c r="J35" s="58">
        <v>0.215</v>
      </c>
      <c r="K35" s="58">
        <v>0.214</v>
      </c>
      <c r="L35" s="75">
        <v>6.7000000000000004E-2</v>
      </c>
    </row>
    <row r="36" spans="2:12" ht="13.5" customHeight="1">
      <c r="B36" s="73" t="s">
        <v>451</v>
      </c>
      <c r="C36" s="57" t="e" vm="32">
        <v>#VALUE!</v>
      </c>
      <c r="D36" s="58">
        <v>985.80600000000004</v>
      </c>
      <c r="E36" s="59">
        <v>8.5999999999999993E-2</v>
      </c>
      <c r="F36" s="59">
        <v>1.2E-2</v>
      </c>
      <c r="G36" s="87">
        <v>991.625</v>
      </c>
      <c r="H36" s="91">
        <f t="shared" si="0"/>
        <v>449.79316699999998</v>
      </c>
      <c r="I36" s="60">
        <f t="shared" si="1"/>
        <v>0.44979316699999999</v>
      </c>
      <c r="J36" s="58">
        <v>0.55400000000000005</v>
      </c>
      <c r="K36" s="58">
        <v>0.61</v>
      </c>
      <c r="L36" s="75">
        <v>0.13400000000000001</v>
      </c>
    </row>
    <row r="37" spans="2:12" ht="13.5" customHeight="1">
      <c r="B37" s="73" t="s">
        <v>452</v>
      </c>
      <c r="C37" s="57" t="e" vm="33">
        <v>#VALUE!</v>
      </c>
      <c r="D37" s="58">
        <v>676.95899999999995</v>
      </c>
      <c r="E37" s="59">
        <v>2.8000000000000001E-2</v>
      </c>
      <c r="F37" s="59">
        <v>4.0000000000000001E-3</v>
      </c>
      <c r="G37" s="87">
        <v>678.745</v>
      </c>
      <c r="H37" s="91">
        <f t="shared" si="0"/>
        <v>307.87330204</v>
      </c>
      <c r="I37" s="60">
        <f t="shared" si="1"/>
        <v>0.30787330204000002</v>
      </c>
      <c r="J37" s="58">
        <v>0.48099999999999998</v>
      </c>
      <c r="K37" s="58">
        <v>0.498</v>
      </c>
      <c r="L37" s="75">
        <v>0.17799999999999999</v>
      </c>
    </row>
    <row r="38" spans="2:12" ht="13.5" customHeight="1">
      <c r="B38" s="73" t="s">
        <v>453</v>
      </c>
      <c r="C38" s="57" t="e" vm="34">
        <v>#VALUE!</v>
      </c>
      <c r="D38" s="58">
        <v>489.70800000000003</v>
      </c>
      <c r="E38" s="59">
        <v>2.8000000000000001E-2</v>
      </c>
      <c r="F38" s="59">
        <v>3.0000000000000001E-3</v>
      </c>
      <c r="G38" s="87">
        <v>491.34800000000001</v>
      </c>
      <c r="H38" s="91">
        <f t="shared" si="0"/>
        <v>222.871522016</v>
      </c>
      <c r="I38" s="60">
        <f t="shared" si="1"/>
        <v>0.222871522016</v>
      </c>
      <c r="J38" s="58">
        <v>0.219</v>
      </c>
      <c r="K38" s="58">
        <v>0.21099999999999999</v>
      </c>
      <c r="L38" s="75">
        <v>7.8E-2</v>
      </c>
    </row>
    <row r="39" spans="2:12" ht="13.5" customHeight="1">
      <c r="B39" s="73" t="s">
        <v>454</v>
      </c>
      <c r="C39" s="57" t="e" vm="35">
        <v>#VALUE!</v>
      </c>
      <c r="D39" s="58">
        <v>1156.152</v>
      </c>
      <c r="E39" s="59">
        <v>8.8999999999999996E-2</v>
      </c>
      <c r="F39" s="59">
        <v>1.2999999999999999E-2</v>
      </c>
      <c r="G39" s="87">
        <v>1162.1279999999999</v>
      </c>
      <c r="H39" s="91">
        <f t="shared" si="0"/>
        <v>527.13196377599991</v>
      </c>
      <c r="I39" s="60">
        <f t="shared" si="1"/>
        <v>0.52713196377599991</v>
      </c>
      <c r="J39" s="58">
        <v>0.504</v>
      </c>
      <c r="K39" s="58">
        <v>0.33700000000000002</v>
      </c>
      <c r="L39" s="75">
        <v>1.026</v>
      </c>
    </row>
    <row r="40" spans="2:12" ht="13.5" customHeight="1">
      <c r="B40" s="73" t="s">
        <v>455</v>
      </c>
      <c r="C40" s="57" t="e" vm="36">
        <v>#VALUE!</v>
      </c>
      <c r="D40" s="58">
        <v>686.62900000000002</v>
      </c>
      <c r="E40" s="59">
        <v>3.7999999999999999E-2</v>
      </c>
      <c r="F40" s="59">
        <v>5.0000000000000001E-3</v>
      </c>
      <c r="G40" s="87">
        <v>689.12699999999995</v>
      </c>
      <c r="H40" s="91">
        <f t="shared" si="0"/>
        <v>312.58249418399998</v>
      </c>
      <c r="I40" s="60">
        <f t="shared" si="1"/>
        <v>0.31258249418399997</v>
      </c>
      <c r="J40" s="58">
        <v>0.51100000000000001</v>
      </c>
      <c r="K40" s="58">
        <v>0.59699999999999998</v>
      </c>
      <c r="L40" s="75">
        <v>0.316</v>
      </c>
    </row>
    <row r="41" spans="2:12" ht="13.5" customHeight="1">
      <c r="B41" s="73" t="s">
        <v>456</v>
      </c>
      <c r="C41" s="57" t="e" vm="37">
        <v>#VALUE!</v>
      </c>
      <c r="D41" s="58">
        <v>298.21100000000001</v>
      </c>
      <c r="E41" s="59">
        <v>1.4E-2</v>
      </c>
      <c r="F41" s="59">
        <v>2E-3</v>
      </c>
      <c r="G41" s="87">
        <v>299.065</v>
      </c>
      <c r="H41" s="91">
        <f t="shared" si="0"/>
        <v>135.65349147999999</v>
      </c>
      <c r="I41" s="60">
        <f t="shared" si="1"/>
        <v>0.13565349148</v>
      </c>
      <c r="J41" s="58">
        <v>0.43</v>
      </c>
      <c r="K41" s="58">
        <v>0.35</v>
      </c>
      <c r="L41" s="75">
        <v>0.02</v>
      </c>
    </row>
    <row r="42" spans="2:12" ht="13.5" customHeight="1">
      <c r="B42" s="73" t="s">
        <v>457</v>
      </c>
      <c r="C42" s="57" t="e" vm="38">
        <v>#VALUE!</v>
      </c>
      <c r="D42" s="58">
        <v>711.36599999999999</v>
      </c>
      <c r="E42" s="59">
        <v>4.3999999999999997E-2</v>
      </c>
      <c r="F42" s="59">
        <v>6.0000000000000001E-3</v>
      </c>
      <c r="G42" s="87">
        <v>714.22900000000004</v>
      </c>
      <c r="H42" s="91">
        <f t="shared" si="0"/>
        <v>323.96856056800004</v>
      </c>
      <c r="I42" s="60">
        <f t="shared" si="1"/>
        <v>0.32396856056800005</v>
      </c>
      <c r="J42" s="58">
        <v>0.28799999999999998</v>
      </c>
      <c r="K42" s="58">
        <v>0.218</v>
      </c>
      <c r="L42" s="75">
        <v>0.34899999999999998</v>
      </c>
    </row>
    <row r="43" spans="2:12" ht="13.5" customHeight="1">
      <c r="B43" s="73" t="s">
        <v>458</v>
      </c>
      <c r="C43" s="57" t="e" vm="39">
        <v>#VALUE!</v>
      </c>
      <c r="D43" s="58">
        <v>811.31700000000001</v>
      </c>
      <c r="E43" s="59">
        <v>1.6E-2</v>
      </c>
      <c r="F43" s="59">
        <v>2E-3</v>
      </c>
      <c r="G43" s="87">
        <v>812.18499999999995</v>
      </c>
      <c r="H43" s="91">
        <f t="shared" si="0"/>
        <v>368.40061851999997</v>
      </c>
      <c r="I43" s="60">
        <f t="shared" si="1"/>
        <v>0.36840061851999995</v>
      </c>
      <c r="J43" s="58">
        <v>0.44</v>
      </c>
      <c r="K43" s="58">
        <v>0.44400000000000001</v>
      </c>
      <c r="L43" s="75">
        <v>1.4E-2</v>
      </c>
    </row>
    <row r="44" spans="2:12" ht="13.5" customHeight="1">
      <c r="B44" s="73" t="s">
        <v>459</v>
      </c>
      <c r="C44" s="57" t="e" vm="40">
        <v>#VALUE!</v>
      </c>
      <c r="D44" s="58">
        <v>556.73599999999999</v>
      </c>
      <c r="E44" s="59">
        <v>4.7E-2</v>
      </c>
      <c r="F44" s="59">
        <v>7.0000000000000001E-3</v>
      </c>
      <c r="G44" s="87">
        <v>559.93399999999997</v>
      </c>
      <c r="H44" s="91">
        <f t="shared" si="0"/>
        <v>253.98158292799999</v>
      </c>
      <c r="I44" s="60">
        <f t="shared" si="1"/>
        <v>0.25398158292799999</v>
      </c>
      <c r="J44" s="58">
        <v>0.254</v>
      </c>
      <c r="K44" s="58">
        <v>0.254</v>
      </c>
      <c r="L44" s="75">
        <v>0.13700000000000001</v>
      </c>
    </row>
    <row r="45" spans="2:12" ht="13.5" customHeight="1">
      <c r="B45" s="73" t="s">
        <v>460</v>
      </c>
      <c r="C45" s="57" t="e" vm="41">
        <v>#VALUE!</v>
      </c>
      <c r="D45" s="58">
        <v>325.10500000000002</v>
      </c>
      <c r="E45" s="59">
        <v>2.7E-2</v>
      </c>
      <c r="F45" s="59">
        <v>4.0000000000000001E-3</v>
      </c>
      <c r="G45" s="87">
        <v>326.935</v>
      </c>
      <c r="H45" s="91">
        <f t="shared" si="0"/>
        <v>148.29510052000001</v>
      </c>
      <c r="I45" s="60">
        <f t="shared" si="1"/>
        <v>0.14829510052</v>
      </c>
      <c r="J45" s="58">
        <v>0.186</v>
      </c>
      <c r="K45" s="58">
        <v>0.27400000000000002</v>
      </c>
      <c r="L45" s="75">
        <v>8.3000000000000004E-2</v>
      </c>
    </row>
    <row r="46" spans="2:12" ht="13.5" customHeight="1">
      <c r="B46" s="73" t="s">
        <v>461</v>
      </c>
      <c r="C46" s="57" t="e" vm="42">
        <v>#VALUE!</v>
      </c>
      <c r="D46" s="58">
        <v>693.63199999999995</v>
      </c>
      <c r="E46" s="59">
        <v>0.06</v>
      </c>
      <c r="F46" s="59">
        <v>8.9999999999999993E-3</v>
      </c>
      <c r="G46" s="87">
        <v>697.72199999999998</v>
      </c>
      <c r="H46" s="91">
        <f t="shared" si="0"/>
        <v>316.48111742399999</v>
      </c>
      <c r="I46" s="60">
        <f t="shared" si="1"/>
        <v>0.31648111742399998</v>
      </c>
      <c r="J46" s="58">
        <v>0.25800000000000001</v>
      </c>
      <c r="K46" s="58">
        <v>0.28699999999999998</v>
      </c>
      <c r="L46" s="75">
        <v>0.28699999999999998</v>
      </c>
    </row>
    <row r="47" spans="2:12" ht="13.5" customHeight="1">
      <c r="B47" s="73" t="s">
        <v>462</v>
      </c>
      <c r="C47" s="57" t="e" vm="43">
        <v>#VALUE!</v>
      </c>
      <c r="D47" s="58">
        <v>818.53700000000003</v>
      </c>
      <c r="E47" s="59">
        <v>5.1999999999999998E-2</v>
      </c>
      <c r="F47" s="59">
        <v>7.0000000000000001E-3</v>
      </c>
      <c r="G47" s="87">
        <v>821.94600000000003</v>
      </c>
      <c r="H47" s="91">
        <f t="shared" si="0"/>
        <v>372.82813003199999</v>
      </c>
      <c r="I47" s="60">
        <f t="shared" si="1"/>
        <v>0.37282813003199999</v>
      </c>
      <c r="J47" s="58">
        <v>0.51600000000000001</v>
      </c>
      <c r="K47" s="58">
        <v>0.54700000000000004</v>
      </c>
      <c r="L47" s="75">
        <v>0.5</v>
      </c>
    </row>
    <row r="48" spans="2:12" ht="13.5" customHeight="1">
      <c r="B48" s="73" t="s">
        <v>463</v>
      </c>
      <c r="C48" s="57" t="e" vm="44">
        <v>#VALUE!</v>
      </c>
      <c r="D48" s="58">
        <v>1514.2819999999999</v>
      </c>
      <c r="E48" s="59">
        <v>0.14699999999999999</v>
      </c>
      <c r="F48" s="59">
        <v>2.1000000000000001E-2</v>
      </c>
      <c r="G48" s="87">
        <v>1524.252</v>
      </c>
      <c r="H48" s="91">
        <f t="shared" si="0"/>
        <v>691.38851318399998</v>
      </c>
      <c r="I48" s="60">
        <f t="shared" si="1"/>
        <v>0.69138851318399996</v>
      </c>
      <c r="J48" s="58">
        <v>1.548</v>
      </c>
      <c r="K48" s="58">
        <v>1.5640000000000001</v>
      </c>
      <c r="L48" s="75">
        <v>0.45300000000000001</v>
      </c>
    </row>
    <row r="49" spans="2:12" ht="13.5" customHeight="1">
      <c r="B49" s="73" t="s">
        <v>464</v>
      </c>
      <c r="C49" s="57" t="e" vm="45">
        <v>#VALUE!</v>
      </c>
      <c r="D49" s="58">
        <v>587.44899999999996</v>
      </c>
      <c r="E49" s="59">
        <v>5.2999999999999999E-2</v>
      </c>
      <c r="F49" s="59">
        <v>7.0000000000000001E-3</v>
      </c>
      <c r="G49" s="87">
        <v>589.971</v>
      </c>
      <c r="H49" s="91">
        <f t="shared" si="0"/>
        <v>267.60612583199998</v>
      </c>
      <c r="I49" s="60">
        <f t="shared" si="1"/>
        <v>0.267606125832</v>
      </c>
      <c r="J49" s="58">
        <v>0.223</v>
      </c>
      <c r="K49" s="58">
        <v>0.23200000000000001</v>
      </c>
      <c r="L49" s="75">
        <v>9.7000000000000003E-2</v>
      </c>
    </row>
    <row r="50" spans="2:12" ht="13.5" customHeight="1">
      <c r="B50" s="73" t="s">
        <v>465</v>
      </c>
      <c r="C50" s="56" t="e" vm="46">
        <v>#VALUE!</v>
      </c>
      <c r="D50" s="58">
        <v>35.627000000000002</v>
      </c>
      <c r="E50" s="59">
        <v>0.109</v>
      </c>
      <c r="F50" s="59">
        <v>1.4E-2</v>
      </c>
      <c r="G50" s="87">
        <v>42.609000000000002</v>
      </c>
      <c r="H50" s="91">
        <f t="shared" si="0"/>
        <v>19.327101528</v>
      </c>
      <c r="I50" s="60">
        <f t="shared" si="1"/>
        <v>1.9327101528000001E-2</v>
      </c>
      <c r="J50" s="58">
        <v>0.14599999999999999</v>
      </c>
      <c r="K50" s="58">
        <v>0.129</v>
      </c>
      <c r="L50" s="75">
        <v>0.03</v>
      </c>
    </row>
    <row r="51" spans="2:12" ht="13.5" customHeight="1">
      <c r="B51" s="73" t="s">
        <v>466</v>
      </c>
      <c r="C51" s="57" t="e" vm="47">
        <v>#VALUE!</v>
      </c>
      <c r="D51" s="58">
        <v>184.81</v>
      </c>
      <c r="E51" s="59">
        <v>1.7000000000000001E-2</v>
      </c>
      <c r="F51" s="59">
        <v>2E-3</v>
      </c>
      <c r="G51" s="87">
        <v>185.965</v>
      </c>
      <c r="H51" s="91">
        <f t="shared" si="0"/>
        <v>84.35223628</v>
      </c>
      <c r="I51" s="60">
        <f t="shared" si="1"/>
        <v>8.4352236280000006E-2</v>
      </c>
      <c r="J51" s="58">
        <v>0.127</v>
      </c>
      <c r="K51" s="58">
        <v>0.104</v>
      </c>
      <c r="L51" s="75">
        <v>3.2000000000000001E-2</v>
      </c>
    </row>
    <row r="52" spans="2:12" ht="13.5" customHeight="1">
      <c r="B52" s="73" t="s">
        <v>467</v>
      </c>
      <c r="C52" s="57" t="e" vm="48">
        <v>#VALUE!</v>
      </c>
      <c r="D52" s="58">
        <v>1171.4549999999999</v>
      </c>
      <c r="E52" s="59">
        <v>0.10299999999999999</v>
      </c>
      <c r="F52" s="59">
        <v>1.4999999999999999E-2</v>
      </c>
      <c r="G52" s="87">
        <v>1178.4079999999999</v>
      </c>
      <c r="H52" s="91">
        <f t="shared" si="0"/>
        <v>534.516441536</v>
      </c>
      <c r="I52" s="60">
        <f t="shared" si="1"/>
        <v>0.53451644153599998</v>
      </c>
      <c r="J52" s="58">
        <v>0.50900000000000001</v>
      </c>
      <c r="K52" s="58">
        <v>0.53100000000000003</v>
      </c>
      <c r="L52" s="75">
        <v>0.183</v>
      </c>
    </row>
    <row r="53" spans="2:12" ht="13.5" customHeight="1">
      <c r="B53" s="73" t="s">
        <v>468</v>
      </c>
      <c r="C53" s="57" t="e" vm="49">
        <v>#VALUE!</v>
      </c>
      <c r="D53" s="58">
        <v>1958.8969999999999</v>
      </c>
      <c r="E53" s="59">
        <v>0.22600000000000001</v>
      </c>
      <c r="F53" s="59">
        <v>3.3000000000000002E-2</v>
      </c>
      <c r="G53" s="87">
        <v>1974.326</v>
      </c>
      <c r="H53" s="91">
        <f t="shared" si="0"/>
        <v>895.53847899200002</v>
      </c>
      <c r="I53" s="60">
        <f t="shared" si="1"/>
        <v>0.89553847899200001</v>
      </c>
      <c r="J53" s="58">
        <v>1.0720000000000001</v>
      </c>
      <c r="K53" s="58">
        <v>0.92400000000000004</v>
      </c>
      <c r="L53" s="75">
        <v>1.659</v>
      </c>
    </row>
    <row r="54" spans="2:12" ht="13.5" customHeight="1" thickBot="1">
      <c r="B54" s="74" t="s">
        <v>469</v>
      </c>
      <c r="C54" s="57" t="e" vm="50">
        <v>#VALUE!</v>
      </c>
      <c r="D54" s="61">
        <v>1804.4870000000001</v>
      </c>
      <c r="E54" s="62">
        <v>0.192</v>
      </c>
      <c r="F54" s="62">
        <v>2.8000000000000001E-2</v>
      </c>
      <c r="G54" s="88">
        <v>1817.5840000000001</v>
      </c>
      <c r="H54" s="91">
        <f t="shared" si="0"/>
        <v>824.44156172800001</v>
      </c>
      <c r="I54" s="60">
        <f t="shared" si="1"/>
        <v>0.82444156172799998</v>
      </c>
      <c r="J54" s="61">
        <v>1.1990000000000001</v>
      </c>
      <c r="K54" s="61">
        <v>1.2769999999999999</v>
      </c>
      <c r="L54" s="76">
        <v>1.1739999999999999</v>
      </c>
    </row>
    <row r="55" spans="2:12" s="69" customFormat="1" ht="13.5" customHeight="1" thickTop="1" thickBot="1">
      <c r="B55" s="63" t="s">
        <v>470</v>
      </c>
      <c r="C55" s="63"/>
      <c r="D55" s="64">
        <v>823.149</v>
      </c>
      <c r="E55" s="65">
        <v>6.6000000000000003E-2</v>
      </c>
      <c r="F55" s="65">
        <v>8.9999999999999993E-3</v>
      </c>
      <c r="G55" s="66">
        <v>827.52</v>
      </c>
      <c r="H55" s="92">
        <f t="shared" si="0"/>
        <v>375.35645183999998</v>
      </c>
      <c r="I55" s="67">
        <f t="shared" si="1"/>
        <v>0.37535645183999999</v>
      </c>
      <c r="J55" s="68">
        <v>0.504</v>
      </c>
      <c r="K55" s="64">
        <v>0.48499999999999999</v>
      </c>
      <c r="L55" s="77">
        <v>0.47299999999999998</v>
      </c>
    </row>
    <row r="56" spans="2:12" ht="15" thickTop="1">
      <c r="K56" s="71" t="s">
        <v>471</v>
      </c>
      <c r="L56" s="72">
        <v>45321</v>
      </c>
    </row>
  </sheetData>
  <mergeCells count="2">
    <mergeCell ref="B2:L3"/>
    <mergeCell ref="B1:L1"/>
  </mergeCells>
  <printOptions horizontalCentered="1" verticalCentered="1"/>
  <pageMargins left="0.5" right="0.5" top="0.5" bottom="0.5" header="0.3" footer="0.3"/>
  <pageSetup scale="90" orientation="portrait" horizontalDpi="1200" verticalDpi="1200" r:id="rId1"/>
  <drawing r:id="rId2"/>
  <legacyDrawing r:id="rId3"/>
  <tableParts count="1">
    <tablePart r:id="rId4"/>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851EE3-40CC-A14E-A563-774427A086D7}">
  <sheetPr codeName="Sheet17"/>
  <dimension ref="A1:D145"/>
  <sheetViews>
    <sheetView showGridLines="0" zoomScale="69" workbookViewId="0">
      <selection activeCell="T18" sqref="T18"/>
    </sheetView>
  </sheetViews>
  <sheetFormatPr baseColWidth="10" defaultColWidth="8.83203125" defaultRowHeight="15"/>
  <cols>
    <col min="1" max="16384" width="8.83203125" style="234"/>
  </cols>
  <sheetData>
    <row r="1" spans="1:4">
      <c r="A1" s="234" t="s">
        <v>768</v>
      </c>
      <c r="B1" s="234" t="s">
        <v>763</v>
      </c>
      <c r="C1" s="234" t="s">
        <v>769</v>
      </c>
      <c r="D1" s="234" t="s">
        <v>769</v>
      </c>
    </row>
    <row r="2" spans="1:4">
      <c r="A2" s="234" t="s">
        <v>770</v>
      </c>
      <c r="B2" s="234">
        <v>-0.17</v>
      </c>
      <c r="C2" s="234" t="s">
        <v>769</v>
      </c>
      <c r="D2" s="234" t="s">
        <v>769</v>
      </c>
    </row>
    <row r="3" spans="1:4">
      <c r="A3" s="234" t="s">
        <v>771</v>
      </c>
      <c r="B3" s="234">
        <v>-0.13</v>
      </c>
      <c r="C3" s="234" t="s">
        <v>769</v>
      </c>
      <c r="D3" s="234" t="s">
        <v>769</v>
      </c>
    </row>
    <row r="4" spans="1:4">
      <c r="A4" s="234" t="s">
        <v>772</v>
      </c>
      <c r="B4" s="234">
        <v>-0.12</v>
      </c>
      <c r="C4" s="234" t="s">
        <v>769</v>
      </c>
      <c r="D4" s="234" t="s">
        <v>769</v>
      </c>
    </row>
    <row r="5" spans="1:4">
      <c r="A5" s="234" t="s">
        <v>773</v>
      </c>
      <c r="B5" s="234">
        <v>-0.22</v>
      </c>
      <c r="C5" s="234" t="s">
        <v>769</v>
      </c>
      <c r="D5" s="234" t="s">
        <v>769</v>
      </c>
    </row>
    <row r="6" spans="1:4">
      <c r="A6" s="234" t="s">
        <v>774</v>
      </c>
      <c r="B6" s="234">
        <v>-0.31</v>
      </c>
    </row>
    <row r="7" spans="1:4">
      <c r="A7" s="234" t="s">
        <v>775</v>
      </c>
      <c r="B7" s="234">
        <v>-0.33</v>
      </c>
    </row>
    <row r="8" spans="1:4">
      <c r="A8" s="234" t="s">
        <v>776</v>
      </c>
      <c r="B8" s="234">
        <v>-0.26</v>
      </c>
    </row>
    <row r="9" spans="1:4">
      <c r="A9" s="234" t="s">
        <v>777</v>
      </c>
      <c r="B9" s="234">
        <v>-0.31</v>
      </c>
    </row>
    <row r="10" spans="1:4">
      <c r="A10" s="234" t="s">
        <v>778</v>
      </c>
      <c r="B10" s="234">
        <v>-0.17</v>
      </c>
    </row>
    <row r="11" spans="1:4">
      <c r="A11" s="234" t="s">
        <v>779</v>
      </c>
      <c r="B11" s="234">
        <v>-0.08</v>
      </c>
    </row>
    <row r="12" spans="1:4">
      <c r="A12" s="234" t="s">
        <v>780</v>
      </c>
      <c r="B12" s="234">
        <v>-0.28000000000000003</v>
      </c>
    </row>
    <row r="13" spans="1:4">
      <c r="A13" s="234" t="s">
        <v>781</v>
      </c>
      <c r="B13" s="234">
        <v>-0.19</v>
      </c>
    </row>
    <row r="14" spans="1:4">
      <c r="A14" s="234" t="s">
        <v>782</v>
      </c>
      <c r="B14" s="234">
        <v>-0.26</v>
      </c>
    </row>
    <row r="15" spans="1:4">
      <c r="A15" s="234" t="s">
        <v>783</v>
      </c>
      <c r="B15" s="234">
        <v>-0.32</v>
      </c>
    </row>
    <row r="16" spans="1:4">
      <c r="A16" s="234" t="s">
        <v>784</v>
      </c>
      <c r="B16" s="234">
        <v>-0.23</v>
      </c>
    </row>
    <row r="17" spans="1:2">
      <c r="A17" s="234" t="s">
        <v>785</v>
      </c>
      <c r="B17" s="234">
        <v>-0.19</v>
      </c>
    </row>
    <row r="18" spans="1:2">
      <c r="A18" s="234" t="s">
        <v>786</v>
      </c>
      <c r="B18" s="234">
        <v>-0.06</v>
      </c>
    </row>
    <row r="19" spans="1:2">
      <c r="A19" s="234" t="s">
        <v>787</v>
      </c>
      <c r="B19" s="234">
        <v>-7.0000000000000007E-2</v>
      </c>
    </row>
    <row r="20" spans="1:2">
      <c r="A20" s="234" t="s">
        <v>788</v>
      </c>
      <c r="B20" s="234">
        <v>-0.23</v>
      </c>
    </row>
    <row r="21" spans="1:2">
      <c r="A21" s="234" t="s">
        <v>789</v>
      </c>
      <c r="B21" s="234">
        <v>-0.16</v>
      </c>
    </row>
    <row r="22" spans="1:2">
      <c r="A22" s="234" t="s">
        <v>790</v>
      </c>
      <c r="B22" s="234">
        <v>-0.09</v>
      </c>
    </row>
    <row r="23" spans="1:2">
      <c r="A23" s="234" t="s">
        <v>791</v>
      </c>
      <c r="B23" s="234">
        <v>-0.13</v>
      </c>
    </row>
    <row r="24" spans="1:2">
      <c r="A24" s="234" t="s">
        <v>792</v>
      </c>
      <c r="B24" s="234">
        <v>-0.23</v>
      </c>
    </row>
    <row r="25" spans="1:2">
      <c r="A25" s="234" t="s">
        <v>793</v>
      </c>
      <c r="B25" s="234">
        <v>-0.32</v>
      </c>
    </row>
    <row r="26" spans="1:2">
      <c r="A26" s="234" t="s">
        <v>794</v>
      </c>
      <c r="B26" s="234">
        <v>-0.43</v>
      </c>
    </row>
    <row r="27" spans="1:2">
      <c r="A27" s="234" t="s">
        <v>795</v>
      </c>
      <c r="B27" s="234">
        <v>-0.24</v>
      </c>
    </row>
    <row r="28" spans="1:2">
      <c r="A28" s="234" t="s">
        <v>796</v>
      </c>
      <c r="B28" s="234">
        <v>-0.21</v>
      </c>
    </row>
    <row r="29" spans="1:2">
      <c r="A29" s="234" t="s">
        <v>797</v>
      </c>
      <c r="B29" s="234">
        <v>-0.33</v>
      </c>
    </row>
    <row r="30" spans="1:2">
      <c r="A30" s="234" t="s">
        <v>798</v>
      </c>
      <c r="B30" s="234">
        <v>-0.4</v>
      </c>
    </row>
    <row r="31" spans="1:2">
      <c r="A31" s="234" t="s">
        <v>799</v>
      </c>
      <c r="B31" s="234">
        <v>-0.44</v>
      </c>
    </row>
    <row r="32" spans="1:2">
      <c r="A32" s="234" t="s">
        <v>800</v>
      </c>
      <c r="B32" s="234">
        <v>-0.4</v>
      </c>
    </row>
    <row r="33" spans="1:2">
      <c r="A33" s="234" t="s">
        <v>801</v>
      </c>
      <c r="B33" s="234">
        <v>-0.41</v>
      </c>
    </row>
    <row r="34" spans="1:2">
      <c r="A34" s="234" t="s">
        <v>802</v>
      </c>
      <c r="B34" s="234">
        <v>-0.33</v>
      </c>
    </row>
    <row r="35" spans="1:2">
      <c r="A35" s="234" t="s">
        <v>803</v>
      </c>
      <c r="B35" s="234">
        <v>-0.33</v>
      </c>
    </row>
    <row r="36" spans="1:2">
      <c r="A36" s="234" t="s">
        <v>804</v>
      </c>
      <c r="B36" s="234">
        <v>-0.15</v>
      </c>
    </row>
    <row r="37" spans="1:2">
      <c r="A37" s="234" t="s">
        <v>805</v>
      </c>
      <c r="B37" s="234">
        <v>-0.1</v>
      </c>
    </row>
    <row r="38" spans="1:2">
      <c r="A38" s="234" t="s">
        <v>806</v>
      </c>
      <c r="B38" s="234">
        <v>-0.32</v>
      </c>
    </row>
    <row r="39" spans="1:2">
      <c r="A39" s="234" t="s">
        <v>807</v>
      </c>
      <c r="B39" s="234">
        <v>-0.44</v>
      </c>
    </row>
    <row r="40" spans="1:2">
      <c r="A40" s="234" t="s">
        <v>808</v>
      </c>
      <c r="B40" s="234">
        <v>-0.28999999999999998</v>
      </c>
    </row>
    <row r="41" spans="1:2">
      <c r="A41" s="234" t="s">
        <v>809</v>
      </c>
      <c r="B41" s="234">
        <v>-0.24</v>
      </c>
    </row>
    <row r="42" spans="1:2">
      <c r="A42" s="234" t="s">
        <v>810</v>
      </c>
      <c r="B42" s="234">
        <v>-0.25</v>
      </c>
    </row>
    <row r="43" spans="1:2">
      <c r="A43" s="234" t="s">
        <v>811</v>
      </c>
      <c r="B43" s="234">
        <v>-0.18</v>
      </c>
    </row>
    <row r="44" spans="1:2">
      <c r="A44" s="234" t="s">
        <v>812</v>
      </c>
      <c r="B44" s="234">
        <v>-0.25</v>
      </c>
    </row>
    <row r="45" spans="1:2">
      <c r="A45" s="234" t="s">
        <v>813</v>
      </c>
      <c r="B45" s="234">
        <v>-0.24</v>
      </c>
    </row>
    <row r="46" spans="1:2">
      <c r="A46" s="234" t="s">
        <v>814</v>
      </c>
      <c r="B46" s="234">
        <v>-0.23</v>
      </c>
    </row>
    <row r="47" spans="1:2">
      <c r="A47" s="234" t="s">
        <v>815</v>
      </c>
      <c r="B47" s="234">
        <v>-0.2</v>
      </c>
    </row>
    <row r="48" spans="1:2">
      <c r="A48" s="234" t="s">
        <v>816</v>
      </c>
      <c r="B48" s="234">
        <v>-0.09</v>
      </c>
    </row>
    <row r="49" spans="1:2">
      <c r="A49" s="234" t="s">
        <v>817</v>
      </c>
      <c r="B49" s="234">
        <v>-0.18</v>
      </c>
    </row>
    <row r="50" spans="1:2">
      <c r="A50" s="234" t="s">
        <v>818</v>
      </c>
      <c r="B50" s="234">
        <v>-0.17</v>
      </c>
    </row>
    <row r="51" spans="1:2">
      <c r="A51" s="234" t="s">
        <v>819</v>
      </c>
      <c r="B51" s="234">
        <v>-0.31</v>
      </c>
    </row>
    <row r="52" spans="1:2">
      <c r="A52" s="234" t="s">
        <v>820</v>
      </c>
      <c r="B52" s="234">
        <v>-0.11</v>
      </c>
    </row>
    <row r="53" spans="1:2">
      <c r="A53" s="234" t="s">
        <v>821</v>
      </c>
      <c r="B53" s="234">
        <v>-0.06</v>
      </c>
    </row>
    <row r="54" spans="1:2">
      <c r="A54" s="234" t="s">
        <v>822</v>
      </c>
      <c r="B54" s="234">
        <v>-0.12</v>
      </c>
    </row>
    <row r="55" spans="1:2">
      <c r="A55" s="234" t="s">
        <v>823</v>
      </c>
      <c r="B55" s="234">
        <v>-0.25</v>
      </c>
    </row>
    <row r="56" spans="1:2">
      <c r="A56" s="234" t="s">
        <v>824</v>
      </c>
      <c r="B56" s="234">
        <v>-0.11</v>
      </c>
    </row>
    <row r="57" spans="1:2">
      <c r="A57" s="234" t="s">
        <v>825</v>
      </c>
      <c r="B57" s="234">
        <v>-0.16</v>
      </c>
    </row>
    <row r="58" spans="1:2">
      <c r="A58" s="234" t="s">
        <v>826</v>
      </c>
      <c r="B58" s="234">
        <v>-0.12</v>
      </c>
    </row>
    <row r="59" spans="1:2">
      <c r="A59" s="234" t="s">
        <v>827</v>
      </c>
      <c r="B59" s="234">
        <v>0.01</v>
      </c>
    </row>
    <row r="60" spans="1:2">
      <c r="A60" s="234" t="s">
        <v>828</v>
      </c>
      <c r="B60" s="234">
        <v>0.01</v>
      </c>
    </row>
    <row r="61" spans="1:2">
      <c r="A61" s="234" t="s">
        <v>829</v>
      </c>
      <c r="B61" s="234">
        <v>0.01</v>
      </c>
    </row>
    <row r="62" spans="1:2">
      <c r="A62" s="234" t="s">
        <v>830</v>
      </c>
      <c r="B62" s="234">
        <v>0.16</v>
      </c>
    </row>
    <row r="63" spans="1:2">
      <c r="A63" s="234" t="s">
        <v>831</v>
      </c>
      <c r="B63" s="234">
        <v>0.22</v>
      </c>
    </row>
    <row r="64" spans="1:2">
      <c r="A64" s="234" t="s">
        <v>832</v>
      </c>
      <c r="B64" s="234">
        <v>0.09</v>
      </c>
    </row>
    <row r="65" spans="1:2">
      <c r="A65" s="234" t="s">
        <v>833</v>
      </c>
      <c r="B65" s="234">
        <v>0.1</v>
      </c>
    </row>
    <row r="66" spans="1:2">
      <c r="A66" s="234" t="s">
        <v>834</v>
      </c>
      <c r="B66" s="234">
        <v>0.23</v>
      </c>
    </row>
    <row r="67" spans="1:2">
      <c r="A67" s="234" t="s">
        <v>835</v>
      </c>
      <c r="B67" s="234">
        <v>0.14000000000000001</v>
      </c>
    </row>
    <row r="68" spans="1:2">
      <c r="A68" s="234" t="s">
        <v>836</v>
      </c>
      <c r="B68" s="234">
        <v>-0.04</v>
      </c>
    </row>
    <row r="69" spans="1:2">
      <c r="A69" s="234" t="s">
        <v>837</v>
      </c>
      <c r="B69" s="234">
        <v>-0.01</v>
      </c>
    </row>
    <row r="70" spans="1:2">
      <c r="A70" s="234" t="s">
        <v>838</v>
      </c>
      <c r="B70" s="234">
        <v>-0.06</v>
      </c>
    </row>
    <row r="71" spans="1:2">
      <c r="A71" s="234" t="s">
        <v>839</v>
      </c>
      <c r="B71" s="234">
        <v>-0.06</v>
      </c>
    </row>
    <row r="72" spans="1:2">
      <c r="A72" s="234" t="s">
        <v>840</v>
      </c>
      <c r="B72" s="234">
        <v>-0.12</v>
      </c>
    </row>
    <row r="73" spans="1:2">
      <c r="A73" s="234" t="s">
        <v>841</v>
      </c>
      <c r="B73" s="234">
        <v>-0.01</v>
      </c>
    </row>
    <row r="74" spans="1:2">
      <c r="A74" s="234" t="s">
        <v>842</v>
      </c>
      <c r="B74" s="234">
        <v>0.05</v>
      </c>
    </row>
    <row r="75" spans="1:2">
      <c r="A75" s="234" t="s">
        <v>843</v>
      </c>
      <c r="B75" s="234">
        <v>0.13</v>
      </c>
    </row>
    <row r="76" spans="1:2">
      <c r="A76" s="234" t="s">
        <v>844</v>
      </c>
      <c r="B76" s="234">
        <v>-7.0000000000000007E-2</v>
      </c>
    </row>
    <row r="77" spans="1:2">
      <c r="A77" s="234" t="s">
        <v>845</v>
      </c>
      <c r="B77" s="234">
        <v>-0.13</v>
      </c>
    </row>
    <row r="78" spans="1:2">
      <c r="A78" s="234" t="s">
        <v>846</v>
      </c>
      <c r="B78" s="234">
        <v>-0.17</v>
      </c>
    </row>
    <row r="79" spans="1:2">
      <c r="A79" s="234" t="s">
        <v>847</v>
      </c>
      <c r="B79" s="234">
        <v>0.06</v>
      </c>
    </row>
    <row r="80" spans="1:2">
      <c r="A80" s="234" t="s">
        <v>848</v>
      </c>
      <c r="B80" s="234">
        <v>0.08</v>
      </c>
    </row>
    <row r="81" spans="1:2">
      <c r="A81" s="234" t="s">
        <v>849</v>
      </c>
      <c r="B81" s="234">
        <v>7.0000000000000007E-2</v>
      </c>
    </row>
    <row r="82" spans="1:2">
      <c r="A82" s="234" t="s">
        <v>850</v>
      </c>
      <c r="B82" s="234">
        <v>0.03</v>
      </c>
    </row>
    <row r="83" spans="1:2">
      <c r="A83" s="234" t="s">
        <v>851</v>
      </c>
      <c r="B83" s="234">
        <v>7.0000000000000007E-2</v>
      </c>
    </row>
    <row r="84" spans="1:2">
      <c r="A84" s="234" t="s">
        <v>852</v>
      </c>
      <c r="B84" s="234">
        <v>0.05</v>
      </c>
    </row>
    <row r="85" spans="1:2">
      <c r="A85" s="234" t="s">
        <v>853</v>
      </c>
      <c r="B85" s="234">
        <v>0.08</v>
      </c>
    </row>
    <row r="86" spans="1:2">
      <c r="A86" s="234" t="s">
        <v>854</v>
      </c>
      <c r="B86" s="234">
        <v>-0.15</v>
      </c>
    </row>
    <row r="87" spans="1:2">
      <c r="A87" s="234" t="s">
        <v>855</v>
      </c>
      <c r="B87" s="234">
        <v>-0.06</v>
      </c>
    </row>
    <row r="88" spans="1:2">
      <c r="A88" s="234" t="s">
        <v>856</v>
      </c>
      <c r="B88" s="234">
        <v>-0.02</v>
      </c>
    </row>
    <row r="89" spans="1:2">
      <c r="A89" s="234" t="s">
        <v>857</v>
      </c>
      <c r="B89" s="234">
        <v>0.01</v>
      </c>
    </row>
    <row r="90" spans="1:2">
      <c r="A90" s="234" t="s">
        <v>858</v>
      </c>
      <c r="B90" s="234">
        <v>-0.06</v>
      </c>
    </row>
    <row r="91" spans="1:2">
      <c r="A91" s="234" t="s">
        <v>859</v>
      </c>
      <c r="B91" s="234">
        <v>0.09</v>
      </c>
    </row>
    <row r="92" spans="1:2">
      <c r="A92" s="234" t="s">
        <v>860</v>
      </c>
      <c r="B92" s="234">
        <v>0.06</v>
      </c>
    </row>
    <row r="93" spans="1:2">
      <c r="A93" s="234" t="s">
        <v>861</v>
      </c>
      <c r="B93" s="234">
        <v>-0.05</v>
      </c>
    </row>
    <row r="94" spans="1:2">
      <c r="A94" s="234" t="s">
        <v>862</v>
      </c>
      <c r="B94" s="234">
        <v>0.03</v>
      </c>
    </row>
    <row r="95" spans="1:2">
      <c r="A95" s="234" t="s">
        <v>863</v>
      </c>
      <c r="B95" s="234">
        <v>0.2</v>
      </c>
    </row>
    <row r="96" spans="1:2">
      <c r="A96" s="234" t="s">
        <v>864</v>
      </c>
      <c r="B96" s="234">
        <v>-0.05</v>
      </c>
    </row>
    <row r="97" spans="1:2">
      <c r="A97" s="234" t="s">
        <v>865</v>
      </c>
      <c r="B97" s="234">
        <v>0.02</v>
      </c>
    </row>
    <row r="98" spans="1:2">
      <c r="A98" s="234" t="s">
        <v>866</v>
      </c>
      <c r="B98" s="234">
        <v>-0.03</v>
      </c>
    </row>
    <row r="99" spans="1:2">
      <c r="A99" s="234" t="s">
        <v>867</v>
      </c>
      <c r="B99" s="234">
        <v>0.21</v>
      </c>
    </row>
    <row r="100" spans="1:2">
      <c r="A100" s="234" t="s">
        <v>868</v>
      </c>
      <c r="B100" s="234">
        <v>0.11</v>
      </c>
    </row>
    <row r="101" spans="1:2">
      <c r="A101" s="234" t="s">
        <v>869</v>
      </c>
      <c r="B101" s="234">
        <v>0.22</v>
      </c>
    </row>
    <row r="102" spans="1:2">
      <c r="A102" s="234" t="s">
        <v>870</v>
      </c>
      <c r="B102" s="234">
        <v>0.28999999999999998</v>
      </c>
    </row>
    <row r="103" spans="1:2">
      <c r="A103" s="234" t="s">
        <v>871</v>
      </c>
      <c r="B103" s="234">
        <v>0.35</v>
      </c>
    </row>
    <row r="104" spans="1:2">
      <c r="A104" s="234" t="s">
        <v>872</v>
      </c>
      <c r="B104" s="234">
        <v>0.19</v>
      </c>
    </row>
    <row r="105" spans="1:2">
      <c r="A105" s="234" t="s">
        <v>873</v>
      </c>
      <c r="B105" s="234">
        <v>0.35</v>
      </c>
    </row>
    <row r="106" spans="1:2">
      <c r="A106" s="234" t="s">
        <v>874</v>
      </c>
      <c r="B106" s="234">
        <v>0.2</v>
      </c>
    </row>
    <row r="107" spans="1:2">
      <c r="A107" s="234" t="s">
        <v>875</v>
      </c>
      <c r="B107" s="234">
        <v>0.17</v>
      </c>
    </row>
    <row r="108" spans="1:2">
      <c r="A108" s="234" t="s">
        <v>876</v>
      </c>
      <c r="B108" s="234">
        <v>0.21</v>
      </c>
    </row>
    <row r="109" spans="1:2">
      <c r="A109" s="234" t="s">
        <v>877</v>
      </c>
      <c r="B109" s="234">
        <v>0.34</v>
      </c>
    </row>
    <row r="110" spans="1:2">
      <c r="A110" s="234" t="s">
        <v>878</v>
      </c>
      <c r="B110" s="234">
        <v>0.42</v>
      </c>
    </row>
    <row r="111" spans="1:2">
      <c r="A111" s="234" t="s">
        <v>879</v>
      </c>
      <c r="B111" s="234">
        <v>0.31</v>
      </c>
    </row>
    <row r="112" spans="1:2">
      <c r="A112" s="234" t="s">
        <v>880</v>
      </c>
      <c r="B112" s="234">
        <v>0.45</v>
      </c>
    </row>
    <row r="113" spans="1:2">
      <c r="A113" s="234" t="s">
        <v>881</v>
      </c>
      <c r="B113" s="234">
        <v>0.42</v>
      </c>
    </row>
    <row r="114" spans="1:2">
      <c r="A114" s="234" t="s">
        <v>882</v>
      </c>
      <c r="B114" s="234">
        <v>0.23</v>
      </c>
    </row>
    <row r="115" spans="1:2">
      <c r="A115" s="234" t="s">
        <v>883</v>
      </c>
      <c r="B115" s="234">
        <v>0.27</v>
      </c>
    </row>
    <row r="116" spans="1:2">
      <c r="A116" s="234" t="s">
        <v>884</v>
      </c>
      <c r="B116" s="234">
        <v>0.32</v>
      </c>
    </row>
    <row r="117" spans="1:2">
      <c r="A117" s="234" t="s">
        <v>885</v>
      </c>
      <c r="B117" s="234">
        <v>0.48</v>
      </c>
    </row>
    <row r="118" spans="1:2">
      <c r="A118" s="234" t="s">
        <v>886</v>
      </c>
      <c r="B118" s="234">
        <v>0.36</v>
      </c>
    </row>
    <row r="119" spans="1:2">
      <c r="A119" s="234" t="s">
        <v>887</v>
      </c>
      <c r="B119" s="234">
        <v>0.5</v>
      </c>
    </row>
    <row r="120" spans="1:2">
      <c r="A120" s="234" t="s">
        <v>888</v>
      </c>
      <c r="B120" s="234">
        <v>0.63</v>
      </c>
    </row>
    <row r="121" spans="1:2">
      <c r="A121" s="234" t="s">
        <v>889</v>
      </c>
      <c r="B121" s="234">
        <v>0.42</v>
      </c>
    </row>
    <row r="122" spans="1:2">
      <c r="A122" s="234" t="s">
        <v>890</v>
      </c>
      <c r="B122" s="234">
        <v>0.43</v>
      </c>
    </row>
    <row r="123" spans="1:2">
      <c r="A123" s="234" t="s">
        <v>891</v>
      </c>
      <c r="B123" s="234">
        <v>0.55000000000000004</v>
      </c>
    </row>
    <row r="124" spans="1:2">
      <c r="A124" s="234" t="s">
        <v>892</v>
      </c>
      <c r="B124" s="234">
        <v>0.62</v>
      </c>
    </row>
    <row r="125" spans="1:2">
      <c r="A125" s="234" t="s">
        <v>893</v>
      </c>
      <c r="B125" s="234">
        <v>0.63</v>
      </c>
    </row>
    <row r="126" spans="1:2">
      <c r="A126" s="234" t="s">
        <v>894</v>
      </c>
      <c r="B126" s="234">
        <v>0.55000000000000004</v>
      </c>
    </row>
    <row r="127" spans="1:2">
      <c r="A127" s="234" t="s">
        <v>895</v>
      </c>
      <c r="B127" s="234">
        <v>0.7</v>
      </c>
    </row>
    <row r="128" spans="1:2">
      <c r="A128" s="234" t="s">
        <v>896</v>
      </c>
      <c r="B128" s="234">
        <v>0.66</v>
      </c>
    </row>
    <row r="129" spans="1:2">
      <c r="A129" s="234" t="s">
        <v>897</v>
      </c>
      <c r="B129" s="234">
        <v>0.66</v>
      </c>
    </row>
    <row r="130" spans="1:2">
      <c r="A130" s="234" t="s">
        <v>898</v>
      </c>
      <c r="B130" s="234">
        <v>0.55000000000000004</v>
      </c>
    </row>
    <row r="131" spans="1:2">
      <c r="A131" s="234" t="s">
        <v>899</v>
      </c>
      <c r="B131" s="234">
        <v>0.66</v>
      </c>
    </row>
    <row r="132" spans="1:2">
      <c r="A132" s="234" t="s">
        <v>900</v>
      </c>
      <c r="B132" s="234">
        <v>0.73</v>
      </c>
    </row>
    <row r="133" spans="1:2">
      <c r="A133" s="234" t="s">
        <v>901</v>
      </c>
      <c r="B133" s="234">
        <v>0.63</v>
      </c>
    </row>
    <row r="134" spans="1:2">
      <c r="A134" s="234" t="s">
        <v>902</v>
      </c>
      <c r="B134" s="234">
        <v>0.66</v>
      </c>
    </row>
    <row r="135" spans="1:2">
      <c r="A135" s="234" t="s">
        <v>903</v>
      </c>
      <c r="B135" s="234">
        <v>0.68</v>
      </c>
    </row>
    <row r="136" spans="1:2">
      <c r="A136" s="234" t="s">
        <v>904</v>
      </c>
      <c r="B136" s="234">
        <v>0.76</v>
      </c>
    </row>
    <row r="137" spans="1:2">
      <c r="A137" s="234" t="s">
        <v>905</v>
      </c>
      <c r="B137" s="234">
        <v>0.91</v>
      </c>
    </row>
    <row r="138" spans="1:2">
      <c r="A138" s="234" t="s">
        <v>906</v>
      </c>
      <c r="B138" s="234">
        <v>1.03</v>
      </c>
    </row>
    <row r="139" spans="1:2">
      <c r="A139" s="234" t="s">
        <v>907</v>
      </c>
      <c r="B139" s="234">
        <v>0.94</v>
      </c>
    </row>
    <row r="140" spans="1:2">
      <c r="A140" s="234" t="s">
        <v>908</v>
      </c>
      <c r="B140" s="234">
        <v>0.87</v>
      </c>
    </row>
    <row r="141" spans="1:2">
      <c r="A141" s="234" t="s">
        <v>909</v>
      </c>
      <c r="B141" s="234">
        <v>0.98</v>
      </c>
    </row>
    <row r="142" spans="1:2">
      <c r="A142" s="234" t="s">
        <v>910</v>
      </c>
      <c r="B142" s="234">
        <v>1.02</v>
      </c>
    </row>
    <row r="143" spans="1:2">
      <c r="A143" s="234" t="s">
        <v>911</v>
      </c>
      <c r="B143" s="234">
        <v>0.87</v>
      </c>
    </row>
    <row r="144" spans="1:2">
      <c r="A144" s="234" t="s">
        <v>912</v>
      </c>
      <c r="B144" s="234">
        <v>0.9</v>
      </c>
    </row>
    <row r="145" spans="1:2">
      <c r="A145" s="234" t="s">
        <v>913</v>
      </c>
      <c r="B145" s="234">
        <v>1.19</v>
      </c>
    </row>
  </sheetData>
  <pageMargins left="0.7" right="0.7" top="0.75" bottom="0.75" header="0.3" footer="0.3"/>
  <pageSetup paperSize="9" orientation="portrait" horizontalDpi="180" verticalDpi="180" r:id="rId1"/>
  <drawing r:id="rId2"/>
  <tableParts count="1">
    <tablePart r:id="rId3"/>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21A601-6B82-D040-BC81-954DA8471968}">
  <sheetPr codeName="Sheet7">
    <tabColor theme="0" tint="-0.499984740745262"/>
  </sheetPr>
  <dimension ref="B1:R153"/>
  <sheetViews>
    <sheetView zoomScale="75" workbookViewId="0">
      <selection activeCell="G78" sqref="G78"/>
    </sheetView>
  </sheetViews>
  <sheetFormatPr baseColWidth="10" defaultColWidth="10.83203125" defaultRowHeight="16"/>
  <cols>
    <col min="1" max="1" width="10.83203125" style="12"/>
    <col min="2" max="2" width="20.5" style="12" bestFit="1" customWidth="1"/>
    <col min="3" max="3" width="19.33203125" style="12" bestFit="1" customWidth="1"/>
    <col min="4" max="4" width="19.83203125" style="12" bestFit="1" customWidth="1"/>
    <col min="5" max="5" width="19.1640625" style="12" bestFit="1" customWidth="1"/>
    <col min="6" max="6" width="12.33203125" style="13" bestFit="1" customWidth="1"/>
    <col min="7" max="7" width="22.83203125" style="14" bestFit="1" customWidth="1"/>
    <col min="8" max="8" width="18.5" style="12" bestFit="1" customWidth="1"/>
    <col min="9" max="9" width="18.5" style="12" customWidth="1"/>
    <col min="10" max="10" width="23.5" style="12" bestFit="1" customWidth="1"/>
    <col min="11" max="11" width="28.1640625" style="12" bestFit="1" customWidth="1"/>
    <col min="12" max="12" width="32.33203125" bestFit="1" customWidth="1"/>
    <col min="13" max="14" width="32.33203125" customWidth="1"/>
    <col min="15" max="15" width="27.6640625" style="12" bestFit="1" customWidth="1"/>
    <col min="16" max="16384" width="10.83203125" style="12"/>
  </cols>
  <sheetData>
    <row r="1" spans="2:18">
      <c r="K1" s="12" t="s">
        <v>585</v>
      </c>
      <c r="L1" s="258">
        <v>0.8</v>
      </c>
    </row>
    <row r="2" spans="2:18">
      <c r="B2" s="12" t="s">
        <v>115</v>
      </c>
      <c r="C2" s="12" t="s">
        <v>98</v>
      </c>
      <c r="D2" s="12" t="s">
        <v>99</v>
      </c>
      <c r="E2" s="12" t="s">
        <v>100</v>
      </c>
      <c r="F2" s="13" t="s">
        <v>46</v>
      </c>
      <c r="G2" s="14" t="s">
        <v>47</v>
      </c>
      <c r="H2" s="12" t="s">
        <v>48</v>
      </c>
      <c r="I2" s="12" t="s">
        <v>154</v>
      </c>
      <c r="J2" s="12" t="s">
        <v>159</v>
      </c>
      <c r="K2" s="12" t="s">
        <v>160</v>
      </c>
      <c r="L2" t="s">
        <v>587</v>
      </c>
      <c r="M2" s="12" t="s">
        <v>67</v>
      </c>
      <c r="N2" s="12" t="s">
        <v>45</v>
      </c>
      <c r="O2" s="12" t="s">
        <v>101</v>
      </c>
      <c r="P2" s="12" t="s">
        <v>9</v>
      </c>
    </row>
    <row r="3" spans="2:18">
      <c r="B3" t="s">
        <v>3</v>
      </c>
      <c r="C3" s="12">
        <v>6</v>
      </c>
      <c r="D3" s="12">
        <v>6</v>
      </c>
      <c r="E3" s="12">
        <v>6</v>
      </c>
      <c r="F3" s="13">
        <f t="shared" ref="F3:F11" si="0">C3*D3*E3*0.0163871</f>
        <v>3.5396136000000005</v>
      </c>
      <c r="G3" s="14">
        <v>1200</v>
      </c>
      <c r="H3" s="15">
        <v>2</v>
      </c>
      <c r="I3" s="15"/>
      <c r="J3" s="15"/>
      <c r="K3" s="15"/>
      <c r="L3" s="13">
        <f>Equipment_Database[[#This Row],[Volume(L)]]*L$1</f>
        <v>2.8316908800000005</v>
      </c>
      <c r="M3" s="12" t="s">
        <v>49</v>
      </c>
      <c r="N3" s="12" t="str">
        <f>"ST-1200°C-666"</f>
        <v>ST-1200°C-666</v>
      </c>
      <c r="O3" s="308">
        <f>Equipment_Database[[#This Row],[Power Rating(kW)]]/Equipment_Database[[#This Row],[Useful tool volume]]</f>
        <v>0.70629178280928728</v>
      </c>
    </row>
    <row r="4" spans="2:18">
      <c r="B4" t="s">
        <v>3</v>
      </c>
      <c r="C4" s="12">
        <v>6</v>
      </c>
      <c r="D4" s="12">
        <v>6</v>
      </c>
      <c r="E4" s="12">
        <v>8</v>
      </c>
      <c r="F4" s="13">
        <f t="shared" si="0"/>
        <v>4.7194848</v>
      </c>
      <c r="G4" s="14">
        <v>1200</v>
      </c>
      <c r="H4" s="15">
        <v>3</v>
      </c>
      <c r="I4" s="15"/>
      <c r="J4" s="15"/>
      <c r="K4" s="15"/>
      <c r="L4" s="13">
        <f>Equipment_Database[[#This Row],[Volume(L)]]*L$1</f>
        <v>3.77558784</v>
      </c>
      <c r="M4" s="12" t="s">
        <v>49</v>
      </c>
      <c r="N4" s="12" t="str">
        <f>"ST-1200°C-668"</f>
        <v>ST-1200°C-668</v>
      </c>
      <c r="O4" s="308">
        <f>Equipment_Database[[#This Row],[Power Rating(kW)]]/Equipment_Database[[#This Row],[Useful tool volume]]</f>
        <v>0.79457825566044837</v>
      </c>
    </row>
    <row r="5" spans="2:18">
      <c r="B5" t="s">
        <v>3</v>
      </c>
      <c r="C5" s="12">
        <v>6</v>
      </c>
      <c r="D5" s="12">
        <v>7</v>
      </c>
      <c r="E5" s="12">
        <v>8</v>
      </c>
      <c r="F5" s="13">
        <f t="shared" si="0"/>
        <v>5.5060656000000003</v>
      </c>
      <c r="G5" s="14">
        <v>1200</v>
      </c>
      <c r="H5" s="15">
        <v>3</v>
      </c>
      <c r="I5" s="15"/>
      <c r="J5" s="15"/>
      <c r="K5" s="15"/>
      <c r="L5" s="13">
        <f>Equipment_Database[[#This Row],[Volume(L)]]*L$1</f>
        <v>4.4048524800000006</v>
      </c>
      <c r="M5" s="12" t="s">
        <v>49</v>
      </c>
      <c r="N5" s="12" t="str">
        <f>"ST-1200°C-678"</f>
        <v>ST-1200°C-678</v>
      </c>
      <c r="O5" s="308">
        <f>Equipment_Database[[#This Row],[Power Rating(kW)]]/Equipment_Database[[#This Row],[Useful tool volume]]</f>
        <v>0.68106707628038421</v>
      </c>
    </row>
    <row r="6" spans="2:18">
      <c r="B6" t="s">
        <v>3</v>
      </c>
      <c r="C6" s="12">
        <v>7</v>
      </c>
      <c r="D6" s="12">
        <v>8</v>
      </c>
      <c r="E6" s="12">
        <v>12</v>
      </c>
      <c r="F6" s="13">
        <f t="shared" si="0"/>
        <v>11.012131200000001</v>
      </c>
      <c r="G6" s="14">
        <v>1200</v>
      </c>
      <c r="H6" s="15">
        <v>4</v>
      </c>
      <c r="I6" s="15"/>
      <c r="J6" s="15"/>
      <c r="K6" s="15"/>
      <c r="L6" s="13">
        <f>Equipment_Database[[#This Row],[Volume(L)]]*L$1</f>
        <v>8.8097049600000013</v>
      </c>
      <c r="M6" s="12" t="s">
        <v>49</v>
      </c>
      <c r="N6" s="12" t="str">
        <f>"ST-1200°C-7812"</f>
        <v>ST-1200°C-7812</v>
      </c>
      <c r="O6" s="308">
        <f>Equipment_Database[[#This Row],[Power Rating(kW)]]/Equipment_Database[[#This Row],[Useful tool volume]]</f>
        <v>0.45404471752025616</v>
      </c>
      <c r="R6" s="12" t="s">
        <v>586</v>
      </c>
    </row>
    <row r="7" spans="2:18">
      <c r="B7" t="s">
        <v>3</v>
      </c>
      <c r="C7" s="12">
        <v>10</v>
      </c>
      <c r="D7" s="12">
        <v>10</v>
      </c>
      <c r="E7" s="12">
        <v>16</v>
      </c>
      <c r="F7" s="13">
        <f t="shared" si="0"/>
        <v>26.219360000000002</v>
      </c>
      <c r="G7" s="14">
        <v>1200</v>
      </c>
      <c r="H7" s="15">
        <v>7</v>
      </c>
      <c r="I7" s="15"/>
      <c r="J7" s="15"/>
      <c r="K7" s="15"/>
      <c r="L7" s="13">
        <f>Equipment_Database[[#This Row],[Volume(L)]]*L$1</f>
        <v>20.975488000000002</v>
      </c>
      <c r="M7" s="12" t="s">
        <v>49</v>
      </c>
      <c r="N7" s="12" t="str">
        <f>"ST-1200°C-101016"</f>
        <v>ST-1200°C-101016</v>
      </c>
      <c r="O7" s="308">
        <f>Equipment_Database[[#This Row],[Power Rating(kW)]]/Equipment_Database[[#This Row],[Useful tool volume]]</f>
        <v>0.33372286737738827</v>
      </c>
    </row>
    <row r="8" spans="2:18">
      <c r="B8" t="s">
        <v>3</v>
      </c>
      <c r="C8" s="12">
        <v>12</v>
      </c>
      <c r="D8" s="12">
        <v>12</v>
      </c>
      <c r="E8" s="12">
        <v>16</v>
      </c>
      <c r="F8" s="13">
        <f t="shared" si="0"/>
        <v>37.7558784</v>
      </c>
      <c r="G8" s="14">
        <v>1200</v>
      </c>
      <c r="H8" s="15">
        <v>8</v>
      </c>
      <c r="I8" s="15"/>
      <c r="J8" s="15"/>
      <c r="K8" s="15"/>
      <c r="L8" s="13">
        <f>Equipment_Database[[#This Row],[Volume(L)]]*L$1</f>
        <v>30.20470272</v>
      </c>
      <c r="M8" s="12" t="s">
        <v>49</v>
      </c>
      <c r="N8" s="12" t="str">
        <f>"ST-1200°C-121216"</f>
        <v>ST-1200°C-121216</v>
      </c>
      <c r="O8" s="308">
        <f>Equipment_Database[[#This Row],[Power Rating(kW)]]/Equipment_Database[[#This Row],[Useful tool volume]]</f>
        <v>0.26485941855348277</v>
      </c>
    </row>
    <row r="9" spans="2:18">
      <c r="B9" t="s">
        <v>3</v>
      </c>
      <c r="C9" s="12">
        <v>16</v>
      </c>
      <c r="D9" s="12">
        <v>16</v>
      </c>
      <c r="E9" s="12">
        <v>22</v>
      </c>
      <c r="F9" s="13">
        <f t="shared" si="0"/>
        <v>92.292147200000016</v>
      </c>
      <c r="G9" s="14">
        <v>1200</v>
      </c>
      <c r="H9" s="15">
        <v>14</v>
      </c>
      <c r="I9" s="15"/>
      <c r="J9" s="15"/>
      <c r="K9" s="15"/>
      <c r="L9" s="13">
        <f>Equipment_Database[[#This Row],[Volume(L)]]*L$1</f>
        <v>73.833717760000013</v>
      </c>
      <c r="M9" s="12" t="s">
        <v>49</v>
      </c>
      <c r="N9" s="12" t="str">
        <f>"ST-1200°C-161622"</f>
        <v>ST-1200°C-161622</v>
      </c>
      <c r="O9" s="308">
        <f>Equipment_Database[[#This Row],[Power Rating(kW)]]/Equipment_Database[[#This Row],[Useful tool volume]]</f>
        <v>0.18961526555533423</v>
      </c>
    </row>
    <row r="10" spans="2:18">
      <c r="B10" t="s">
        <v>3</v>
      </c>
      <c r="C10" s="12">
        <v>12</v>
      </c>
      <c r="D10" s="12">
        <v>12</v>
      </c>
      <c r="E10" s="12">
        <v>12</v>
      </c>
      <c r="F10" s="13">
        <f t="shared" si="0"/>
        <v>28.316908800000004</v>
      </c>
      <c r="G10" s="14">
        <v>1200</v>
      </c>
      <c r="H10" s="15">
        <v>6</v>
      </c>
      <c r="I10" s="15"/>
      <c r="J10" s="15"/>
      <c r="K10" s="15"/>
      <c r="L10" s="13">
        <f>Equipment_Database[[#This Row],[Volume(L)]]*L$1</f>
        <v>22.653527040000004</v>
      </c>
      <c r="M10" s="12" t="s">
        <v>49</v>
      </c>
      <c r="N10" s="12" t="str">
        <f>"ST-1200°C-121212"</f>
        <v>ST-1200°C-121212</v>
      </c>
      <c r="O10" s="308">
        <f>Equipment_Database[[#This Row],[Power Rating(kW)]]/Equipment_Database[[#This Row],[Useful tool volume]]</f>
        <v>0.26485941855348272</v>
      </c>
    </row>
    <row r="11" spans="2:18">
      <c r="B11" t="s">
        <v>3</v>
      </c>
      <c r="C11" s="12">
        <v>24</v>
      </c>
      <c r="D11" s="12">
        <v>24</v>
      </c>
      <c r="E11" s="12">
        <v>24</v>
      </c>
      <c r="F11" s="13">
        <f t="shared" si="0"/>
        <v>226.53527040000003</v>
      </c>
      <c r="G11" s="14">
        <v>1200</v>
      </c>
      <c r="H11" s="15">
        <v>23</v>
      </c>
      <c r="I11" s="15"/>
      <c r="J11" s="15"/>
      <c r="K11" s="15"/>
      <c r="L11" s="13">
        <f>Equipment_Database[[#This Row],[Volume(L)]]*L$1</f>
        <v>181.22821632000003</v>
      </c>
      <c r="M11" s="12" t="s">
        <v>49</v>
      </c>
      <c r="N11" s="12" t="str">
        <f>"ST-1200°C-242424"</f>
        <v>ST-1200°C-242424</v>
      </c>
      <c r="O11" s="308">
        <f>Equipment_Database[[#This Row],[Power Rating(kW)]]/Equipment_Database[[#This Row],[Useful tool volume]]</f>
        <v>0.12691180472354383</v>
      </c>
    </row>
    <row r="12" spans="2:18">
      <c r="B12" t="s">
        <v>3</v>
      </c>
      <c r="F12" s="13">
        <v>1.5</v>
      </c>
      <c r="G12" s="14">
        <v>1150</v>
      </c>
      <c r="H12" s="15">
        <v>1.1000000000000001</v>
      </c>
      <c r="I12" s="15"/>
      <c r="J12" s="15"/>
      <c r="K12" s="15"/>
      <c r="L12" s="13">
        <f>Equipment_Database[[#This Row],[Volume(L)]]*L$1</f>
        <v>1.2000000000000002</v>
      </c>
      <c r="M12" s="12" t="s">
        <v>50</v>
      </c>
      <c r="N12" s="12" t="s">
        <v>51</v>
      </c>
      <c r="O12" s="308">
        <f>Equipment_Database[[#This Row],[Power Rating(kW)]]/Equipment_Database[[#This Row],[Useful tool volume]]</f>
        <v>0.91666666666666663</v>
      </c>
    </row>
    <row r="13" spans="2:18">
      <c r="B13" t="s">
        <v>3</v>
      </c>
      <c r="F13" s="13">
        <v>7.5</v>
      </c>
      <c r="G13" s="14">
        <v>1150</v>
      </c>
      <c r="H13" s="15">
        <v>2.4</v>
      </c>
      <c r="I13" s="15"/>
      <c r="J13" s="15"/>
      <c r="K13" s="15"/>
      <c r="L13" s="13">
        <f>Equipment_Database[[#This Row],[Volume(L)]]*L$1</f>
        <v>6</v>
      </c>
      <c r="M13" s="12" t="s">
        <v>50</v>
      </c>
      <c r="N13" s="12" t="s">
        <v>52</v>
      </c>
      <c r="O13" s="308">
        <f>Equipment_Database[[#This Row],[Power Rating(kW)]]/Equipment_Database[[#This Row],[Useful tool volume]]</f>
        <v>0.39999999999999997</v>
      </c>
    </row>
    <row r="14" spans="2:18">
      <c r="B14" t="s">
        <v>3</v>
      </c>
      <c r="F14" s="13">
        <v>7.5</v>
      </c>
      <c r="G14" s="14">
        <v>1150</v>
      </c>
      <c r="H14" s="15">
        <v>2.4</v>
      </c>
      <c r="I14" s="15"/>
      <c r="J14" s="15"/>
      <c r="K14" s="15"/>
      <c r="L14" s="13">
        <f>Equipment_Database[[#This Row],[Volume(L)]]*L$1</f>
        <v>6</v>
      </c>
      <c r="M14" s="12" t="s">
        <v>50</v>
      </c>
      <c r="N14" s="12" t="s">
        <v>53</v>
      </c>
      <c r="O14" s="308">
        <f>Equipment_Database[[#This Row],[Power Rating(kW)]]/Equipment_Database[[#This Row],[Useful tool volume]]</f>
        <v>0.39999999999999997</v>
      </c>
    </row>
    <row r="15" spans="2:18">
      <c r="B15" t="s">
        <v>3</v>
      </c>
      <c r="F15" s="13">
        <v>11.3</v>
      </c>
      <c r="G15" s="14">
        <v>1150</v>
      </c>
      <c r="H15" s="15">
        <v>3.25</v>
      </c>
      <c r="I15" s="15"/>
      <c r="J15" s="15"/>
      <c r="K15" s="15"/>
      <c r="L15" s="13">
        <f>Equipment_Database[[#This Row],[Volume(L)]]*L$1</f>
        <v>9.0400000000000009</v>
      </c>
      <c r="M15" s="12" t="s">
        <v>50</v>
      </c>
      <c r="N15" s="12" t="s">
        <v>54</v>
      </c>
      <c r="O15" s="308">
        <f>Equipment_Database[[#This Row],[Power Rating(kW)]]/Equipment_Database[[#This Row],[Useful tool volume]]</f>
        <v>0.35951327433628316</v>
      </c>
    </row>
    <row r="16" spans="2:18">
      <c r="B16" t="s">
        <v>3</v>
      </c>
      <c r="F16" s="13">
        <v>5</v>
      </c>
      <c r="G16" s="14">
        <v>1100</v>
      </c>
      <c r="H16" s="15">
        <v>9</v>
      </c>
      <c r="I16" s="15"/>
      <c r="J16" s="15"/>
      <c r="K16" s="15"/>
      <c r="L16" s="13">
        <f>Equipment_Database[[#This Row],[Volume(L)]]*L$1</f>
        <v>4</v>
      </c>
      <c r="M16" s="12" t="s">
        <v>55</v>
      </c>
      <c r="N16" s="12" t="s">
        <v>56</v>
      </c>
      <c r="O16" s="308">
        <f>Equipment_Database[[#This Row],[Power Rating(kW)]]/Equipment_Database[[#This Row],[Useful tool volume]]</f>
        <v>2.25</v>
      </c>
    </row>
    <row r="17" spans="2:15">
      <c r="B17" t="s">
        <v>3</v>
      </c>
      <c r="F17" s="13">
        <v>10</v>
      </c>
      <c r="G17" s="14">
        <v>1100</v>
      </c>
      <c r="H17" s="15">
        <v>14</v>
      </c>
      <c r="I17" s="15"/>
      <c r="J17" s="15"/>
      <c r="K17" s="15"/>
      <c r="L17" s="13">
        <f>Equipment_Database[[#This Row],[Volume(L)]]*L$1</f>
        <v>8</v>
      </c>
      <c r="M17" s="12" t="s">
        <v>55</v>
      </c>
      <c r="N17" s="12" t="s">
        <v>57</v>
      </c>
      <c r="O17" s="308">
        <f>Equipment_Database[[#This Row],[Power Rating(kW)]]/Equipment_Database[[#This Row],[Useful tool volume]]</f>
        <v>1.75</v>
      </c>
    </row>
    <row r="18" spans="2:15">
      <c r="B18" t="s">
        <v>3</v>
      </c>
      <c r="F18" s="13">
        <v>40</v>
      </c>
      <c r="G18" s="14">
        <v>1100</v>
      </c>
      <c r="H18" s="15">
        <v>25</v>
      </c>
      <c r="I18" s="15"/>
      <c r="J18" s="15"/>
      <c r="K18" s="15"/>
      <c r="L18" s="13">
        <f>Equipment_Database[[#This Row],[Volume(L)]]*L$1</f>
        <v>32</v>
      </c>
      <c r="M18" s="12" t="s">
        <v>55</v>
      </c>
      <c r="N18" s="12" t="s">
        <v>58</v>
      </c>
      <c r="O18" s="308">
        <f>Equipment_Database[[#This Row],[Power Rating(kW)]]/Equipment_Database[[#This Row],[Useful tool volume]]</f>
        <v>0.78125</v>
      </c>
    </row>
    <row r="19" spans="2:15">
      <c r="B19" t="s">
        <v>3</v>
      </c>
      <c r="F19" s="13">
        <v>120</v>
      </c>
      <c r="G19" s="14">
        <v>1100</v>
      </c>
      <c r="H19" s="15">
        <v>60</v>
      </c>
      <c r="I19" s="15"/>
      <c r="J19" s="15"/>
      <c r="K19" s="15"/>
      <c r="L19" s="13">
        <f>Equipment_Database[[#This Row],[Volume(L)]]*L$1</f>
        <v>96</v>
      </c>
      <c r="M19" s="12" t="s">
        <v>55</v>
      </c>
      <c r="N19" s="12" t="s">
        <v>59</v>
      </c>
      <c r="O19" s="308">
        <f>Equipment_Database[[#This Row],[Power Rating(kW)]]/Equipment_Database[[#This Row],[Useful tool volume]]</f>
        <v>0.625</v>
      </c>
    </row>
    <row r="20" spans="2:15">
      <c r="B20" t="s">
        <v>3</v>
      </c>
      <c r="F20" s="13">
        <v>260</v>
      </c>
      <c r="G20" s="14">
        <v>1100</v>
      </c>
      <c r="H20" s="15">
        <v>70</v>
      </c>
      <c r="I20" s="15"/>
      <c r="J20" s="15"/>
      <c r="K20" s="15"/>
      <c r="L20" s="13">
        <f>Equipment_Database[[#This Row],[Volume(L)]]*L$1</f>
        <v>208</v>
      </c>
      <c r="M20" s="12" t="s">
        <v>55</v>
      </c>
      <c r="N20" s="12" t="s">
        <v>60</v>
      </c>
      <c r="O20" s="308">
        <f>Equipment_Database[[#This Row],[Power Rating(kW)]]/Equipment_Database[[#This Row],[Useful tool volume]]</f>
        <v>0.33653846153846156</v>
      </c>
    </row>
    <row r="21" spans="2:15">
      <c r="B21" t="s">
        <v>3</v>
      </c>
      <c r="F21" s="13">
        <v>400</v>
      </c>
      <c r="G21" s="14">
        <v>1100</v>
      </c>
      <c r="H21" s="15">
        <v>80</v>
      </c>
      <c r="I21" s="15"/>
      <c r="J21" s="15"/>
      <c r="K21" s="15"/>
      <c r="L21" s="13">
        <f>Equipment_Database[[#This Row],[Volume(L)]]*L$1</f>
        <v>320</v>
      </c>
      <c r="M21" s="12" t="s">
        <v>55</v>
      </c>
      <c r="N21" s="12" t="s">
        <v>61</v>
      </c>
      <c r="O21" s="308">
        <f>Equipment_Database[[#This Row],[Power Rating(kW)]]/Equipment_Database[[#This Row],[Useful tool volume]]</f>
        <v>0.25</v>
      </c>
    </row>
    <row r="22" spans="2:15">
      <c r="B22" t="s">
        <v>3</v>
      </c>
      <c r="F22" s="13">
        <v>550</v>
      </c>
      <c r="G22" s="14">
        <v>1100</v>
      </c>
      <c r="H22" s="15">
        <v>90</v>
      </c>
      <c r="I22" s="15"/>
      <c r="J22" s="15"/>
      <c r="K22" s="15"/>
      <c r="L22" s="13">
        <f>Equipment_Database[[#This Row],[Volume(L)]]*L$1</f>
        <v>440</v>
      </c>
      <c r="M22" s="12" t="s">
        <v>55</v>
      </c>
      <c r="N22" s="12" t="s">
        <v>62</v>
      </c>
      <c r="O22" s="308">
        <f>Equipment_Database[[#This Row],[Power Rating(kW)]]/Equipment_Database[[#This Row],[Useful tool volume]]</f>
        <v>0.20454545454545456</v>
      </c>
    </row>
    <row r="23" spans="2:15">
      <c r="B23" t="s">
        <v>3</v>
      </c>
      <c r="F23" s="13">
        <v>600</v>
      </c>
      <c r="G23" s="14">
        <v>1100</v>
      </c>
      <c r="H23" s="15">
        <v>95</v>
      </c>
      <c r="I23" s="15"/>
      <c r="J23" s="15"/>
      <c r="K23" s="15"/>
      <c r="L23" s="13">
        <f>Equipment_Database[[#This Row],[Volume(L)]]*L$1</f>
        <v>480</v>
      </c>
      <c r="M23" s="12" t="s">
        <v>55</v>
      </c>
      <c r="N23" s="12" t="s">
        <v>63</v>
      </c>
      <c r="O23" s="308">
        <f>Equipment_Database[[#This Row],[Power Rating(kW)]]/Equipment_Database[[#This Row],[Useful tool volume]]</f>
        <v>0.19791666666666666</v>
      </c>
    </row>
    <row r="24" spans="2:15">
      <c r="B24" t="s">
        <v>3</v>
      </c>
      <c r="F24" s="13">
        <v>850</v>
      </c>
      <c r="G24" s="14">
        <v>1100</v>
      </c>
      <c r="H24" s="15">
        <v>100</v>
      </c>
      <c r="I24" s="15"/>
      <c r="J24" s="15"/>
      <c r="K24" s="15"/>
      <c r="L24" s="13">
        <f>Equipment_Database[[#This Row],[Volume(L)]]*L$1</f>
        <v>680</v>
      </c>
      <c r="M24" s="12" t="s">
        <v>55</v>
      </c>
      <c r="N24" s="12" t="s">
        <v>64</v>
      </c>
      <c r="O24" s="308">
        <f>Equipment_Database[[#This Row],[Power Rating(kW)]]/Equipment_Database[[#This Row],[Useful tool volume]]</f>
        <v>0.14705882352941177</v>
      </c>
    </row>
    <row r="25" spans="2:15">
      <c r="B25" t="s">
        <v>3</v>
      </c>
      <c r="F25" s="13">
        <v>950</v>
      </c>
      <c r="G25" s="14">
        <v>1100</v>
      </c>
      <c r="H25" s="15">
        <v>110</v>
      </c>
      <c r="I25" s="15"/>
      <c r="J25" s="15"/>
      <c r="K25" s="15"/>
      <c r="L25" s="13">
        <f>Equipment_Database[[#This Row],[Volume(L)]]*L$1</f>
        <v>760</v>
      </c>
      <c r="M25" s="12" t="s">
        <v>55</v>
      </c>
      <c r="N25" s="12" t="s">
        <v>65</v>
      </c>
      <c r="O25" s="308">
        <f>Equipment_Database[[#This Row],[Power Rating(kW)]]/Equipment_Database[[#This Row],[Useful tool volume]]</f>
        <v>0.14473684210526316</v>
      </c>
    </row>
    <row r="26" spans="2:15">
      <c r="B26" t="s">
        <v>3</v>
      </c>
      <c r="F26" s="13">
        <v>1300</v>
      </c>
      <c r="G26" s="14">
        <v>1100</v>
      </c>
      <c r="H26" s="15">
        <v>120</v>
      </c>
      <c r="I26" s="15"/>
      <c r="J26" s="15"/>
      <c r="K26" s="15"/>
      <c r="L26" s="13">
        <f>Equipment_Database[[#This Row],[Volume(L)]]*L$1</f>
        <v>1040</v>
      </c>
      <c r="M26" s="12" t="s">
        <v>55</v>
      </c>
      <c r="N26" s="12" t="s">
        <v>66</v>
      </c>
      <c r="O26" s="308">
        <f>Equipment_Database[[#This Row],[Power Rating(kW)]]/Equipment_Database[[#This Row],[Useful tool volume]]</f>
        <v>0.11538461538461539</v>
      </c>
    </row>
    <row r="27" spans="2:15">
      <c r="B27" s="12" t="s">
        <v>37</v>
      </c>
      <c r="F27" s="13">
        <v>3</v>
      </c>
      <c r="H27" s="15">
        <v>1.2</v>
      </c>
      <c r="I27" s="53">
        <v>20500</v>
      </c>
      <c r="J27" s="53"/>
      <c r="K27" s="53"/>
      <c r="L27" s="13">
        <f>Equipment_Database[[#This Row],[Volume(L)]]*L$1</f>
        <v>2.4000000000000004</v>
      </c>
      <c r="N27" s="53" t="s">
        <v>155</v>
      </c>
      <c r="O27" s="308">
        <f>Equipment_Database[[#This Row],[Power Rating(kW)]]/Equipment_Database[[#This Row],[Useful tool volume]]</f>
        <v>0.49999999999999989</v>
      </c>
    </row>
    <row r="28" spans="2:15">
      <c r="B28" s="12" t="s">
        <v>37</v>
      </c>
      <c r="F28" s="13">
        <v>3</v>
      </c>
      <c r="H28" s="15">
        <v>1.5</v>
      </c>
      <c r="I28" s="53">
        <v>21000</v>
      </c>
      <c r="J28" s="53"/>
      <c r="K28" s="53"/>
      <c r="L28" s="13">
        <f>Equipment_Database[[#This Row],[Volume(L)]]*L$1</f>
        <v>2.4000000000000004</v>
      </c>
      <c r="N28" s="53" t="s">
        <v>156</v>
      </c>
      <c r="O28" s="308">
        <f>Equipment_Database[[#This Row],[Power Rating(kW)]]/Equipment_Database[[#This Row],[Useful tool volume]]</f>
        <v>0.62499999999999989</v>
      </c>
    </row>
    <row r="29" spans="2:15">
      <c r="B29" s="12" t="s">
        <v>37</v>
      </c>
      <c r="F29" s="13">
        <v>3</v>
      </c>
      <c r="H29" s="15">
        <v>5</v>
      </c>
      <c r="I29" s="53">
        <v>25000</v>
      </c>
      <c r="J29" s="53"/>
      <c r="K29" s="53"/>
      <c r="L29" s="13">
        <f>Equipment_Database[[#This Row],[Volume(L)]]*L$1</f>
        <v>2.4000000000000004</v>
      </c>
      <c r="N29" s="53" t="s">
        <v>157</v>
      </c>
      <c r="O29" s="308">
        <f>Equipment_Database[[#This Row],[Power Rating(kW)]]/Equipment_Database[[#This Row],[Useful tool volume]]</f>
        <v>2.083333333333333</v>
      </c>
    </row>
    <row r="30" spans="2:15" ht="14" customHeight="1">
      <c r="B30" s="12" t="s">
        <v>37</v>
      </c>
      <c r="F30" s="13">
        <v>4</v>
      </c>
      <c r="H30" s="15">
        <v>2</v>
      </c>
      <c r="I30" s="53">
        <v>5000</v>
      </c>
      <c r="J30" s="53"/>
      <c r="K30" s="53"/>
      <c r="L30" s="13">
        <f>Equipment_Database[[#This Row],[Volume(L)]]*L$1</f>
        <v>3.2</v>
      </c>
      <c r="N30" s="53" t="s">
        <v>158</v>
      </c>
      <c r="O30" s="308">
        <f>Equipment_Database[[#This Row],[Power Rating(kW)]]/Equipment_Database[[#This Row],[Useful tool volume]]</f>
        <v>0.625</v>
      </c>
    </row>
    <row r="31" spans="2:15" ht="20">
      <c r="B31" s="12" t="s">
        <v>6</v>
      </c>
      <c r="F31" s="120">
        <v>10</v>
      </c>
      <c r="H31" s="53">
        <v>18.600000000000001</v>
      </c>
      <c r="I31" s="15"/>
      <c r="J31" s="286">
        <v>190000</v>
      </c>
      <c r="K31" s="286">
        <v>719227</v>
      </c>
      <c r="L31" s="13">
        <f>Equipment_Database[[#This Row],[Volume(L)]]*L$1</f>
        <v>8</v>
      </c>
      <c r="O31" s="308">
        <f>Equipment_Database[[#This Row],[Power Rating(kW)]]/Equipment_Database[[#This Row],[Useful tool volume]]</f>
        <v>2.3250000000000002</v>
      </c>
    </row>
    <row r="32" spans="2:15" ht="20">
      <c r="B32" s="12" t="s">
        <v>6</v>
      </c>
      <c r="F32" s="120">
        <v>10</v>
      </c>
      <c r="H32" s="53">
        <v>18.600000000000001</v>
      </c>
      <c r="I32" s="15"/>
      <c r="J32" s="286">
        <v>213750</v>
      </c>
      <c r="K32" s="286">
        <v>809131</v>
      </c>
      <c r="L32" s="13">
        <f>Equipment_Database[[#This Row],[Volume(L)]]*L$1</f>
        <v>8</v>
      </c>
      <c r="O32" s="308">
        <f>Equipment_Database[[#This Row],[Power Rating(kW)]]/Equipment_Database[[#This Row],[Useful tool volume]]</f>
        <v>2.3250000000000002</v>
      </c>
    </row>
    <row r="33" spans="2:16" ht="20">
      <c r="B33" s="12" t="s">
        <v>6</v>
      </c>
      <c r="F33" s="120">
        <v>10</v>
      </c>
      <c r="H33" s="53">
        <v>18.600000000000001</v>
      </c>
      <c r="I33" s="15"/>
      <c r="J33" s="286">
        <v>256500</v>
      </c>
      <c r="K33" s="286">
        <v>970957</v>
      </c>
      <c r="L33" s="13">
        <f>Equipment_Database[[#This Row],[Volume(L)]]*L$1</f>
        <v>8</v>
      </c>
      <c r="O33" s="308">
        <f>Equipment_Database[[#This Row],[Power Rating(kW)]]/Equipment_Database[[#This Row],[Useful tool volume]]</f>
        <v>2.3250000000000002</v>
      </c>
    </row>
    <row r="34" spans="2:16" ht="20">
      <c r="B34" s="12" t="s">
        <v>6</v>
      </c>
      <c r="F34" s="120">
        <v>10</v>
      </c>
      <c r="H34" s="53">
        <v>22.4</v>
      </c>
      <c r="I34" s="15"/>
      <c r="J34" s="286">
        <v>304000</v>
      </c>
      <c r="K34" s="286">
        <v>1150764</v>
      </c>
      <c r="L34" s="13">
        <f>Equipment_Database[[#This Row],[Volume(L)]]*L$1</f>
        <v>8</v>
      </c>
      <c r="O34" s="308">
        <f>Equipment_Database[[#This Row],[Power Rating(kW)]]/Equipment_Database[[#This Row],[Useful tool volume]]</f>
        <v>2.8</v>
      </c>
    </row>
    <row r="35" spans="2:16" ht="20">
      <c r="B35" s="12" t="s">
        <v>6</v>
      </c>
      <c r="F35" s="120">
        <v>10</v>
      </c>
      <c r="H35" s="53">
        <v>22.4</v>
      </c>
      <c r="I35" s="15"/>
      <c r="J35" s="286">
        <v>342000</v>
      </c>
      <c r="K35" s="286">
        <v>1294610</v>
      </c>
      <c r="L35" s="13">
        <f>Equipment_Database[[#This Row],[Volume(L)]]*L$1</f>
        <v>8</v>
      </c>
      <c r="O35" s="308">
        <f>Equipment_Database[[#This Row],[Power Rating(kW)]]/Equipment_Database[[#This Row],[Useful tool volume]]</f>
        <v>2.8</v>
      </c>
    </row>
    <row r="36" spans="2:16" ht="20">
      <c r="B36" s="12" t="s">
        <v>6</v>
      </c>
      <c r="F36" s="120">
        <v>10</v>
      </c>
      <c r="H36" s="53">
        <v>29.8</v>
      </c>
      <c r="I36" s="15"/>
      <c r="J36" s="286">
        <v>389500</v>
      </c>
      <c r="K36" s="286">
        <v>1474417</v>
      </c>
      <c r="L36" s="13">
        <f>Equipment_Database[[#This Row],[Volume(L)]]*L$1</f>
        <v>8</v>
      </c>
      <c r="O36" s="308">
        <f>Equipment_Database[[#This Row],[Power Rating(kW)]]/Equipment_Database[[#This Row],[Useful tool volume]]</f>
        <v>3.7250000000000001</v>
      </c>
    </row>
    <row r="37" spans="2:16" ht="20">
      <c r="B37" s="12" t="s">
        <v>6</v>
      </c>
      <c r="F37" s="120">
        <v>10</v>
      </c>
      <c r="H37" s="53">
        <v>29.8</v>
      </c>
      <c r="I37" s="15"/>
      <c r="J37" s="286">
        <v>427500</v>
      </c>
      <c r="K37" s="286">
        <v>1618262</v>
      </c>
      <c r="L37" s="13">
        <f>Equipment_Database[[#This Row],[Volume(L)]]*L$1</f>
        <v>8</v>
      </c>
      <c r="O37" s="308">
        <f>Equipment_Database[[#This Row],[Power Rating(kW)]]/Equipment_Database[[#This Row],[Useful tool volume]]</f>
        <v>3.7250000000000001</v>
      </c>
    </row>
    <row r="38" spans="2:16" ht="20">
      <c r="B38" s="12" t="s">
        <v>6</v>
      </c>
      <c r="F38" s="120">
        <v>10</v>
      </c>
      <c r="H38" s="53">
        <v>37.299999999999997</v>
      </c>
      <c r="I38" s="15"/>
      <c r="J38" s="286">
        <v>475000</v>
      </c>
      <c r="K38" s="286">
        <v>1798069</v>
      </c>
      <c r="L38" s="13">
        <f>Equipment_Database[[#This Row],[Volume(L)]]*L$1</f>
        <v>8</v>
      </c>
      <c r="O38" s="308">
        <f>Equipment_Database[[#This Row],[Power Rating(kW)]]/Equipment_Database[[#This Row],[Useful tool volume]]</f>
        <v>4.6624999999999996</v>
      </c>
    </row>
    <row r="39" spans="2:16" ht="20">
      <c r="B39" s="12" t="s">
        <v>6</v>
      </c>
      <c r="F39" s="120">
        <v>10</v>
      </c>
      <c r="H39" s="53">
        <v>37.299999999999997</v>
      </c>
      <c r="I39" s="15"/>
      <c r="J39" s="286">
        <v>522500</v>
      </c>
      <c r="K39" s="286">
        <v>1977876</v>
      </c>
      <c r="L39" s="13">
        <f>Equipment_Database[[#This Row],[Volume(L)]]*L$1</f>
        <v>8</v>
      </c>
      <c r="O39" s="308">
        <f>Equipment_Database[[#This Row],[Power Rating(kW)]]/Equipment_Database[[#This Row],[Useful tool volume]]</f>
        <v>4.6624999999999996</v>
      </c>
    </row>
    <row r="40" spans="2:16" ht="20">
      <c r="B40" s="12" t="s">
        <v>6</v>
      </c>
      <c r="F40" s="120">
        <v>10</v>
      </c>
      <c r="H40" s="53">
        <v>44.7</v>
      </c>
      <c r="I40" s="15"/>
      <c r="J40" s="286">
        <v>570000</v>
      </c>
      <c r="K40" s="286">
        <v>2157683</v>
      </c>
      <c r="L40" s="13">
        <f>Equipment_Database[[#This Row],[Volume(L)]]*L$1</f>
        <v>8</v>
      </c>
      <c r="O40" s="308">
        <f>Equipment_Database[[#This Row],[Power Rating(kW)]]/Equipment_Database[[#This Row],[Useful tool volume]]</f>
        <v>5.5875000000000004</v>
      </c>
    </row>
    <row r="41" spans="2:16" ht="20">
      <c r="B41" s="12" t="s">
        <v>6</v>
      </c>
      <c r="F41" s="120">
        <v>10</v>
      </c>
      <c r="H41" s="53">
        <v>44.7</v>
      </c>
      <c r="I41" s="15"/>
      <c r="J41" s="286">
        <v>665000</v>
      </c>
      <c r="K41" s="286">
        <v>2517297</v>
      </c>
      <c r="L41" s="13">
        <f>Equipment_Database[[#This Row],[Volume(L)]]*L$1</f>
        <v>8</v>
      </c>
      <c r="O41" s="308">
        <f>Equipment_Database[[#This Row],[Power Rating(kW)]]/Equipment_Database[[#This Row],[Useful tool volume]]</f>
        <v>5.5875000000000004</v>
      </c>
    </row>
    <row r="42" spans="2:16" ht="20">
      <c r="B42" s="12" t="s">
        <v>6</v>
      </c>
      <c r="F42" s="120">
        <v>10</v>
      </c>
      <c r="H42" s="53">
        <v>55.9</v>
      </c>
      <c r="I42" s="15"/>
      <c r="J42" s="286">
        <v>760000</v>
      </c>
      <c r="K42" s="286">
        <v>2876911</v>
      </c>
      <c r="L42" s="13">
        <f>Equipment_Database[[#This Row],[Volume(L)]]*L$1</f>
        <v>8</v>
      </c>
      <c r="O42" s="308">
        <f>Equipment_Database[[#This Row],[Power Rating(kW)]]/Equipment_Database[[#This Row],[Useful tool volume]]</f>
        <v>6.9874999999999998</v>
      </c>
    </row>
    <row r="43" spans="2:16" ht="20">
      <c r="B43" s="12" t="s">
        <v>6</v>
      </c>
      <c r="F43" s="120">
        <v>10</v>
      </c>
      <c r="H43" s="53">
        <v>55.9</v>
      </c>
      <c r="I43" s="15"/>
      <c r="J43" s="286">
        <v>855000</v>
      </c>
      <c r="K43" s="286">
        <v>3236525</v>
      </c>
      <c r="L43" s="13">
        <f>Equipment_Database[[#This Row],[Volume(L)]]*L$1</f>
        <v>8</v>
      </c>
      <c r="O43" s="308">
        <f>Equipment_Database[[#This Row],[Power Rating(kW)]]/Equipment_Database[[#This Row],[Useful tool volume]]</f>
        <v>6.9874999999999998</v>
      </c>
    </row>
    <row r="44" spans="2:16">
      <c r="B44" s="12" t="s">
        <v>7</v>
      </c>
      <c r="F44" s="260">
        <v>1</v>
      </c>
      <c r="G44" s="265" t="s">
        <v>1092</v>
      </c>
      <c r="H44" s="267">
        <v>90</v>
      </c>
      <c r="I44" s="267" t="s">
        <v>1093</v>
      </c>
      <c r="J44"/>
      <c r="K44"/>
      <c r="L44" s="13">
        <f>Equipment_Database[[#This Row],[Volume(L)]]*L$1</f>
        <v>0.8</v>
      </c>
      <c r="M44" s="270" t="s">
        <v>1094</v>
      </c>
      <c r="N44" s="273" t="s">
        <v>1095</v>
      </c>
      <c r="O44" s="308">
        <f>Equipment_Database[[#This Row],[Power Rating(kW)]]/Equipment_Database[[#This Row],[Useful tool volume]]</f>
        <v>112.5</v>
      </c>
      <c r="P44" s="277" t="s">
        <v>1096</v>
      </c>
    </row>
    <row r="45" spans="2:16">
      <c r="B45" s="12" t="s">
        <v>7</v>
      </c>
      <c r="F45" s="260">
        <v>2</v>
      </c>
      <c r="G45" s="265" t="s">
        <v>1092</v>
      </c>
      <c r="H45" s="267">
        <v>90</v>
      </c>
      <c r="I45" s="267" t="s">
        <v>1093</v>
      </c>
      <c r="J45"/>
      <c r="K45"/>
      <c r="L45" s="13">
        <f>Equipment_Database[[#This Row],[Volume(L)]]*L$1</f>
        <v>1.6</v>
      </c>
      <c r="M45" s="270" t="s">
        <v>1094</v>
      </c>
      <c r="N45" s="273" t="s">
        <v>1097</v>
      </c>
      <c r="O45" s="309">
        <f>Equipment_Database[[#This Row],[Power Rating(kW)]]/Equipment_Database[[#This Row],[Useful tool volume]]</f>
        <v>56.25</v>
      </c>
      <c r="P45" s="276"/>
    </row>
    <row r="46" spans="2:16">
      <c r="B46" s="12" t="s">
        <v>7</v>
      </c>
      <c r="F46" s="260">
        <v>5</v>
      </c>
      <c r="G46" s="265" t="s">
        <v>1092</v>
      </c>
      <c r="H46" s="267">
        <v>90</v>
      </c>
      <c r="I46" s="267" t="s">
        <v>1093</v>
      </c>
      <c r="J46"/>
      <c r="K46"/>
      <c r="L46" s="13">
        <f>Equipment_Database[[#This Row],[Volume(L)]]*L$1</f>
        <v>4</v>
      </c>
      <c r="M46" s="270" t="s">
        <v>1094</v>
      </c>
      <c r="N46" s="273" t="s">
        <v>1098</v>
      </c>
      <c r="O46" s="309">
        <f>Equipment_Database[[#This Row],[Power Rating(kW)]]/Equipment_Database[[#This Row],[Useful tool volume]]</f>
        <v>22.5</v>
      </c>
      <c r="P46" s="276"/>
    </row>
    <row r="47" spans="2:16">
      <c r="B47" s="12" t="s">
        <v>7</v>
      </c>
      <c r="F47" s="260">
        <v>10</v>
      </c>
      <c r="G47" s="265" t="s">
        <v>1092</v>
      </c>
      <c r="H47" s="267">
        <v>120</v>
      </c>
      <c r="I47" s="267" t="s">
        <v>1093</v>
      </c>
      <c r="J47"/>
      <c r="K47"/>
      <c r="L47" s="13">
        <f>Equipment_Database[[#This Row],[Volume(L)]]*L$1</f>
        <v>8</v>
      </c>
      <c r="M47" s="270" t="s">
        <v>1094</v>
      </c>
      <c r="N47" s="273" t="s">
        <v>1099</v>
      </c>
      <c r="O47" s="309">
        <f>Equipment_Database[[#This Row],[Power Rating(kW)]]/Equipment_Database[[#This Row],[Useful tool volume]]</f>
        <v>15</v>
      </c>
      <c r="P47" s="276"/>
    </row>
    <row r="48" spans="2:16">
      <c r="B48" s="12" t="s">
        <v>7</v>
      </c>
      <c r="F48" s="260">
        <v>20</v>
      </c>
      <c r="G48" s="265" t="s">
        <v>1092</v>
      </c>
      <c r="H48" s="267">
        <v>120</v>
      </c>
      <c r="I48" s="267" t="s">
        <v>1093</v>
      </c>
      <c r="J48"/>
      <c r="K48"/>
      <c r="L48" s="13">
        <f>Equipment_Database[[#This Row],[Volume(L)]]*L$1</f>
        <v>16</v>
      </c>
      <c r="M48" s="270" t="s">
        <v>1094</v>
      </c>
      <c r="N48" s="273" t="s">
        <v>1100</v>
      </c>
      <c r="O48" s="309">
        <f>Equipment_Database[[#This Row],[Power Rating(kW)]]/Equipment_Database[[#This Row],[Useful tool volume]]</f>
        <v>7.5</v>
      </c>
      <c r="P48" s="276"/>
    </row>
    <row r="49" spans="2:16">
      <c r="B49" s="12" t="s">
        <v>7</v>
      </c>
      <c r="F49" s="260">
        <v>30</v>
      </c>
      <c r="G49" s="265" t="s">
        <v>1092</v>
      </c>
      <c r="H49" s="267">
        <v>120</v>
      </c>
      <c r="I49" s="267" t="s">
        <v>1093</v>
      </c>
      <c r="J49"/>
      <c r="K49"/>
      <c r="L49" s="13">
        <f>Equipment_Database[[#This Row],[Volume(L)]]*L$1</f>
        <v>24</v>
      </c>
      <c r="M49" s="270" t="s">
        <v>1094</v>
      </c>
      <c r="N49" s="273" t="s">
        <v>1101</v>
      </c>
      <c r="O49" s="309">
        <f>Equipment_Database[[#This Row],[Power Rating(kW)]]/Equipment_Database[[#This Row],[Useful tool volume]]</f>
        <v>5</v>
      </c>
      <c r="P49" s="276"/>
    </row>
    <row r="50" spans="2:16">
      <c r="B50" s="12" t="s">
        <v>7</v>
      </c>
      <c r="F50" s="260">
        <v>50</v>
      </c>
      <c r="G50" s="265" t="s">
        <v>1092</v>
      </c>
      <c r="H50" s="267">
        <v>120</v>
      </c>
      <c r="I50" s="267" t="s">
        <v>1093</v>
      </c>
      <c r="J50"/>
      <c r="K50"/>
      <c r="L50" s="13">
        <f>Equipment_Database[[#This Row],[Volume(L)]]*L$1</f>
        <v>40</v>
      </c>
      <c r="M50" s="270" t="s">
        <v>1094</v>
      </c>
      <c r="N50" s="273" t="s">
        <v>1102</v>
      </c>
      <c r="O50" s="309">
        <f>Equipment_Database[[#This Row],[Power Rating(kW)]]/Equipment_Database[[#This Row],[Useful tool volume]]</f>
        <v>3</v>
      </c>
      <c r="P50" s="276"/>
    </row>
    <row r="51" spans="2:16">
      <c r="B51" s="12" t="s">
        <v>7</v>
      </c>
      <c r="F51" s="260">
        <v>100</v>
      </c>
      <c r="G51" s="265" t="s">
        <v>1092</v>
      </c>
      <c r="H51" s="267">
        <v>180</v>
      </c>
      <c r="I51" s="267" t="s">
        <v>1093</v>
      </c>
      <c r="J51"/>
      <c r="K51"/>
      <c r="L51" s="13">
        <f>Equipment_Database[[#This Row],[Volume(L)]]*L$1</f>
        <v>80</v>
      </c>
      <c r="M51" s="270" t="s">
        <v>1094</v>
      </c>
      <c r="N51" s="273" t="s">
        <v>1103</v>
      </c>
      <c r="O51" s="309">
        <f>Equipment_Database[[#This Row],[Power Rating(kW)]]/Equipment_Database[[#This Row],[Useful tool volume]]</f>
        <v>2.25</v>
      </c>
      <c r="P51" s="276"/>
    </row>
    <row r="52" spans="2:16">
      <c r="B52" s="12" t="s">
        <v>7</v>
      </c>
      <c r="F52" s="260">
        <v>10</v>
      </c>
      <c r="G52" s="263" t="s">
        <v>1104</v>
      </c>
      <c r="H52" s="267">
        <v>3</v>
      </c>
      <c r="I52" s="267" t="s">
        <v>1105</v>
      </c>
      <c r="J52"/>
      <c r="K52"/>
      <c r="L52" s="13">
        <f>Equipment_Database[[#This Row],[Volume(L)]]*L$1</f>
        <v>8</v>
      </c>
      <c r="M52" s="270" t="s">
        <v>1106</v>
      </c>
      <c r="N52" s="273" t="s">
        <v>1107</v>
      </c>
      <c r="O52" s="309">
        <f>Equipment_Database[[#This Row],[Power Rating(kW)]]/Equipment_Database[[#This Row],[Useful tool volume]]</f>
        <v>0.375</v>
      </c>
      <c r="P52" s="275" t="s">
        <v>1108</v>
      </c>
    </row>
    <row r="53" spans="2:16">
      <c r="B53" s="12" t="s">
        <v>7</v>
      </c>
      <c r="F53" s="260">
        <v>20</v>
      </c>
      <c r="G53" s="263" t="s">
        <v>1104</v>
      </c>
      <c r="H53" s="267">
        <v>3</v>
      </c>
      <c r="I53" s="267" t="s">
        <v>1105</v>
      </c>
      <c r="J53"/>
      <c r="K53"/>
      <c r="L53" s="13">
        <f>Equipment_Database[[#This Row],[Volume(L)]]*L$1</f>
        <v>16</v>
      </c>
      <c r="M53" s="270" t="s">
        <v>1106</v>
      </c>
      <c r="N53" s="273" t="s">
        <v>1109</v>
      </c>
      <c r="O53" s="309">
        <f>Equipment_Database[[#This Row],[Power Rating(kW)]]/Equipment_Database[[#This Row],[Useful tool volume]]</f>
        <v>0.1875</v>
      </c>
      <c r="P53" s="276"/>
    </row>
    <row r="54" spans="2:16">
      <c r="B54" s="12" t="s">
        <v>7</v>
      </c>
      <c r="F54" s="260">
        <v>30</v>
      </c>
      <c r="G54" s="263" t="s">
        <v>1104</v>
      </c>
      <c r="H54" s="267">
        <v>6</v>
      </c>
      <c r="I54" s="267" t="s">
        <v>1110</v>
      </c>
      <c r="J54"/>
      <c r="K54"/>
      <c r="L54" s="13">
        <f>Equipment_Database[[#This Row],[Volume(L)]]*L$1</f>
        <v>24</v>
      </c>
      <c r="M54" s="270" t="s">
        <v>1106</v>
      </c>
      <c r="N54" s="273" t="s">
        <v>1111</v>
      </c>
      <c r="O54" s="309">
        <f>Equipment_Database[[#This Row],[Power Rating(kW)]]/Equipment_Database[[#This Row],[Useful tool volume]]</f>
        <v>0.25</v>
      </c>
      <c r="P54" s="276"/>
    </row>
    <row r="55" spans="2:16">
      <c r="B55" s="12" t="s">
        <v>7</v>
      </c>
      <c r="F55" s="260">
        <v>500</v>
      </c>
      <c r="G55" s="263" t="s">
        <v>1104</v>
      </c>
      <c r="H55" s="267">
        <v>12</v>
      </c>
      <c r="I55" s="267" t="s">
        <v>1105</v>
      </c>
      <c r="J55"/>
      <c r="K55"/>
      <c r="L55" s="13">
        <f>Equipment_Database[[#This Row],[Volume(L)]]*L$1</f>
        <v>400</v>
      </c>
      <c r="M55" s="270" t="s">
        <v>1106</v>
      </c>
      <c r="N55" s="273" t="s">
        <v>1112</v>
      </c>
      <c r="O55" s="309">
        <f>Equipment_Database[[#This Row],[Power Rating(kW)]]/Equipment_Database[[#This Row],[Useful tool volume]]</f>
        <v>0.03</v>
      </c>
      <c r="P55" s="276"/>
    </row>
    <row r="56" spans="2:16">
      <c r="B56" s="12" t="s">
        <v>7</v>
      </c>
      <c r="F56" s="260">
        <v>100</v>
      </c>
      <c r="G56" s="263" t="s">
        <v>1104</v>
      </c>
      <c r="H56" s="267">
        <v>18</v>
      </c>
      <c r="I56" s="267" t="s">
        <v>1113</v>
      </c>
      <c r="J56"/>
      <c r="K56"/>
      <c r="L56" s="13">
        <f>Equipment_Database[[#This Row],[Volume(L)]]*L$1</f>
        <v>80</v>
      </c>
      <c r="M56" s="270" t="s">
        <v>1106</v>
      </c>
      <c r="N56" s="273" t="s">
        <v>1114</v>
      </c>
      <c r="O56" s="309">
        <f>Equipment_Database[[#This Row],[Power Rating(kW)]]/Equipment_Database[[#This Row],[Useful tool volume]]</f>
        <v>0.22500000000000001</v>
      </c>
      <c r="P56" s="276"/>
    </row>
    <row r="57" spans="2:16">
      <c r="B57" s="12" t="s">
        <v>7</v>
      </c>
      <c r="F57" s="260">
        <v>200</v>
      </c>
      <c r="G57" s="263" t="s">
        <v>1104</v>
      </c>
      <c r="H57" s="267">
        <v>27</v>
      </c>
      <c r="I57" s="267" t="s">
        <v>1113</v>
      </c>
      <c r="J57"/>
      <c r="K57"/>
      <c r="L57" s="13">
        <f>Equipment_Database[[#This Row],[Volume(L)]]*L$1</f>
        <v>160</v>
      </c>
      <c r="M57" s="270" t="s">
        <v>1106</v>
      </c>
      <c r="N57" s="273" t="s">
        <v>1115</v>
      </c>
      <c r="O57" s="309">
        <f>Equipment_Database[[#This Row],[Power Rating(kW)]]/Equipment_Database[[#This Row],[Useful tool volume]]</f>
        <v>0.16875000000000001</v>
      </c>
      <c r="P57" s="276"/>
    </row>
    <row r="58" spans="2:16">
      <c r="B58" s="12" t="s">
        <v>7</v>
      </c>
      <c r="F58" s="260">
        <v>300</v>
      </c>
      <c r="G58" s="263" t="s">
        <v>1104</v>
      </c>
      <c r="H58" s="267">
        <v>27</v>
      </c>
      <c r="I58" s="267" t="s">
        <v>1113</v>
      </c>
      <c r="J58"/>
      <c r="K58"/>
      <c r="L58" s="13">
        <f>Equipment_Database[[#This Row],[Volume(L)]]*L$1</f>
        <v>240</v>
      </c>
      <c r="M58" s="270" t="s">
        <v>1106</v>
      </c>
      <c r="N58" s="273" t="s">
        <v>1116</v>
      </c>
      <c r="O58" s="309">
        <f>Equipment_Database[[#This Row],[Power Rating(kW)]]/Equipment_Database[[#This Row],[Useful tool volume]]</f>
        <v>0.1125</v>
      </c>
      <c r="P58" s="276"/>
    </row>
    <row r="59" spans="2:16">
      <c r="B59" s="12" t="s">
        <v>7</v>
      </c>
      <c r="F59" s="260">
        <v>500</v>
      </c>
      <c r="G59" s="263" t="s">
        <v>1104</v>
      </c>
      <c r="H59" s="267">
        <v>30</v>
      </c>
      <c r="I59" s="268" t="s">
        <v>1117</v>
      </c>
      <c r="J59"/>
      <c r="K59"/>
      <c r="L59" s="13">
        <f>Equipment_Database[[#This Row],[Volume(L)]]*L$1</f>
        <v>400</v>
      </c>
      <c r="M59" s="270" t="s">
        <v>1106</v>
      </c>
      <c r="N59" s="273" t="s">
        <v>1118</v>
      </c>
      <c r="O59" s="309">
        <f>Equipment_Database[[#This Row],[Power Rating(kW)]]/Equipment_Database[[#This Row],[Useful tool volume]]</f>
        <v>7.4999999999999997E-2</v>
      </c>
      <c r="P59" s="276"/>
    </row>
    <row r="60" spans="2:16">
      <c r="B60" s="12" t="s">
        <v>7</v>
      </c>
      <c r="F60" s="260">
        <v>1000</v>
      </c>
      <c r="G60" s="263" t="s">
        <v>1104</v>
      </c>
      <c r="H60" s="267">
        <v>60</v>
      </c>
      <c r="I60" s="268" t="s">
        <v>1117</v>
      </c>
      <c r="J60"/>
      <c r="K60"/>
      <c r="L60" s="13">
        <f>Equipment_Database[[#This Row],[Volume(L)]]*L$1</f>
        <v>800</v>
      </c>
      <c r="M60" s="270" t="s">
        <v>1106</v>
      </c>
      <c r="N60" s="273" t="s">
        <v>1119</v>
      </c>
      <c r="O60" s="309">
        <f>Equipment_Database[[#This Row],[Power Rating(kW)]]/Equipment_Database[[#This Row],[Useful tool volume]]</f>
        <v>7.4999999999999997E-2</v>
      </c>
      <c r="P60" s="276"/>
    </row>
    <row r="61" spans="2:16">
      <c r="B61" s="12" t="s">
        <v>7</v>
      </c>
      <c r="F61" s="262">
        <v>20</v>
      </c>
      <c r="G61" s="263"/>
      <c r="H61" s="15"/>
      <c r="I61" s="269">
        <v>650</v>
      </c>
      <c r="J61"/>
      <c r="K61"/>
      <c r="L61" s="13">
        <f>Equipment_Database[[#This Row],[Volume(L)]]*L$1</f>
        <v>16</v>
      </c>
      <c r="M61" s="272" t="s">
        <v>161</v>
      </c>
      <c r="N61" s="274" t="s">
        <v>161</v>
      </c>
      <c r="O61" s="309">
        <f>Equipment_Database[[#This Row],[Power Rating(kW)]]/Equipment_Database[[#This Row],[Useful tool volume]]</f>
        <v>0</v>
      </c>
      <c r="P61" s="277" t="s">
        <v>1120</v>
      </c>
    </row>
    <row r="62" spans="2:16">
      <c r="B62" s="12" t="s">
        <v>7</v>
      </c>
      <c r="F62" s="260">
        <v>5</v>
      </c>
      <c r="G62" s="263"/>
      <c r="H62" s="15"/>
      <c r="I62" s="267">
        <v>600</v>
      </c>
      <c r="J62"/>
      <c r="K62"/>
      <c r="L62" s="13">
        <f>Equipment_Database[[#This Row],[Volume(L)]]*L$1</f>
        <v>4</v>
      </c>
      <c r="M62" s="270" t="s">
        <v>1121</v>
      </c>
      <c r="N62" s="273" t="s">
        <v>1122</v>
      </c>
      <c r="O62" s="309">
        <f>Equipment_Database[[#This Row],[Power Rating(kW)]]/Equipment_Database[[#This Row],[Useful tool volume]]</f>
        <v>0</v>
      </c>
      <c r="P62" s="275" t="s">
        <v>1123</v>
      </c>
    </row>
    <row r="63" spans="2:16">
      <c r="B63" s="12" t="s">
        <v>7</v>
      </c>
      <c r="F63" s="260">
        <v>10</v>
      </c>
      <c r="G63" s="263"/>
      <c r="H63" s="15"/>
      <c r="I63" s="267">
        <v>600</v>
      </c>
      <c r="J63"/>
      <c r="K63"/>
      <c r="L63" s="13">
        <f>Equipment_Database[[#This Row],[Volume(L)]]*L$1</f>
        <v>8</v>
      </c>
      <c r="M63" s="270" t="s">
        <v>1121</v>
      </c>
      <c r="N63" s="273" t="s">
        <v>1124</v>
      </c>
      <c r="O63" s="309">
        <f>Equipment_Database[[#This Row],[Power Rating(kW)]]/Equipment_Database[[#This Row],[Useful tool volume]]</f>
        <v>0</v>
      </c>
      <c r="P63" s="275" t="s">
        <v>1125</v>
      </c>
    </row>
    <row r="64" spans="2:16">
      <c r="B64" s="12" t="s">
        <v>7</v>
      </c>
      <c r="F64" s="260">
        <v>15</v>
      </c>
      <c r="G64" s="263"/>
      <c r="H64" s="15"/>
      <c r="I64" s="267">
        <v>600</v>
      </c>
      <c r="J64"/>
      <c r="K64"/>
      <c r="L64" s="13">
        <f>Equipment_Database[[#This Row],[Volume(L)]]*L$1</f>
        <v>12</v>
      </c>
      <c r="M64" s="270" t="s">
        <v>1121</v>
      </c>
      <c r="N64" s="273" t="s">
        <v>1126</v>
      </c>
      <c r="O64" s="309">
        <f>Equipment_Database[[#This Row],[Power Rating(kW)]]/Equipment_Database[[#This Row],[Useful tool volume]]</f>
        <v>0</v>
      </c>
      <c r="P64" s="276"/>
    </row>
    <row r="65" spans="2:16">
      <c r="B65" s="12" t="s">
        <v>7</v>
      </c>
      <c r="F65" s="260">
        <v>20</v>
      </c>
      <c r="G65" s="263"/>
      <c r="H65" s="267">
        <v>180</v>
      </c>
      <c r="I65" s="267">
        <v>650</v>
      </c>
      <c r="J65"/>
      <c r="K65"/>
      <c r="L65" s="13">
        <f>Equipment_Database[[#This Row],[Volume(L)]]*L$1</f>
        <v>16</v>
      </c>
      <c r="M65" s="270" t="s">
        <v>161</v>
      </c>
      <c r="N65" s="273" t="s">
        <v>161</v>
      </c>
      <c r="O65" s="309">
        <f>Equipment_Database[[#This Row],[Power Rating(kW)]]/Equipment_Database[[#This Row],[Useful tool volume]]</f>
        <v>11.25</v>
      </c>
      <c r="P65" s="275" t="s">
        <v>1120</v>
      </c>
    </row>
    <row r="66" spans="2:16">
      <c r="B66" s="12" t="s">
        <v>7</v>
      </c>
      <c r="F66" s="260">
        <v>1</v>
      </c>
      <c r="G66" s="265"/>
      <c r="H66" s="15"/>
      <c r="I66" s="267">
        <v>420</v>
      </c>
      <c r="J66"/>
      <c r="K66"/>
      <c r="L66" s="13">
        <f>Equipment_Database[[#This Row],[Volume(L)]]*L$1</f>
        <v>0.8</v>
      </c>
      <c r="M66" s="270" t="s">
        <v>1127</v>
      </c>
      <c r="N66" s="273"/>
      <c r="O66" s="309">
        <f>Equipment_Database[[#This Row],[Power Rating(kW)]]/Equipment_Database[[#This Row],[Useful tool volume]]</f>
        <v>0</v>
      </c>
      <c r="P66" s="278" t="s">
        <v>1128</v>
      </c>
    </row>
    <row r="67" spans="2:16">
      <c r="B67" s="12" t="s">
        <v>7</v>
      </c>
      <c r="F67" s="260">
        <v>2</v>
      </c>
      <c r="G67" s="263"/>
      <c r="H67" s="15"/>
      <c r="I67" s="267">
        <v>420</v>
      </c>
      <c r="J67"/>
      <c r="K67"/>
      <c r="L67" s="13">
        <f>Equipment_Database[[#This Row],[Volume(L)]]*L$1</f>
        <v>1.6</v>
      </c>
      <c r="M67" s="270" t="s">
        <v>1127</v>
      </c>
      <c r="N67" s="273"/>
      <c r="O67" s="309">
        <f>Equipment_Database[[#This Row],[Power Rating(kW)]]/Equipment_Database[[#This Row],[Useful tool volume]]</f>
        <v>0</v>
      </c>
      <c r="P67" s="276"/>
    </row>
    <row r="68" spans="2:16">
      <c r="B68" s="12" t="s">
        <v>7</v>
      </c>
      <c r="F68" s="260">
        <v>3</v>
      </c>
      <c r="G68" s="263"/>
      <c r="H68" s="15"/>
      <c r="I68" s="267">
        <v>420</v>
      </c>
      <c r="J68"/>
      <c r="K68"/>
      <c r="L68" s="13">
        <f>Equipment_Database[[#This Row],[Volume(L)]]*L$1</f>
        <v>2.4000000000000004</v>
      </c>
      <c r="M68" s="270" t="s">
        <v>1127</v>
      </c>
      <c r="N68" s="273"/>
      <c r="O68" s="309">
        <f>Equipment_Database[[#This Row],[Power Rating(kW)]]/Equipment_Database[[#This Row],[Useful tool volume]]</f>
        <v>0</v>
      </c>
      <c r="P68" s="276"/>
    </row>
    <row r="69" spans="2:16">
      <c r="B69" s="12" t="s">
        <v>7</v>
      </c>
      <c r="F69" s="260">
        <v>5</v>
      </c>
      <c r="G69" s="263"/>
      <c r="H69" s="15"/>
      <c r="I69" s="267">
        <v>420</v>
      </c>
      <c r="J69"/>
      <c r="K69"/>
      <c r="L69" s="13">
        <f>Equipment_Database[[#This Row],[Volume(L)]]*L$1</f>
        <v>4</v>
      </c>
      <c r="M69" s="270" t="s">
        <v>1127</v>
      </c>
      <c r="N69" s="273"/>
      <c r="O69" s="309">
        <f>Equipment_Database[[#This Row],[Power Rating(kW)]]/Equipment_Database[[#This Row],[Useful tool volume]]</f>
        <v>0</v>
      </c>
      <c r="P69" s="276"/>
    </row>
    <row r="70" spans="2:16">
      <c r="B70" s="12" t="s">
        <v>7</v>
      </c>
      <c r="F70" s="260">
        <v>10</v>
      </c>
      <c r="G70" s="263"/>
      <c r="H70" s="15"/>
      <c r="I70" s="267">
        <v>420</v>
      </c>
      <c r="J70"/>
      <c r="K70"/>
      <c r="L70" s="13">
        <f>Equipment_Database[[#This Row],[Volume(L)]]*L$1</f>
        <v>8</v>
      </c>
      <c r="M70" s="270" t="s">
        <v>1127</v>
      </c>
      <c r="N70" s="273"/>
      <c r="O70" s="309">
        <f>Equipment_Database[[#This Row],[Power Rating(kW)]]/Equipment_Database[[#This Row],[Useful tool volume]]</f>
        <v>0</v>
      </c>
      <c r="P70" s="276"/>
    </row>
    <row r="71" spans="2:16">
      <c r="B71" s="12" t="s">
        <v>7</v>
      </c>
      <c r="F71" s="260">
        <v>20</v>
      </c>
      <c r="G71" s="263"/>
      <c r="H71" s="15"/>
      <c r="I71" s="267">
        <v>420</v>
      </c>
      <c r="J71"/>
      <c r="K71"/>
      <c r="L71" s="13">
        <f>Equipment_Database[[#This Row],[Volume(L)]]*L$1</f>
        <v>16</v>
      </c>
      <c r="M71" s="270" t="s">
        <v>1127</v>
      </c>
      <c r="N71" s="273"/>
      <c r="O71" s="309">
        <f>Equipment_Database[[#This Row],[Power Rating(kW)]]/Equipment_Database[[#This Row],[Useful tool volume]]</f>
        <v>0</v>
      </c>
      <c r="P71" s="276"/>
    </row>
    <row r="72" spans="2:16">
      <c r="B72" s="12" t="s">
        <v>7</v>
      </c>
      <c r="F72" s="260">
        <v>30</v>
      </c>
      <c r="G72" s="263"/>
      <c r="H72" s="15"/>
      <c r="I72" s="267">
        <v>420</v>
      </c>
      <c r="J72"/>
      <c r="K72"/>
      <c r="L72" s="13">
        <f>Equipment_Database[[#This Row],[Volume(L)]]*L$1</f>
        <v>24</v>
      </c>
      <c r="M72" s="270" t="s">
        <v>1127</v>
      </c>
      <c r="N72" s="273"/>
      <c r="O72" s="309">
        <f>Equipment_Database[[#This Row],[Power Rating(kW)]]/Equipment_Database[[#This Row],[Useful tool volume]]</f>
        <v>0</v>
      </c>
      <c r="P72" s="276"/>
    </row>
    <row r="73" spans="2:16">
      <c r="B73" s="12" t="s">
        <v>7</v>
      </c>
      <c r="F73" s="260">
        <v>50</v>
      </c>
      <c r="G73" s="263"/>
      <c r="H73" s="15"/>
      <c r="I73" s="267">
        <v>420</v>
      </c>
      <c r="J73"/>
      <c r="K73"/>
      <c r="L73" s="13">
        <f>Equipment_Database[[#This Row],[Volume(L)]]*L$1</f>
        <v>40</v>
      </c>
      <c r="M73" s="270" t="s">
        <v>1127</v>
      </c>
      <c r="N73" s="273"/>
      <c r="O73" s="309">
        <f>Equipment_Database[[#This Row],[Power Rating(kW)]]/Equipment_Database[[#This Row],[Useful tool volume]]</f>
        <v>0</v>
      </c>
      <c r="P73" s="276"/>
    </row>
    <row r="74" spans="2:16">
      <c r="B74" s="12" t="s">
        <v>7</v>
      </c>
      <c r="F74" s="260">
        <v>80</v>
      </c>
      <c r="G74" s="263"/>
      <c r="H74" s="15">
        <v>220</v>
      </c>
      <c r="I74" s="267">
        <v>420</v>
      </c>
      <c r="J74"/>
      <c r="K74"/>
      <c r="L74" s="13">
        <f>Equipment_Database[[#This Row],[Volume(L)]]*L$1</f>
        <v>64</v>
      </c>
      <c r="M74" s="270" t="s">
        <v>1127</v>
      </c>
      <c r="N74" s="273"/>
      <c r="O74" s="309">
        <f>Equipment_Database[[#This Row],[Power Rating(kW)]]/Equipment_Database[[#This Row],[Useful tool volume]]</f>
        <v>3.4375</v>
      </c>
      <c r="P74" s="276"/>
    </row>
    <row r="75" spans="2:16">
      <c r="B75" s="12" t="s">
        <v>7</v>
      </c>
      <c r="C75" s="259"/>
      <c r="F75" s="260">
        <v>100</v>
      </c>
      <c r="G75" s="263"/>
      <c r="H75" s="15">
        <v>300</v>
      </c>
      <c r="I75" s="267">
        <v>420</v>
      </c>
      <c r="J75"/>
      <c r="K75"/>
      <c r="L75" s="13">
        <f>Equipment_Database[[#This Row],[Volume(L)]]*L$1</f>
        <v>80</v>
      </c>
      <c r="M75" s="270" t="s">
        <v>1127</v>
      </c>
      <c r="N75" s="273"/>
      <c r="O75" s="309">
        <f>Equipment_Database[[#This Row],[Power Rating(kW)]]/Equipment_Database[[#This Row],[Useful tool volume]]</f>
        <v>3.75</v>
      </c>
      <c r="P75" s="276"/>
    </row>
    <row r="76" spans="2:16">
      <c r="B76" s="12" t="s">
        <v>5</v>
      </c>
      <c r="F76" s="13">
        <v>0.5</v>
      </c>
      <c r="H76" s="15">
        <v>2.1</v>
      </c>
      <c r="I76" s="15"/>
      <c r="J76" s="253"/>
      <c r="K76" s="253"/>
      <c r="L76" s="13">
        <v>20</v>
      </c>
      <c r="N76" s="53" t="s">
        <v>162</v>
      </c>
      <c r="O76" s="308">
        <f>Equipment_Database[[#This Row],[Power Rating(kW)]]/Equipment_Database[[#This Row],[Useful tool volume]]</f>
        <v>0.10500000000000001</v>
      </c>
    </row>
    <row r="77" spans="2:16">
      <c r="B77" s="12" t="s">
        <v>5</v>
      </c>
      <c r="F77" s="13">
        <v>1</v>
      </c>
      <c r="H77" s="15">
        <v>2.2000000000000002</v>
      </c>
      <c r="I77" s="15"/>
      <c r="J77" s="253"/>
      <c r="K77" s="253"/>
      <c r="L77" s="13">
        <f>Equipment_Database[[#This Row],[Volume(L)]]*L$1</f>
        <v>0.8</v>
      </c>
      <c r="M77" s="279" t="s">
        <v>1135</v>
      </c>
      <c r="N77" s="10" t="s">
        <v>1138</v>
      </c>
      <c r="O77" s="308">
        <f>Equipment_Database[[#This Row],[Power Rating(kW)]]/Equipment_Database[[#This Row],[Useful tool volume]]</f>
        <v>2.75</v>
      </c>
      <c r="P77" s="52" t="s">
        <v>1162</v>
      </c>
    </row>
    <row r="78" spans="2:16">
      <c r="B78" s="12" t="s">
        <v>5</v>
      </c>
      <c r="F78" s="13">
        <v>2</v>
      </c>
      <c r="H78" s="15">
        <v>3</v>
      </c>
      <c r="I78" s="15"/>
      <c r="J78" s="253"/>
      <c r="K78" s="253"/>
      <c r="L78" s="13">
        <f>Equipment_Database[[#This Row],[Volume(L)]]*L$1</f>
        <v>1.6</v>
      </c>
      <c r="M78" s="279" t="s">
        <v>1135</v>
      </c>
      <c r="N78" s="10" t="s">
        <v>1139</v>
      </c>
      <c r="O78" s="308">
        <f>Equipment_Database[[#This Row],[Power Rating(kW)]]/Equipment_Database[[#This Row],[Useful tool volume]]</f>
        <v>1.875</v>
      </c>
      <c r="P78" s="53"/>
    </row>
    <row r="79" spans="2:16">
      <c r="B79" s="12" t="s">
        <v>5</v>
      </c>
      <c r="F79" s="13">
        <v>4</v>
      </c>
      <c r="H79" s="15">
        <v>5.5</v>
      </c>
      <c r="I79" s="15"/>
      <c r="J79" s="253"/>
      <c r="K79" s="253"/>
      <c r="L79" s="13">
        <f>Equipment_Database[[#This Row],[Volume(L)]]*L$1</f>
        <v>3.2</v>
      </c>
      <c r="M79" s="279" t="s">
        <v>1135</v>
      </c>
      <c r="N79" s="10" t="s">
        <v>1140</v>
      </c>
      <c r="O79" s="308">
        <f>Equipment_Database[[#This Row],[Power Rating(kW)]]/Equipment_Database[[#This Row],[Useful tool volume]]</f>
        <v>1.71875</v>
      </c>
      <c r="P79" s="53"/>
    </row>
    <row r="80" spans="2:16">
      <c r="B80" s="12" t="s">
        <v>5</v>
      </c>
      <c r="F80" s="13">
        <v>10</v>
      </c>
      <c r="H80" s="15">
        <v>5.5</v>
      </c>
      <c r="I80" s="15"/>
      <c r="J80" s="253"/>
      <c r="K80" s="253"/>
      <c r="L80" s="13">
        <f>Equipment_Database[[#This Row],[Volume(L)]]*L$1</f>
        <v>8</v>
      </c>
      <c r="M80" s="279" t="s">
        <v>1135</v>
      </c>
      <c r="N80" s="10" t="s">
        <v>1141</v>
      </c>
      <c r="O80" s="308">
        <f>Equipment_Database[[#This Row],[Power Rating(kW)]]/Equipment_Database[[#This Row],[Useful tool volume]]</f>
        <v>0.6875</v>
      </c>
      <c r="P80" s="53"/>
    </row>
    <row r="81" spans="2:17">
      <c r="B81" s="12" t="s">
        <v>5</v>
      </c>
      <c r="F81" s="13">
        <v>25</v>
      </c>
      <c r="H81" s="15">
        <v>7.5</v>
      </c>
      <c r="I81" s="15"/>
      <c r="J81" s="253"/>
      <c r="K81" s="253"/>
      <c r="L81" s="13">
        <f>Equipment_Database[[#This Row],[Volume(L)]]*L$1</f>
        <v>20</v>
      </c>
      <c r="M81" s="279" t="s">
        <v>1135</v>
      </c>
      <c r="N81" s="10" t="s">
        <v>1142</v>
      </c>
      <c r="O81" s="308">
        <f>Equipment_Database[[#This Row],[Power Rating(kW)]]/Equipment_Database[[#This Row],[Useful tool volume]]</f>
        <v>0.375</v>
      </c>
      <c r="P81" s="53"/>
    </row>
    <row r="82" spans="2:17">
      <c r="B82" s="254" t="s">
        <v>5</v>
      </c>
      <c r="C82" s="250"/>
      <c r="D82" s="250"/>
      <c r="E82" s="250"/>
      <c r="F82" s="261">
        <v>60</v>
      </c>
      <c r="G82" s="264"/>
      <c r="H82" s="255">
        <v>18</v>
      </c>
      <c r="I82" s="255"/>
      <c r="J82" s="280"/>
      <c r="K82" s="280"/>
      <c r="L82" s="13">
        <f>Equipment_Database[[#This Row],[Volume(L)]]*L$1</f>
        <v>48</v>
      </c>
      <c r="M82" s="281" t="s">
        <v>1135</v>
      </c>
      <c r="N82" s="283" t="s">
        <v>1143</v>
      </c>
      <c r="O82" s="308">
        <f>Equipment_Database[[#This Row],[Power Rating(kW)]]/Equipment_Database[[#This Row],[Useful tool volume]]</f>
        <v>0.375</v>
      </c>
      <c r="P82" s="271"/>
    </row>
    <row r="83" spans="2:17">
      <c r="B83" s="254" t="s">
        <v>5</v>
      </c>
      <c r="C83" s="250"/>
      <c r="D83" s="250"/>
      <c r="E83" s="250"/>
      <c r="F83" s="261">
        <v>11</v>
      </c>
      <c r="G83" s="264"/>
      <c r="H83" s="255">
        <v>15</v>
      </c>
      <c r="I83" s="255"/>
      <c r="J83" s="280"/>
      <c r="K83" s="280"/>
      <c r="L83" s="13">
        <f>Equipment_Database[[#This Row],[Volume(L)]]*L$1</f>
        <v>8.8000000000000007</v>
      </c>
      <c r="M83" s="271" t="s">
        <v>1136</v>
      </c>
      <c r="N83" s="283" t="s">
        <v>1144</v>
      </c>
      <c r="O83" s="310">
        <f>Equipment_Database[[#This Row],[Power Rating(kW)]]/Equipment_Database[[#This Row],[Useful tool volume]]</f>
        <v>1.7045454545454544</v>
      </c>
      <c r="P83" s="271" t="s">
        <v>1163</v>
      </c>
      <c r="Q83" s="252">
        <v>45607</v>
      </c>
    </row>
    <row r="84" spans="2:17">
      <c r="B84" s="254" t="s">
        <v>5</v>
      </c>
      <c r="C84" s="250"/>
      <c r="D84" s="250"/>
      <c r="E84" s="250"/>
      <c r="F84" s="261">
        <v>21</v>
      </c>
      <c r="G84" s="264"/>
      <c r="H84" s="255">
        <v>22</v>
      </c>
      <c r="I84" s="255"/>
      <c r="J84" s="280"/>
      <c r="K84" s="280"/>
      <c r="L84" s="13">
        <f>Equipment_Database[[#This Row],[Volume(L)]]*L$1</f>
        <v>16.8</v>
      </c>
      <c r="M84" s="271" t="s">
        <v>1136</v>
      </c>
      <c r="N84" s="283" t="s">
        <v>1145</v>
      </c>
      <c r="O84" s="310">
        <f>Equipment_Database[[#This Row],[Power Rating(kW)]]/Equipment_Database[[#This Row],[Useful tool volume]]</f>
        <v>1.3095238095238095</v>
      </c>
      <c r="P84" s="249"/>
    </row>
    <row r="85" spans="2:17">
      <c r="B85" s="254" t="s">
        <v>5</v>
      </c>
      <c r="C85" s="250"/>
      <c r="D85" s="250"/>
      <c r="E85" s="250"/>
      <c r="F85" s="261">
        <v>50</v>
      </c>
      <c r="G85" s="264"/>
      <c r="H85" s="255">
        <v>45</v>
      </c>
      <c r="I85" s="255"/>
      <c r="J85" s="280"/>
      <c r="K85" s="280"/>
      <c r="L85" s="13">
        <f>Equipment_Database[[#This Row],[Volume(L)]]*L$1</f>
        <v>40</v>
      </c>
      <c r="M85" s="271" t="s">
        <v>1136</v>
      </c>
      <c r="N85" s="283" t="s">
        <v>1146</v>
      </c>
      <c r="O85" s="310">
        <f>Equipment_Database[[#This Row],[Power Rating(kW)]]/Equipment_Database[[#This Row],[Useful tool volume]]</f>
        <v>1.125</v>
      </c>
      <c r="P85" s="249"/>
    </row>
    <row r="86" spans="2:17">
      <c r="B86" s="254" t="s">
        <v>5</v>
      </c>
      <c r="C86" s="250"/>
      <c r="D86" s="250"/>
      <c r="E86" s="250"/>
      <c r="F86" s="261">
        <v>117</v>
      </c>
      <c r="G86" s="264"/>
      <c r="H86" s="255">
        <v>75</v>
      </c>
      <c r="I86" s="255"/>
      <c r="J86" s="280"/>
      <c r="K86" s="280"/>
      <c r="L86" s="13">
        <f>Equipment_Database[[#This Row],[Volume(L)]]*L$1</f>
        <v>93.600000000000009</v>
      </c>
      <c r="M86" s="271" t="s">
        <v>1136</v>
      </c>
      <c r="N86" s="283" t="s">
        <v>1147</v>
      </c>
      <c r="O86" s="310">
        <f>Equipment_Database[[#This Row],[Power Rating(kW)]]/Equipment_Database[[#This Row],[Useful tool volume]]</f>
        <v>0.80128205128205121</v>
      </c>
      <c r="P86" s="249"/>
    </row>
    <row r="87" spans="2:17">
      <c r="B87" s="254" t="s">
        <v>5</v>
      </c>
      <c r="C87" s="250"/>
      <c r="D87" s="250"/>
      <c r="E87" s="250"/>
      <c r="F87" s="261">
        <v>226</v>
      </c>
      <c r="G87" s="264"/>
      <c r="H87" s="255">
        <v>110</v>
      </c>
      <c r="I87" s="255"/>
      <c r="J87" s="280"/>
      <c r="K87" s="280"/>
      <c r="L87" s="13">
        <f>Equipment_Database[[#This Row],[Volume(L)]]*L$1</f>
        <v>180.8</v>
      </c>
      <c r="M87" s="271" t="s">
        <v>1136</v>
      </c>
      <c r="N87" s="283" t="s">
        <v>1148</v>
      </c>
      <c r="O87" s="310">
        <f>Equipment_Database[[#This Row],[Power Rating(kW)]]/Equipment_Database[[#This Row],[Useful tool volume]]</f>
        <v>0.6084070796460177</v>
      </c>
      <c r="P87" s="249"/>
    </row>
    <row r="88" spans="2:17">
      <c r="B88" s="254" t="s">
        <v>5</v>
      </c>
      <c r="C88" s="250"/>
      <c r="D88" s="250"/>
      <c r="E88" s="250"/>
      <c r="F88" s="261">
        <v>510</v>
      </c>
      <c r="G88" s="264"/>
      <c r="H88" s="255">
        <v>200</v>
      </c>
      <c r="I88" s="255"/>
      <c r="J88" s="280"/>
      <c r="K88" s="280"/>
      <c r="L88" s="13">
        <f>Equipment_Database[[#This Row],[Volume(L)]]*L$1</f>
        <v>408</v>
      </c>
      <c r="M88" s="271" t="s">
        <v>1136</v>
      </c>
      <c r="N88" s="283" t="s">
        <v>1149</v>
      </c>
      <c r="O88" s="310">
        <f>Equipment_Database[[#This Row],[Power Rating(kW)]]/Equipment_Database[[#This Row],[Useful tool volume]]</f>
        <v>0.49019607843137253</v>
      </c>
      <c r="P88" s="249"/>
    </row>
    <row r="89" spans="2:17">
      <c r="B89" s="254" t="s">
        <v>5</v>
      </c>
      <c r="C89" s="250"/>
      <c r="D89" s="250"/>
      <c r="E89" s="250"/>
      <c r="F89" s="261">
        <v>16.5</v>
      </c>
      <c r="G89" s="264"/>
      <c r="H89" s="255">
        <v>24</v>
      </c>
      <c r="I89" s="255"/>
      <c r="J89" s="280"/>
      <c r="K89" s="280"/>
      <c r="L89" s="13">
        <f>Equipment_Database[[#This Row],[Volume(L)]]*L$1</f>
        <v>13.200000000000001</v>
      </c>
      <c r="M89" s="271" t="s">
        <v>1137</v>
      </c>
      <c r="N89" s="283" t="s">
        <v>1150</v>
      </c>
      <c r="O89" s="310">
        <f>Equipment_Database[[#This Row],[Power Rating(kW)]]/Equipment_Database[[#This Row],[Useful tool volume]]</f>
        <v>1.8181818181818181</v>
      </c>
      <c r="P89" s="249" t="s">
        <v>1164</v>
      </c>
    </row>
    <row r="90" spans="2:17">
      <c r="B90" s="254" t="s">
        <v>5</v>
      </c>
      <c r="C90" s="250"/>
      <c r="D90" s="250"/>
      <c r="E90" s="250"/>
      <c r="F90" s="261">
        <v>18</v>
      </c>
      <c r="G90" s="264"/>
      <c r="H90" s="255">
        <v>24</v>
      </c>
      <c r="I90" s="255"/>
      <c r="J90" s="280"/>
      <c r="K90" s="280"/>
      <c r="L90" s="13">
        <f>Equipment_Database[[#This Row],[Volume(L)]]*L$1</f>
        <v>14.4</v>
      </c>
      <c r="M90" s="271" t="s">
        <v>1137</v>
      </c>
      <c r="N90" s="283" t="s">
        <v>1151</v>
      </c>
      <c r="O90" s="310">
        <f>Equipment_Database[[#This Row],[Power Rating(kW)]]/Equipment_Database[[#This Row],[Useful tool volume]]</f>
        <v>1.6666666666666665</v>
      </c>
      <c r="P90" s="249"/>
    </row>
    <row r="91" spans="2:17">
      <c r="B91" s="254" t="s">
        <v>5</v>
      </c>
      <c r="C91" s="250"/>
      <c r="D91" s="250"/>
      <c r="E91" s="250"/>
      <c r="F91" s="261">
        <v>25</v>
      </c>
      <c r="G91" s="264"/>
      <c r="H91" s="255">
        <v>30</v>
      </c>
      <c r="I91" s="255"/>
      <c r="J91" s="280"/>
      <c r="K91" s="280"/>
      <c r="L91" s="13">
        <f>Equipment_Database[[#This Row],[Volume(L)]]*L$1</f>
        <v>20</v>
      </c>
      <c r="M91" s="271" t="s">
        <v>1137</v>
      </c>
      <c r="N91" s="284" t="s">
        <v>1152</v>
      </c>
      <c r="O91" s="310">
        <f>Equipment_Database[[#This Row],[Power Rating(kW)]]/Equipment_Database[[#This Row],[Useful tool volume]]</f>
        <v>1.5</v>
      </c>
      <c r="P91" s="249"/>
    </row>
    <row r="92" spans="2:17">
      <c r="B92" s="254" t="s">
        <v>5</v>
      </c>
      <c r="C92" s="250"/>
      <c r="D92" s="250"/>
      <c r="E92" s="250"/>
      <c r="F92" s="261">
        <v>26</v>
      </c>
      <c r="G92" s="264"/>
      <c r="H92" s="255">
        <v>30</v>
      </c>
      <c r="I92" s="255"/>
      <c r="J92" s="280"/>
      <c r="K92" s="280"/>
      <c r="L92" s="13">
        <f>Equipment_Database[[#This Row],[Volume(L)]]*L$1</f>
        <v>20.8</v>
      </c>
      <c r="M92" s="271" t="s">
        <v>1137</v>
      </c>
      <c r="N92" s="284" t="s">
        <v>1153</v>
      </c>
      <c r="O92" s="310">
        <f>Equipment_Database[[#This Row],[Power Rating(kW)]]/Equipment_Database[[#This Row],[Useful tool volume]]</f>
        <v>1.4423076923076923</v>
      </c>
      <c r="P92" s="249"/>
    </row>
    <row r="93" spans="2:17">
      <c r="B93" s="254" t="s">
        <v>5</v>
      </c>
      <c r="C93" s="250"/>
      <c r="D93" s="250"/>
      <c r="E93" s="250"/>
      <c r="F93" s="261">
        <v>46</v>
      </c>
      <c r="G93" s="264"/>
      <c r="H93" s="255">
        <v>45</v>
      </c>
      <c r="I93" s="255"/>
      <c r="J93" s="280"/>
      <c r="K93" s="280"/>
      <c r="L93" s="13">
        <f>Equipment_Database[[#This Row],[Volume(L)]]*L$1</f>
        <v>36.800000000000004</v>
      </c>
      <c r="M93" s="271" t="s">
        <v>1137</v>
      </c>
      <c r="N93" s="284" t="s">
        <v>1154</v>
      </c>
      <c r="O93" s="310">
        <f>Equipment_Database[[#This Row],[Power Rating(kW)]]/Equipment_Database[[#This Row],[Useful tool volume]]</f>
        <v>1.2228260869565215</v>
      </c>
      <c r="P93" s="249"/>
    </row>
    <row r="94" spans="2:17">
      <c r="B94" s="254" t="s">
        <v>5</v>
      </c>
      <c r="C94" s="250"/>
      <c r="D94" s="250"/>
      <c r="E94" s="250"/>
      <c r="F94" s="261">
        <v>49</v>
      </c>
      <c r="G94" s="264"/>
      <c r="H94" s="255">
        <v>45</v>
      </c>
      <c r="I94" s="255"/>
      <c r="J94" s="280"/>
      <c r="K94" s="280"/>
      <c r="L94" s="13">
        <f>Equipment_Database[[#This Row],[Volume(L)]]*L$1</f>
        <v>39.200000000000003</v>
      </c>
      <c r="M94" s="271" t="s">
        <v>1137</v>
      </c>
      <c r="N94" s="284" t="s">
        <v>1155</v>
      </c>
      <c r="O94" s="310">
        <f>Equipment_Database[[#This Row],[Power Rating(kW)]]/Equipment_Database[[#This Row],[Useful tool volume]]</f>
        <v>1.1479591836734693</v>
      </c>
      <c r="P94" s="249"/>
    </row>
    <row r="95" spans="2:17">
      <c r="B95" s="254" t="s">
        <v>5</v>
      </c>
      <c r="C95" s="250"/>
      <c r="D95" s="250"/>
      <c r="E95" s="250"/>
      <c r="F95" s="261">
        <v>60</v>
      </c>
      <c r="G95" s="264"/>
      <c r="H95" s="255">
        <v>58</v>
      </c>
      <c r="I95" s="255"/>
      <c r="J95" s="280"/>
      <c r="K95" s="280"/>
      <c r="L95" s="13">
        <f>Equipment_Database[[#This Row],[Volume(L)]]*L$1</f>
        <v>48</v>
      </c>
      <c r="M95" s="271" t="s">
        <v>1137</v>
      </c>
      <c r="N95" s="284" t="s">
        <v>1156</v>
      </c>
      <c r="O95" s="310">
        <f>Equipment_Database[[#This Row],[Power Rating(kW)]]/Equipment_Database[[#This Row],[Useful tool volume]]</f>
        <v>1.2083333333333333</v>
      </c>
      <c r="P95" s="249"/>
    </row>
    <row r="96" spans="2:17">
      <c r="B96" s="254" t="s">
        <v>5</v>
      </c>
      <c r="C96" s="250"/>
      <c r="D96" s="250"/>
      <c r="E96" s="250"/>
      <c r="F96" s="261">
        <v>62</v>
      </c>
      <c r="G96" s="264"/>
      <c r="H96" s="255">
        <v>58</v>
      </c>
      <c r="I96" s="255"/>
      <c r="J96" s="280"/>
      <c r="K96" s="280"/>
      <c r="L96" s="13">
        <f>Equipment_Database[[#This Row],[Volume(L)]]*L$1</f>
        <v>49.6</v>
      </c>
      <c r="M96" s="271" t="s">
        <v>1137</v>
      </c>
      <c r="N96" s="284" t="s">
        <v>1157</v>
      </c>
      <c r="O96" s="310">
        <f>Equipment_Database[[#This Row],[Power Rating(kW)]]/Equipment_Database[[#This Row],[Useful tool volume]]</f>
        <v>1.1693548387096775</v>
      </c>
      <c r="P96" s="249"/>
    </row>
    <row r="97" spans="2:16">
      <c r="B97" s="254" t="s">
        <v>5</v>
      </c>
      <c r="C97" s="250"/>
      <c r="D97" s="250"/>
      <c r="E97" s="250"/>
      <c r="F97" s="261">
        <v>128</v>
      </c>
      <c r="G97" s="264"/>
      <c r="H97" s="255">
        <v>75</v>
      </c>
      <c r="I97" s="255"/>
      <c r="J97" s="280"/>
      <c r="K97" s="280"/>
      <c r="L97" s="13">
        <f>Equipment_Database[[#This Row],[Volume(L)]]*L$1</f>
        <v>102.4</v>
      </c>
      <c r="M97" s="271" t="s">
        <v>1137</v>
      </c>
      <c r="N97" s="284" t="s">
        <v>1158</v>
      </c>
      <c r="O97" s="310">
        <f>Equipment_Database[[#This Row],[Power Rating(kW)]]/Equipment_Database[[#This Row],[Useful tool volume]]</f>
        <v>0.732421875</v>
      </c>
      <c r="P97" s="249"/>
    </row>
    <row r="98" spans="2:16">
      <c r="B98" s="254" t="s">
        <v>5</v>
      </c>
      <c r="C98" s="250"/>
      <c r="D98" s="250"/>
      <c r="E98" s="250"/>
      <c r="F98" s="261">
        <v>196</v>
      </c>
      <c r="G98" s="264"/>
      <c r="H98" s="255">
        <v>84</v>
      </c>
      <c r="I98" s="255"/>
      <c r="J98" s="280"/>
      <c r="K98" s="280"/>
      <c r="L98" s="13">
        <f>Equipment_Database[[#This Row],[Volume(L)]]*L$1</f>
        <v>156.80000000000001</v>
      </c>
      <c r="M98" s="271" t="s">
        <v>1137</v>
      </c>
      <c r="N98" s="284" t="s">
        <v>1159</v>
      </c>
      <c r="O98" s="310">
        <f>Equipment_Database[[#This Row],[Power Rating(kW)]]/Equipment_Database[[#This Row],[Useful tool volume]]</f>
        <v>0.5357142857142857</v>
      </c>
      <c r="P98" s="249"/>
    </row>
    <row r="99" spans="2:16">
      <c r="B99" s="254" t="s">
        <v>5</v>
      </c>
      <c r="C99" s="250"/>
      <c r="D99" s="250"/>
      <c r="E99" s="250"/>
      <c r="F99" s="261">
        <v>296</v>
      </c>
      <c r="G99" s="264"/>
      <c r="H99" s="255">
        <v>110</v>
      </c>
      <c r="I99" s="255"/>
      <c r="J99" s="280"/>
      <c r="K99" s="280"/>
      <c r="L99" s="13">
        <f>Equipment_Database[[#This Row],[Volume(L)]]*L$1</f>
        <v>236.8</v>
      </c>
      <c r="M99" s="282" t="s">
        <v>1137</v>
      </c>
      <c r="N99" s="285" t="s">
        <v>1160</v>
      </c>
      <c r="O99" s="310">
        <f>Equipment_Database[[#This Row],[Power Rating(kW)]]/Equipment_Database[[#This Row],[Useful tool volume]]</f>
        <v>0.46452702702702703</v>
      </c>
      <c r="P99" s="249"/>
    </row>
    <row r="100" spans="2:16">
      <c r="B100" s="254" t="s">
        <v>5</v>
      </c>
      <c r="C100" s="250"/>
      <c r="D100" s="250"/>
      <c r="E100" s="250"/>
      <c r="F100" s="261">
        <v>612</v>
      </c>
      <c r="G100" s="264"/>
      <c r="H100" s="255">
        <v>250</v>
      </c>
      <c r="I100" s="255"/>
      <c r="J100" s="280"/>
      <c r="K100" s="280"/>
      <c r="L100" s="13">
        <f>Equipment_Database[[#This Row],[Volume(L)]]*L$1</f>
        <v>489.6</v>
      </c>
      <c r="M100" s="271" t="s">
        <v>1137</v>
      </c>
      <c r="N100" s="284" t="s">
        <v>1161</v>
      </c>
      <c r="O100" s="310">
        <f>Equipment_Database[[#This Row],[Power Rating(kW)]]/Equipment_Database[[#This Row],[Useful tool volume]]</f>
        <v>0.5106209150326797</v>
      </c>
      <c r="P100" s="249"/>
    </row>
    <row r="101" spans="2:16">
      <c r="B101" s="254" t="s">
        <v>116</v>
      </c>
      <c r="C101" s="250"/>
      <c r="D101" s="250"/>
      <c r="E101" s="250"/>
      <c r="F101" s="261">
        <v>3</v>
      </c>
      <c r="G101" s="264"/>
      <c r="H101" s="255">
        <v>0.32</v>
      </c>
      <c r="I101" s="255"/>
      <c r="J101" s="255"/>
      <c r="K101" s="255"/>
      <c r="L101" s="13">
        <f>Equipment_Database[[#This Row],[Volume(L)]]*L$1</f>
        <v>2.4000000000000004</v>
      </c>
      <c r="M101" s="271" t="s">
        <v>117</v>
      </c>
      <c r="N101" s="271" t="s">
        <v>119</v>
      </c>
      <c r="O101" s="310">
        <f>Equipment_Database[[#This Row],[Power Rating(kW)]]/Equipment_Database[[#This Row],[Useful tool volume]]</f>
        <v>0.1333333333333333</v>
      </c>
      <c r="P101" s="250"/>
    </row>
    <row r="102" spans="2:16">
      <c r="B102" s="254" t="s">
        <v>116</v>
      </c>
      <c r="C102" s="250"/>
      <c r="D102" s="250"/>
      <c r="E102" s="250"/>
      <c r="F102" s="261">
        <v>4</v>
      </c>
      <c r="G102" s="264"/>
      <c r="H102" s="255">
        <v>0.38</v>
      </c>
      <c r="I102" s="255"/>
      <c r="J102" s="255"/>
      <c r="K102" s="255"/>
      <c r="L102" s="13">
        <f>Equipment_Database[[#This Row],[Volume(L)]]*L$1</f>
        <v>3.2</v>
      </c>
      <c r="M102" s="271" t="s">
        <v>117</v>
      </c>
      <c r="N102" s="271" t="s">
        <v>120</v>
      </c>
      <c r="O102" s="310">
        <f>Equipment_Database[[#This Row],[Power Rating(kW)]]/Equipment_Database[[#This Row],[Useful tool volume]]</f>
        <v>0.11874999999999999</v>
      </c>
      <c r="P102" s="250"/>
    </row>
    <row r="103" spans="2:16">
      <c r="B103" s="254" t="s">
        <v>116</v>
      </c>
      <c r="C103" s="250"/>
      <c r="D103" s="250"/>
      <c r="E103" s="250"/>
      <c r="F103" s="261">
        <v>6</v>
      </c>
      <c r="G103" s="264"/>
      <c r="H103" s="255">
        <v>0.48</v>
      </c>
      <c r="I103" s="255"/>
      <c r="J103" s="255"/>
      <c r="K103" s="255"/>
      <c r="L103" s="13">
        <f>Equipment_Database[[#This Row],[Volume(L)]]*L$1</f>
        <v>4.8000000000000007</v>
      </c>
      <c r="M103" s="271" t="s">
        <v>117</v>
      </c>
      <c r="N103" s="271" t="s">
        <v>121</v>
      </c>
      <c r="O103" s="310">
        <f>Equipment_Database[[#This Row],[Power Rating(kW)]]/Equipment_Database[[#This Row],[Useful tool volume]]</f>
        <v>9.9999999999999978E-2</v>
      </c>
      <c r="P103" s="250"/>
    </row>
    <row r="104" spans="2:16">
      <c r="B104" s="254" t="s">
        <v>116</v>
      </c>
      <c r="C104" s="250"/>
      <c r="D104" s="250"/>
      <c r="E104" s="250"/>
      <c r="F104" s="261">
        <v>10</v>
      </c>
      <c r="G104" s="264"/>
      <c r="H104" s="255">
        <v>0.74</v>
      </c>
      <c r="I104" s="255"/>
      <c r="J104" s="255"/>
      <c r="K104" s="255"/>
      <c r="L104" s="13">
        <f>Equipment_Database[[#This Row],[Volume(L)]]*L$1</f>
        <v>8</v>
      </c>
      <c r="M104" s="271" t="s">
        <v>117</v>
      </c>
      <c r="N104" s="271" t="s">
        <v>122</v>
      </c>
      <c r="O104" s="310">
        <f>Equipment_Database[[#This Row],[Power Rating(kW)]]/Equipment_Database[[#This Row],[Useful tool volume]]</f>
        <v>9.2499999999999999E-2</v>
      </c>
      <c r="P104" s="250"/>
    </row>
    <row r="105" spans="2:16">
      <c r="B105" s="254" t="s">
        <v>116</v>
      </c>
      <c r="C105" s="250"/>
      <c r="D105" s="250"/>
      <c r="E105" s="250"/>
      <c r="F105" s="261">
        <v>15</v>
      </c>
      <c r="G105" s="264"/>
      <c r="H105" s="255">
        <v>0.96</v>
      </c>
      <c r="I105" s="255"/>
      <c r="J105" s="255"/>
      <c r="K105" s="255"/>
      <c r="L105" s="13">
        <f>Equipment_Database[[#This Row],[Volume(L)]]*L$1</f>
        <v>12</v>
      </c>
      <c r="M105" s="271" t="s">
        <v>117</v>
      </c>
      <c r="N105" s="271" t="s">
        <v>123</v>
      </c>
      <c r="O105" s="310">
        <f>Equipment_Database[[#This Row],[Power Rating(kW)]]/Equipment_Database[[#This Row],[Useful tool volume]]</f>
        <v>0.08</v>
      </c>
      <c r="P105" s="250"/>
    </row>
    <row r="106" spans="2:16">
      <c r="B106" s="254" t="s">
        <v>116</v>
      </c>
      <c r="C106" s="250"/>
      <c r="D106" s="250"/>
      <c r="E106" s="250"/>
      <c r="F106" s="261">
        <v>20</v>
      </c>
      <c r="G106" s="264"/>
      <c r="H106" s="255">
        <v>1.2</v>
      </c>
      <c r="I106" s="255"/>
      <c r="J106" s="255"/>
      <c r="K106" s="255"/>
      <c r="L106" s="13">
        <f>Equipment_Database[[#This Row],[Volume(L)]]*L$1</f>
        <v>16</v>
      </c>
      <c r="M106" s="271" t="s">
        <v>117</v>
      </c>
      <c r="N106" s="271" t="s">
        <v>124</v>
      </c>
      <c r="O106" s="310">
        <f>Equipment_Database[[#This Row],[Power Rating(kW)]]/Equipment_Database[[#This Row],[Useful tool volume]]</f>
        <v>7.4999999999999997E-2</v>
      </c>
      <c r="P106" s="250"/>
    </row>
    <row r="107" spans="2:16">
      <c r="B107" s="254" t="s">
        <v>116</v>
      </c>
      <c r="C107" s="250"/>
      <c r="D107" s="250"/>
      <c r="E107" s="250"/>
      <c r="F107" s="261">
        <v>22</v>
      </c>
      <c r="G107" s="264"/>
      <c r="H107" s="255">
        <v>1.2</v>
      </c>
      <c r="I107" s="255"/>
      <c r="J107" s="255"/>
      <c r="K107" s="255"/>
      <c r="L107" s="13">
        <f>Equipment_Database[[#This Row],[Volume(L)]]*L$1</f>
        <v>17.600000000000001</v>
      </c>
      <c r="M107" s="271" t="s">
        <v>117</v>
      </c>
      <c r="N107" s="271" t="s">
        <v>125</v>
      </c>
      <c r="O107" s="310">
        <f>Equipment_Database[[#This Row],[Power Rating(kW)]]/Equipment_Database[[#This Row],[Useful tool volume]]</f>
        <v>6.8181818181818177E-2</v>
      </c>
      <c r="P107" s="250"/>
    </row>
    <row r="108" spans="2:16">
      <c r="B108" s="254" t="s">
        <v>116</v>
      </c>
      <c r="C108" s="250"/>
      <c r="D108" s="250"/>
      <c r="E108" s="250"/>
      <c r="F108" s="261">
        <v>30</v>
      </c>
      <c r="G108" s="264"/>
      <c r="H108" s="255">
        <v>1.6</v>
      </c>
      <c r="I108" s="255"/>
      <c r="J108" s="255"/>
      <c r="K108" s="255"/>
      <c r="L108" s="13">
        <f>Equipment_Database[[#This Row],[Volume(L)]]*L$1</f>
        <v>24</v>
      </c>
      <c r="M108" s="271" t="s">
        <v>117</v>
      </c>
      <c r="N108" s="271" t="s">
        <v>126</v>
      </c>
      <c r="O108" s="310">
        <f>Equipment_Database[[#This Row],[Power Rating(kW)]]/Equipment_Database[[#This Row],[Useful tool volume]]</f>
        <v>6.6666666666666666E-2</v>
      </c>
      <c r="P108" s="250"/>
    </row>
    <row r="109" spans="2:16">
      <c r="B109" s="254" t="s">
        <v>116</v>
      </c>
      <c r="C109" s="250"/>
      <c r="D109" s="250"/>
      <c r="E109" s="250"/>
      <c r="F109" s="261">
        <v>10</v>
      </c>
      <c r="G109" s="264"/>
      <c r="H109" s="255">
        <v>0.74</v>
      </c>
      <c r="I109" s="255"/>
      <c r="J109" s="255"/>
      <c r="K109" s="255"/>
      <c r="L109" s="13">
        <f>Equipment_Database[[#This Row],[Volume(L)]]*L$1</f>
        <v>8</v>
      </c>
      <c r="M109" s="271" t="s">
        <v>117</v>
      </c>
      <c r="N109" s="271" t="s">
        <v>127</v>
      </c>
      <c r="O109" s="310">
        <f>Equipment_Database[[#This Row],[Power Rating(kW)]]/Equipment_Database[[#This Row],[Useful tool volume]]</f>
        <v>9.2499999999999999E-2</v>
      </c>
      <c r="P109" s="250"/>
    </row>
    <row r="110" spans="2:16">
      <c r="B110" s="254" t="s">
        <v>116</v>
      </c>
      <c r="C110" s="250"/>
      <c r="D110" s="250"/>
      <c r="E110" s="250"/>
      <c r="F110" s="261">
        <v>15</v>
      </c>
      <c r="G110" s="264"/>
      <c r="H110" s="255">
        <v>0.96</v>
      </c>
      <c r="I110" s="255"/>
      <c r="J110" s="255"/>
      <c r="K110" s="255"/>
      <c r="L110" s="13">
        <f>Equipment_Database[[#This Row],[Volume(L)]]*L$1</f>
        <v>12</v>
      </c>
      <c r="M110" s="271" t="s">
        <v>117</v>
      </c>
      <c r="N110" s="271" t="s">
        <v>128</v>
      </c>
      <c r="O110" s="310">
        <f>Equipment_Database[[#This Row],[Power Rating(kW)]]/Equipment_Database[[#This Row],[Useful tool volume]]</f>
        <v>0.08</v>
      </c>
      <c r="P110" s="250"/>
    </row>
    <row r="111" spans="2:16">
      <c r="B111" s="254" t="s">
        <v>116</v>
      </c>
      <c r="C111" s="250"/>
      <c r="D111" s="250"/>
      <c r="E111" s="250"/>
      <c r="F111" s="261">
        <v>20</v>
      </c>
      <c r="G111" s="264"/>
      <c r="H111" s="255">
        <v>0.96</v>
      </c>
      <c r="I111" s="255"/>
      <c r="J111" s="255"/>
      <c r="K111" s="255"/>
      <c r="L111" s="13">
        <f>Equipment_Database[[#This Row],[Volume(L)]]*L$1</f>
        <v>16</v>
      </c>
      <c r="M111" s="271" t="s">
        <v>117</v>
      </c>
      <c r="N111" s="271" t="s">
        <v>129</v>
      </c>
      <c r="O111" s="310">
        <f>Equipment_Database[[#This Row],[Power Rating(kW)]]/Equipment_Database[[#This Row],[Useful tool volume]]</f>
        <v>0.06</v>
      </c>
      <c r="P111" s="250"/>
    </row>
    <row r="112" spans="2:16">
      <c r="B112" s="256" t="s">
        <v>116</v>
      </c>
      <c r="C112" s="251"/>
      <c r="D112" s="251"/>
      <c r="E112" s="251"/>
      <c r="F112" s="261">
        <v>22</v>
      </c>
      <c r="G112" s="266"/>
      <c r="H112" s="255">
        <v>1.28</v>
      </c>
      <c r="I112" s="257"/>
      <c r="J112" s="257"/>
      <c r="K112" s="257"/>
      <c r="L112" s="13">
        <f>Equipment_Database[[#This Row],[Volume(L)]]*L$1</f>
        <v>17.600000000000001</v>
      </c>
      <c r="M112" s="53" t="s">
        <v>117</v>
      </c>
      <c r="N112" s="53" t="s">
        <v>130</v>
      </c>
      <c r="O112" s="311">
        <f>Equipment_Database[[#This Row],[Power Rating(kW)]]/Equipment_Database[[#This Row],[Useful tool volume]]</f>
        <v>7.2727272727272724E-2</v>
      </c>
    </row>
    <row r="113" spans="2:15">
      <c r="B113" s="256" t="s">
        <v>116</v>
      </c>
      <c r="F113" s="261">
        <v>30</v>
      </c>
      <c r="H113" s="255">
        <v>1.6</v>
      </c>
      <c r="I113" s="15"/>
      <c r="J113" s="15"/>
      <c r="K113" s="15"/>
      <c r="L113" s="13">
        <f>Equipment_Database[[#This Row],[Volume(L)]]*L$1</f>
        <v>24</v>
      </c>
      <c r="M113" s="53" t="s">
        <v>117</v>
      </c>
      <c r="N113" s="53" t="s">
        <v>131</v>
      </c>
      <c r="O113" s="308">
        <f>Equipment_Database[[#This Row],[Power Rating(kW)]]/Equipment_Database[[#This Row],[Useful tool volume]]</f>
        <v>6.6666666666666666E-2</v>
      </c>
    </row>
    <row r="114" spans="2:15">
      <c r="B114" s="256" t="s">
        <v>116</v>
      </c>
      <c r="F114" s="261">
        <v>1.3</v>
      </c>
      <c r="H114" s="255">
        <v>0.06</v>
      </c>
      <c r="I114" s="15"/>
      <c r="J114" s="15"/>
      <c r="K114" s="15"/>
      <c r="L114" s="13">
        <f>Equipment_Database[[#This Row],[Volume(L)]]*L$1</f>
        <v>1.04</v>
      </c>
      <c r="M114" s="53" t="s">
        <v>117</v>
      </c>
      <c r="N114" s="53" t="s">
        <v>132</v>
      </c>
      <c r="O114" s="308">
        <f>Equipment_Database[[#This Row],[Power Rating(kW)]]/Equipment_Database[[#This Row],[Useful tool volume]]</f>
        <v>5.7692307692307689E-2</v>
      </c>
    </row>
    <row r="115" spans="2:15">
      <c r="B115" s="256" t="s">
        <v>116</v>
      </c>
      <c r="F115" s="261">
        <v>2</v>
      </c>
      <c r="H115" s="255">
        <v>0.06</v>
      </c>
      <c r="I115" s="15"/>
      <c r="J115" s="15"/>
      <c r="K115" s="15"/>
      <c r="L115" s="13">
        <f>Equipment_Database[[#This Row],[Volume(L)]]*L$1</f>
        <v>1.6</v>
      </c>
      <c r="M115" s="53" t="s">
        <v>117</v>
      </c>
      <c r="N115" s="53" t="s">
        <v>133</v>
      </c>
      <c r="O115" s="308">
        <f>Equipment_Database[[#This Row],[Power Rating(kW)]]/Equipment_Database[[#This Row],[Useful tool volume]]</f>
        <v>3.7499999999999999E-2</v>
      </c>
    </row>
    <row r="116" spans="2:15">
      <c r="B116" s="256" t="s">
        <v>116</v>
      </c>
      <c r="F116" s="261">
        <v>3</v>
      </c>
      <c r="H116" s="255">
        <v>0.12</v>
      </c>
      <c r="I116" s="15"/>
      <c r="J116" s="15"/>
      <c r="K116" s="15"/>
      <c r="L116" s="13">
        <f>Equipment_Database[[#This Row],[Volume(L)]]*L$1</f>
        <v>2.4000000000000004</v>
      </c>
      <c r="M116" s="53" t="s">
        <v>117</v>
      </c>
      <c r="N116" s="53" t="s">
        <v>134</v>
      </c>
      <c r="O116" s="308">
        <f>Equipment_Database[[#This Row],[Power Rating(kW)]]/Equipment_Database[[#This Row],[Useful tool volume]]</f>
        <v>4.9999999999999989E-2</v>
      </c>
    </row>
    <row r="117" spans="2:15">
      <c r="B117" s="256" t="s">
        <v>116</v>
      </c>
      <c r="F117" s="261">
        <v>4</v>
      </c>
      <c r="H117" s="255">
        <v>0.18</v>
      </c>
      <c r="I117" s="15"/>
      <c r="J117" s="15"/>
      <c r="K117" s="15"/>
      <c r="L117" s="13">
        <f>Equipment_Database[[#This Row],[Volume(L)]]*L$1</f>
        <v>3.2</v>
      </c>
      <c r="M117" s="53" t="s">
        <v>117</v>
      </c>
      <c r="N117" s="53" t="s">
        <v>135</v>
      </c>
      <c r="O117" s="308">
        <f>Equipment_Database[[#This Row],[Power Rating(kW)]]/Equipment_Database[[#This Row],[Useful tool volume]]</f>
        <v>5.6249999999999994E-2</v>
      </c>
    </row>
    <row r="118" spans="2:15">
      <c r="B118" s="256" t="s">
        <v>116</v>
      </c>
      <c r="F118" s="261">
        <v>4</v>
      </c>
      <c r="H118" s="255">
        <v>0.18</v>
      </c>
      <c r="I118" s="15"/>
      <c r="J118" s="15"/>
      <c r="K118" s="15"/>
      <c r="L118" s="13">
        <f>Equipment_Database[[#This Row],[Volume(L)]]*L$1</f>
        <v>3.2</v>
      </c>
      <c r="M118" s="53" t="s">
        <v>117</v>
      </c>
      <c r="N118" s="53" t="s">
        <v>136</v>
      </c>
      <c r="O118" s="308">
        <f>Equipment_Database[[#This Row],[Power Rating(kW)]]/Equipment_Database[[#This Row],[Useful tool volume]]</f>
        <v>5.6249999999999994E-2</v>
      </c>
    </row>
    <row r="119" spans="2:15">
      <c r="B119" s="256" t="s">
        <v>116</v>
      </c>
      <c r="F119" s="261">
        <v>6</v>
      </c>
      <c r="H119" s="255">
        <v>0.24</v>
      </c>
      <c r="I119" s="15"/>
      <c r="J119" s="15"/>
      <c r="K119" s="15"/>
      <c r="L119" s="13">
        <f>Equipment_Database[[#This Row],[Volume(L)]]*L$1</f>
        <v>4.8000000000000007</v>
      </c>
      <c r="M119" s="53" t="s">
        <v>117</v>
      </c>
      <c r="N119" s="53" t="s">
        <v>137</v>
      </c>
      <c r="O119" s="308">
        <f>Equipment_Database[[#This Row],[Power Rating(kW)]]/Equipment_Database[[#This Row],[Useful tool volume]]</f>
        <v>4.9999999999999989E-2</v>
      </c>
    </row>
    <row r="120" spans="2:15">
      <c r="B120" s="256" t="s">
        <v>116</v>
      </c>
      <c r="F120" s="261">
        <v>10</v>
      </c>
      <c r="H120" s="255">
        <v>0.36</v>
      </c>
      <c r="I120" s="15"/>
      <c r="J120" s="15"/>
      <c r="K120" s="15"/>
      <c r="L120" s="13">
        <f>Equipment_Database[[#This Row],[Volume(L)]]*L$1</f>
        <v>8</v>
      </c>
      <c r="M120" s="53" t="s">
        <v>117</v>
      </c>
      <c r="N120" s="53" t="s">
        <v>138</v>
      </c>
      <c r="O120" s="308">
        <f>Equipment_Database[[#This Row],[Power Rating(kW)]]/Equipment_Database[[#This Row],[Useful tool volume]]</f>
        <v>4.4999999999999998E-2</v>
      </c>
    </row>
    <row r="121" spans="2:15">
      <c r="B121" s="256" t="s">
        <v>116</v>
      </c>
      <c r="F121" s="261">
        <v>15</v>
      </c>
      <c r="H121" s="255">
        <v>0.36</v>
      </c>
      <c r="I121" s="15"/>
      <c r="J121" s="15"/>
      <c r="K121" s="15"/>
      <c r="L121" s="13">
        <f>Equipment_Database[[#This Row],[Volume(L)]]*L$1</f>
        <v>12</v>
      </c>
      <c r="M121" s="53" t="s">
        <v>117</v>
      </c>
      <c r="N121" s="53" t="s">
        <v>139</v>
      </c>
      <c r="O121" s="308">
        <f>Equipment_Database[[#This Row],[Power Rating(kW)]]/Equipment_Database[[#This Row],[Useful tool volume]]</f>
        <v>0.03</v>
      </c>
    </row>
    <row r="122" spans="2:15">
      <c r="B122" s="256" t="s">
        <v>116</v>
      </c>
      <c r="F122" s="261">
        <v>22</v>
      </c>
      <c r="H122" s="255">
        <v>0.48</v>
      </c>
      <c r="I122" s="15"/>
      <c r="J122" s="15"/>
      <c r="K122" s="15"/>
      <c r="L122" s="13">
        <f>Equipment_Database[[#This Row],[Volume(L)]]*L$1</f>
        <v>17.600000000000001</v>
      </c>
      <c r="M122" s="53" t="s">
        <v>117</v>
      </c>
      <c r="N122" s="53" t="s">
        <v>140</v>
      </c>
      <c r="O122" s="308">
        <f>Equipment_Database[[#This Row],[Power Rating(kW)]]/Equipment_Database[[#This Row],[Useful tool volume]]</f>
        <v>2.7272727272727268E-2</v>
      </c>
    </row>
    <row r="123" spans="2:15">
      <c r="B123" s="256" t="s">
        <v>116</v>
      </c>
      <c r="F123" s="261">
        <v>30</v>
      </c>
      <c r="H123" s="255">
        <v>0.6</v>
      </c>
      <c r="I123" s="15"/>
      <c r="J123" s="15"/>
      <c r="K123" s="15"/>
      <c r="L123" s="13">
        <f>Equipment_Database[[#This Row],[Volume(L)]]*L$1</f>
        <v>24</v>
      </c>
      <c r="M123" s="53" t="s">
        <v>117</v>
      </c>
      <c r="N123" s="53" t="s">
        <v>141</v>
      </c>
      <c r="O123" s="308">
        <f>Equipment_Database[[#This Row],[Power Rating(kW)]]/Equipment_Database[[#This Row],[Useful tool volume]]</f>
        <v>2.4999999999999998E-2</v>
      </c>
    </row>
    <row r="124" spans="2:15">
      <c r="B124" s="256" t="s">
        <v>116</v>
      </c>
      <c r="F124" s="261">
        <v>1.3</v>
      </c>
      <c r="H124" s="255">
        <v>0.16</v>
      </c>
      <c r="I124" s="15"/>
      <c r="J124" s="15"/>
      <c r="K124" s="15"/>
      <c r="L124" s="13">
        <f>Equipment_Database[[#This Row],[Volume(L)]]*L$1</f>
        <v>1.04</v>
      </c>
      <c r="M124" s="53" t="s">
        <v>117</v>
      </c>
      <c r="N124" s="53" t="s">
        <v>142</v>
      </c>
      <c r="O124" s="308">
        <f>Equipment_Database[[#This Row],[Power Rating(kW)]]/Equipment_Database[[#This Row],[Useful tool volume]]</f>
        <v>0.15384615384615385</v>
      </c>
    </row>
    <row r="125" spans="2:15">
      <c r="B125" s="256" t="s">
        <v>116</v>
      </c>
      <c r="F125" s="261">
        <v>2</v>
      </c>
      <c r="H125" s="255">
        <v>0.16</v>
      </c>
      <c r="I125" s="15"/>
      <c r="J125" s="15"/>
      <c r="K125" s="15"/>
      <c r="L125" s="13">
        <f>Equipment_Database[[#This Row],[Volume(L)]]*L$1</f>
        <v>1.6</v>
      </c>
      <c r="M125" s="53" t="s">
        <v>117</v>
      </c>
      <c r="N125" s="53" t="s">
        <v>143</v>
      </c>
      <c r="O125" s="308">
        <f>Equipment_Database[[#This Row],[Power Rating(kW)]]/Equipment_Database[[#This Row],[Useful tool volume]]</f>
        <v>9.9999999999999992E-2</v>
      </c>
    </row>
    <row r="126" spans="2:15">
      <c r="B126" s="256" t="s">
        <v>116</v>
      </c>
      <c r="F126" s="261">
        <v>3</v>
      </c>
      <c r="H126" s="255">
        <v>0.32</v>
      </c>
      <c r="I126" s="15"/>
      <c r="J126" s="15"/>
      <c r="K126" s="15"/>
      <c r="L126" s="13">
        <f>Equipment_Database[[#This Row],[Volume(L)]]*L$1</f>
        <v>2.4000000000000004</v>
      </c>
      <c r="M126" s="53" t="s">
        <v>117</v>
      </c>
      <c r="N126" s="53" t="s">
        <v>144</v>
      </c>
      <c r="O126" s="308">
        <f>Equipment_Database[[#This Row],[Power Rating(kW)]]/Equipment_Database[[#This Row],[Useful tool volume]]</f>
        <v>0.1333333333333333</v>
      </c>
    </row>
    <row r="127" spans="2:15">
      <c r="B127" s="256" t="s">
        <v>116</v>
      </c>
      <c r="F127" s="261">
        <v>4</v>
      </c>
      <c r="H127" s="255">
        <v>0.42</v>
      </c>
      <c r="I127" s="15"/>
      <c r="J127" s="15"/>
      <c r="K127" s="15"/>
      <c r="L127" s="13">
        <f>Equipment_Database[[#This Row],[Volume(L)]]*L$1</f>
        <v>3.2</v>
      </c>
      <c r="M127" s="53" t="s">
        <v>117</v>
      </c>
      <c r="N127" s="53" t="s">
        <v>145</v>
      </c>
      <c r="O127" s="308">
        <f>Equipment_Database[[#This Row],[Power Rating(kW)]]/Equipment_Database[[#This Row],[Useful tool volume]]</f>
        <v>0.13124999999999998</v>
      </c>
    </row>
    <row r="128" spans="2:15">
      <c r="B128" s="256" t="s">
        <v>116</v>
      </c>
      <c r="F128" s="261">
        <v>4</v>
      </c>
      <c r="H128" s="255">
        <v>0.48</v>
      </c>
      <c r="I128" s="15"/>
      <c r="J128" s="15"/>
      <c r="K128" s="15"/>
      <c r="L128" s="13">
        <f>Equipment_Database[[#This Row],[Volume(L)]]*L$1</f>
        <v>3.2</v>
      </c>
      <c r="M128" s="53" t="s">
        <v>117</v>
      </c>
      <c r="N128" s="53" t="s">
        <v>146</v>
      </c>
      <c r="O128" s="308">
        <f>Equipment_Database[[#This Row],[Power Rating(kW)]]/Equipment_Database[[#This Row],[Useful tool volume]]</f>
        <v>0.15</v>
      </c>
    </row>
    <row r="129" spans="2:16">
      <c r="B129" s="256" t="s">
        <v>116</v>
      </c>
      <c r="F129" s="261">
        <v>6</v>
      </c>
      <c r="H129" s="255">
        <v>0.5</v>
      </c>
      <c r="I129" s="15"/>
      <c r="J129" s="15"/>
      <c r="K129" s="15"/>
      <c r="L129" s="13">
        <f>Equipment_Database[[#This Row],[Volume(L)]]*L$1</f>
        <v>4.8000000000000007</v>
      </c>
      <c r="M129" s="53" t="s">
        <v>117</v>
      </c>
      <c r="N129" s="53" t="s">
        <v>147</v>
      </c>
      <c r="O129" s="308">
        <f>Equipment_Database[[#This Row],[Power Rating(kW)]]/Equipment_Database[[#This Row],[Useful tool volume]]</f>
        <v>0.10416666666666666</v>
      </c>
    </row>
    <row r="130" spans="2:16">
      <c r="B130" s="256" t="s">
        <v>116</v>
      </c>
      <c r="F130" s="261">
        <v>10</v>
      </c>
      <c r="H130" s="255">
        <v>0.8</v>
      </c>
      <c r="I130" s="15"/>
      <c r="J130" s="15"/>
      <c r="K130" s="15"/>
      <c r="L130" s="13">
        <f>Equipment_Database[[#This Row],[Volume(L)]]*L$1</f>
        <v>8</v>
      </c>
      <c r="M130" s="53" t="s">
        <v>117</v>
      </c>
      <c r="N130" s="53" t="s">
        <v>148</v>
      </c>
      <c r="O130" s="308">
        <f>Equipment_Database[[#This Row],[Power Rating(kW)]]/Equipment_Database[[#This Row],[Useful tool volume]]</f>
        <v>0.1</v>
      </c>
    </row>
    <row r="131" spans="2:16">
      <c r="B131" s="256" t="s">
        <v>116</v>
      </c>
      <c r="F131" s="261">
        <v>15</v>
      </c>
      <c r="H131" s="255">
        <v>0.96</v>
      </c>
      <c r="I131" s="15"/>
      <c r="J131" s="15"/>
      <c r="K131" s="15"/>
      <c r="L131" s="13">
        <f>Equipment_Database[[#This Row],[Volume(L)]]*L$1</f>
        <v>12</v>
      </c>
      <c r="M131" s="53" t="s">
        <v>117</v>
      </c>
      <c r="N131" s="53" t="s">
        <v>149</v>
      </c>
      <c r="O131" s="308">
        <f>Equipment_Database[[#This Row],[Power Rating(kW)]]/Equipment_Database[[#This Row],[Useful tool volume]]</f>
        <v>0.08</v>
      </c>
    </row>
    <row r="132" spans="2:16">
      <c r="B132" s="256" t="s">
        <v>116</v>
      </c>
      <c r="F132" s="261">
        <v>20</v>
      </c>
      <c r="H132" s="255">
        <v>0.96</v>
      </c>
      <c r="I132" s="15"/>
      <c r="J132" s="15"/>
      <c r="K132" s="15"/>
      <c r="L132" s="13">
        <f>Equipment_Database[[#This Row],[Volume(L)]]*L$1</f>
        <v>16</v>
      </c>
      <c r="M132" s="53" t="s">
        <v>117</v>
      </c>
      <c r="N132" s="53" t="s">
        <v>150</v>
      </c>
      <c r="O132" s="308">
        <f>Equipment_Database[[#This Row],[Power Rating(kW)]]/Equipment_Database[[#This Row],[Useful tool volume]]</f>
        <v>0.06</v>
      </c>
    </row>
    <row r="133" spans="2:16">
      <c r="B133" s="256" t="s">
        <v>116</v>
      </c>
      <c r="F133" s="261">
        <v>22</v>
      </c>
      <c r="H133" s="255">
        <v>1.2</v>
      </c>
      <c r="I133" s="15"/>
      <c r="J133" s="15"/>
      <c r="K133" s="15"/>
      <c r="L133" s="13">
        <f>Equipment_Database[[#This Row],[Volume(L)]]*L$1</f>
        <v>17.600000000000001</v>
      </c>
      <c r="M133" s="53" t="s">
        <v>117</v>
      </c>
      <c r="N133" s="53" t="s">
        <v>151</v>
      </c>
      <c r="O133" s="308">
        <f>Equipment_Database[[#This Row],[Power Rating(kW)]]/Equipment_Database[[#This Row],[Useful tool volume]]</f>
        <v>6.8181818181818177E-2</v>
      </c>
    </row>
    <row r="134" spans="2:16">
      <c r="B134" s="256" t="s">
        <v>116</v>
      </c>
      <c r="F134" s="261">
        <v>30</v>
      </c>
      <c r="H134" s="255">
        <v>1.6</v>
      </c>
      <c r="I134" s="15"/>
      <c r="J134" s="15"/>
      <c r="K134" s="15"/>
      <c r="L134" s="13">
        <f>Equipment_Database[[#This Row],[Volume(L)]]*L$1</f>
        <v>24</v>
      </c>
      <c r="M134" s="53" t="s">
        <v>117</v>
      </c>
      <c r="N134" s="53" t="s">
        <v>152</v>
      </c>
      <c r="O134" s="308">
        <f>Equipment_Database[[#This Row],[Power Rating(kW)]]/Equipment_Database[[#This Row],[Useful tool volume]]</f>
        <v>6.6666666666666666E-2</v>
      </c>
    </row>
    <row r="135" spans="2:16">
      <c r="B135" s="256" t="s">
        <v>4</v>
      </c>
      <c r="F135" s="261">
        <v>50</v>
      </c>
      <c r="H135" s="255">
        <v>0.33</v>
      </c>
      <c r="I135" s="15"/>
      <c r="J135" s="15"/>
      <c r="K135" s="15"/>
      <c r="L135" s="13">
        <f>Equipment_Database[[#This Row],[Volume(L)]]*0.4</f>
        <v>20</v>
      </c>
      <c r="N135" s="287" t="s">
        <v>1165</v>
      </c>
      <c r="O135" s="308">
        <f>Equipment_Database[[#This Row],[Power Rating(kW)]]/Equipment_Database[[#This Row],[Useful tool volume]]</f>
        <v>1.6500000000000001E-2</v>
      </c>
    </row>
    <row r="136" spans="2:16">
      <c r="B136" s="256" t="s">
        <v>4</v>
      </c>
      <c r="F136" s="261">
        <v>60</v>
      </c>
      <c r="H136" s="255">
        <v>2.2000000000000002</v>
      </c>
      <c r="I136" s="15"/>
      <c r="J136" s="15"/>
      <c r="K136" s="15"/>
      <c r="L136" s="13">
        <f>Equipment_Database[[#This Row],[Volume(L)]]*0.4</f>
        <v>24</v>
      </c>
      <c r="M136" t="s">
        <v>1170</v>
      </c>
      <c r="N136" s="279" t="s">
        <v>1166</v>
      </c>
      <c r="O136" s="308">
        <f>Equipment_Database[[#This Row],[Power Rating(kW)]]/Equipment_Database[[#This Row],[Useful tool volume]]</f>
        <v>9.1666666666666674E-2</v>
      </c>
    </row>
    <row r="137" spans="2:16">
      <c r="B137" s="256" t="s">
        <v>4</v>
      </c>
      <c r="F137" s="261">
        <v>115</v>
      </c>
      <c r="H137" s="255">
        <v>7.5</v>
      </c>
      <c r="I137" s="15"/>
      <c r="J137" s="15"/>
      <c r="K137" s="15"/>
      <c r="L137" s="13">
        <f>Equipment_Database[[#This Row],[Volume(L)]]*0.4</f>
        <v>46</v>
      </c>
      <c r="M137" t="s">
        <v>1170</v>
      </c>
      <c r="N137" s="279" t="s">
        <v>1167</v>
      </c>
      <c r="O137" s="308">
        <f>Equipment_Database[[#This Row],[Power Rating(kW)]]/Equipment_Database[[#This Row],[Useful tool volume]]</f>
        <v>0.16304347826086957</v>
      </c>
    </row>
    <row r="138" spans="2:16">
      <c r="B138" s="256" t="s">
        <v>4</v>
      </c>
      <c r="F138" s="261">
        <v>380</v>
      </c>
      <c r="H138" s="255">
        <v>18.5</v>
      </c>
      <c r="I138" s="15"/>
      <c r="J138" s="15"/>
      <c r="K138" s="15"/>
      <c r="L138" s="13">
        <f>Equipment_Database[[#This Row],[Volume(L)]]*0.4</f>
        <v>152</v>
      </c>
      <c r="M138" t="s">
        <v>1170</v>
      </c>
      <c r="N138" s="279" t="s">
        <v>1168</v>
      </c>
      <c r="O138" s="308">
        <f>Equipment_Database[[#This Row],[Power Rating(kW)]]/Equipment_Database[[#This Row],[Useful tool volume]]</f>
        <v>0.12171052631578948</v>
      </c>
    </row>
    <row r="139" spans="2:16">
      <c r="B139" s="256" t="s">
        <v>4</v>
      </c>
      <c r="F139" s="261">
        <v>1150</v>
      </c>
      <c r="H139" s="255">
        <v>45</v>
      </c>
      <c r="I139" s="15"/>
      <c r="J139" s="15"/>
      <c r="K139" s="15"/>
      <c r="L139" s="13">
        <f>Equipment_Database[[#This Row],[Volume(L)]]*0.4</f>
        <v>460</v>
      </c>
      <c r="M139" t="s">
        <v>1170</v>
      </c>
      <c r="N139" s="279" t="s">
        <v>1169</v>
      </c>
      <c r="O139" s="308">
        <f>Equipment_Database[[#This Row],[Power Rating(kW)]]/Equipment_Database[[#This Row],[Useful tool volume]]</f>
        <v>9.7826086956521743E-2</v>
      </c>
    </row>
    <row r="140" spans="2:16">
      <c r="B140" s="256" t="s">
        <v>116</v>
      </c>
      <c r="F140" s="261">
        <v>1.75</v>
      </c>
      <c r="H140" s="255">
        <v>5.5E-2</v>
      </c>
      <c r="I140" s="15"/>
      <c r="J140" s="15"/>
      <c r="K140" s="15"/>
      <c r="L140" s="13">
        <f>Equipment_Database[[#This Row],[Volume(L)]]*L$1</f>
        <v>1.4000000000000001</v>
      </c>
      <c r="M140" s="53" t="s">
        <v>118</v>
      </c>
      <c r="N140" s="53" t="s">
        <v>153</v>
      </c>
      <c r="O140" s="308">
        <f>Equipment_Database[[#This Row],[Power Rating(kW)]]/Equipment_Database[[#This Row],[Useful tool volume]]</f>
        <v>3.9285714285714285E-2</v>
      </c>
    </row>
    <row r="141" spans="2:16">
      <c r="B141" s="12" t="s">
        <v>40</v>
      </c>
      <c r="F141" s="261">
        <v>10</v>
      </c>
      <c r="G141" s="14">
        <v>1100</v>
      </c>
      <c r="H141" s="255">
        <v>14</v>
      </c>
      <c r="I141" s="15"/>
      <c r="J141" s="253"/>
      <c r="K141" s="253"/>
      <c r="L141" s="13">
        <f>Equipment_Database[[#This Row],[Volume(L)]]*L$1</f>
        <v>8</v>
      </c>
      <c r="N141" s="279" t="s">
        <v>1171</v>
      </c>
      <c r="O141" s="308">
        <f>Equipment_Database[[#This Row],[Power Rating(kW)]]/Equipment_Database[[#This Row],[Useful tool volume]]</f>
        <v>1.75</v>
      </c>
      <c r="P141" s="288" t="s">
        <v>1172</v>
      </c>
    </row>
    <row r="142" spans="2:16">
      <c r="B142" s="12" t="s">
        <v>40</v>
      </c>
      <c r="F142" s="261">
        <v>10</v>
      </c>
      <c r="G142" s="14">
        <v>1100</v>
      </c>
      <c r="H142" s="255">
        <v>14</v>
      </c>
      <c r="I142" s="15"/>
      <c r="J142" s="253"/>
      <c r="K142" s="253"/>
      <c r="L142" s="13">
        <f>Equipment_Database[[#This Row],[Volume(L)]]*L$1</f>
        <v>8</v>
      </c>
      <c r="N142" s="279" t="s">
        <v>1171</v>
      </c>
      <c r="O142" s="308">
        <f>Equipment_Database[[#This Row],[Power Rating(kW)]]/Equipment_Database[[#This Row],[Useful tool volume]]</f>
        <v>1.75</v>
      </c>
    </row>
    <row r="143" spans="2:16">
      <c r="B143" s="12" t="s">
        <v>40</v>
      </c>
      <c r="F143" s="261">
        <v>40</v>
      </c>
      <c r="G143" s="14">
        <v>1100</v>
      </c>
      <c r="H143" s="255">
        <v>25</v>
      </c>
      <c r="I143" s="15"/>
      <c r="J143" s="253"/>
      <c r="K143" s="253"/>
      <c r="L143" s="13">
        <f>Equipment_Database[[#This Row],[Volume(L)]]*L$1</f>
        <v>32</v>
      </c>
      <c r="N143" s="279" t="s">
        <v>1171</v>
      </c>
      <c r="O143" s="308">
        <f>Equipment_Database[[#This Row],[Power Rating(kW)]]/Equipment_Database[[#This Row],[Useful tool volume]]</f>
        <v>0.78125</v>
      </c>
    </row>
    <row r="144" spans="2:16">
      <c r="B144" s="12" t="s">
        <v>40</v>
      </c>
      <c r="F144" s="261">
        <v>75</v>
      </c>
      <c r="G144" s="14">
        <v>1100</v>
      </c>
      <c r="H144" s="255">
        <v>40</v>
      </c>
      <c r="I144" s="15"/>
      <c r="J144" s="253"/>
      <c r="K144" s="253"/>
      <c r="L144" s="13">
        <f>Equipment_Database[[#This Row],[Volume(L)]]*L$1</f>
        <v>60</v>
      </c>
      <c r="N144" s="279" t="s">
        <v>1171</v>
      </c>
      <c r="O144" s="308">
        <f>Equipment_Database[[#This Row],[Power Rating(kW)]]/Equipment_Database[[#This Row],[Useful tool volume]]</f>
        <v>0.66666666666666663</v>
      </c>
    </row>
    <row r="145" spans="2:15">
      <c r="B145" s="12" t="s">
        <v>40</v>
      </c>
      <c r="F145" s="261">
        <v>120</v>
      </c>
      <c r="G145" s="14">
        <v>1100</v>
      </c>
      <c r="H145" s="255">
        <v>60</v>
      </c>
      <c r="I145" s="15"/>
      <c r="J145" s="253"/>
      <c r="K145" s="253"/>
      <c r="L145" s="13">
        <f>Equipment_Database[[#This Row],[Volume(L)]]*L$1</f>
        <v>96</v>
      </c>
      <c r="N145" s="279" t="s">
        <v>1171</v>
      </c>
      <c r="O145" s="308">
        <f>Equipment_Database[[#This Row],[Power Rating(kW)]]/Equipment_Database[[#This Row],[Useful tool volume]]</f>
        <v>0.625</v>
      </c>
    </row>
    <row r="146" spans="2:15">
      <c r="B146" s="12" t="s">
        <v>40</v>
      </c>
      <c r="F146" s="261">
        <v>260</v>
      </c>
      <c r="G146" s="14">
        <v>1100</v>
      </c>
      <c r="H146" s="255">
        <v>70</v>
      </c>
      <c r="I146" s="15"/>
      <c r="J146" s="253"/>
      <c r="K146" s="253"/>
      <c r="L146" s="13">
        <f>Equipment_Database[[#This Row],[Volume(L)]]*L$1</f>
        <v>208</v>
      </c>
      <c r="N146" s="279" t="s">
        <v>1171</v>
      </c>
      <c r="O146" s="308">
        <f>Equipment_Database[[#This Row],[Power Rating(kW)]]/Equipment_Database[[#This Row],[Useful tool volume]]</f>
        <v>0.33653846153846156</v>
      </c>
    </row>
    <row r="147" spans="2:15">
      <c r="B147" s="12" t="s">
        <v>40</v>
      </c>
      <c r="F147" s="261">
        <v>400</v>
      </c>
      <c r="G147" s="14">
        <v>1100</v>
      </c>
      <c r="H147" s="255">
        <v>80</v>
      </c>
      <c r="I147" s="15"/>
      <c r="J147" s="253"/>
      <c r="K147" s="253"/>
      <c r="L147" s="13">
        <f>Equipment_Database[[#This Row],[Volume(L)]]*L$1</f>
        <v>320</v>
      </c>
      <c r="N147" s="279" t="s">
        <v>1171</v>
      </c>
      <c r="O147" s="308">
        <f>Equipment_Database[[#This Row],[Power Rating(kW)]]/Equipment_Database[[#This Row],[Useful tool volume]]</f>
        <v>0.25</v>
      </c>
    </row>
    <row r="148" spans="2:15">
      <c r="B148" s="12" t="s">
        <v>40</v>
      </c>
      <c r="F148" s="261">
        <v>550</v>
      </c>
      <c r="G148" s="14">
        <v>1100</v>
      </c>
      <c r="H148" s="255">
        <v>90</v>
      </c>
      <c r="I148" s="15"/>
      <c r="J148" s="253"/>
      <c r="K148" s="253"/>
      <c r="L148" s="13">
        <f>Equipment_Database[[#This Row],[Volume(L)]]*L$1</f>
        <v>440</v>
      </c>
      <c r="N148" s="279" t="s">
        <v>1171</v>
      </c>
      <c r="O148" s="308">
        <f>Equipment_Database[[#This Row],[Power Rating(kW)]]/Equipment_Database[[#This Row],[Useful tool volume]]</f>
        <v>0.20454545454545456</v>
      </c>
    </row>
    <row r="149" spans="2:15">
      <c r="B149" s="12" t="s">
        <v>40</v>
      </c>
      <c r="F149" s="261">
        <v>600</v>
      </c>
      <c r="G149" s="14">
        <v>1100</v>
      </c>
      <c r="H149" s="255">
        <v>95</v>
      </c>
      <c r="I149" s="15"/>
      <c r="J149" s="253"/>
      <c r="K149" s="253"/>
      <c r="L149" s="13">
        <f>Equipment_Database[[#This Row],[Volume(L)]]*L$1</f>
        <v>480</v>
      </c>
      <c r="N149" s="279" t="s">
        <v>1171</v>
      </c>
      <c r="O149" s="308">
        <f>Equipment_Database[[#This Row],[Power Rating(kW)]]/Equipment_Database[[#This Row],[Useful tool volume]]</f>
        <v>0.19791666666666666</v>
      </c>
    </row>
    <row r="150" spans="2:15">
      <c r="B150" s="12" t="s">
        <v>40</v>
      </c>
      <c r="F150" s="261">
        <v>850</v>
      </c>
      <c r="G150" s="14">
        <v>1100</v>
      </c>
      <c r="H150" s="255">
        <v>100</v>
      </c>
      <c r="I150" s="15"/>
      <c r="J150" s="253"/>
      <c r="K150" s="253"/>
      <c r="L150" s="13">
        <f>Equipment_Database[[#This Row],[Volume(L)]]*L$1</f>
        <v>680</v>
      </c>
      <c r="N150" s="279" t="s">
        <v>1171</v>
      </c>
      <c r="O150" s="308">
        <f>Equipment_Database[[#This Row],[Power Rating(kW)]]/Equipment_Database[[#This Row],[Useful tool volume]]</f>
        <v>0.14705882352941177</v>
      </c>
    </row>
    <row r="151" spans="2:15">
      <c r="B151" s="12" t="s">
        <v>40</v>
      </c>
      <c r="F151" s="261">
        <v>950</v>
      </c>
      <c r="G151" s="14">
        <v>1100</v>
      </c>
      <c r="H151" s="255">
        <v>110</v>
      </c>
      <c r="I151" s="15"/>
      <c r="J151" s="253"/>
      <c r="K151" s="253"/>
      <c r="L151" s="13">
        <f>Equipment_Database[[#This Row],[Volume(L)]]*L$1</f>
        <v>760</v>
      </c>
      <c r="N151" s="279" t="s">
        <v>1171</v>
      </c>
      <c r="O151" s="308">
        <f>Equipment_Database[[#This Row],[Power Rating(kW)]]/Equipment_Database[[#This Row],[Useful tool volume]]</f>
        <v>0.14473684210526316</v>
      </c>
    </row>
    <row r="152" spans="2:15">
      <c r="B152" s="12" t="s">
        <v>40</v>
      </c>
      <c r="F152" s="261">
        <v>1300</v>
      </c>
      <c r="G152" s="14">
        <v>1100</v>
      </c>
      <c r="H152" s="255">
        <v>120</v>
      </c>
      <c r="I152" s="15"/>
      <c r="J152" s="253"/>
      <c r="K152" s="253"/>
      <c r="L152" s="13">
        <f>Equipment_Database[[#This Row],[Volume(L)]]*L$1</f>
        <v>1040</v>
      </c>
      <c r="N152" s="279" t="s">
        <v>1171</v>
      </c>
      <c r="O152" s="308">
        <f>Equipment_Database[[#This Row],[Power Rating(kW)]]/Equipment_Database[[#This Row],[Useful tool volume]]</f>
        <v>0.11538461538461539</v>
      </c>
    </row>
    <row r="153" spans="2:15">
      <c r="F153" s="261"/>
      <c r="H153" s="255"/>
    </row>
  </sheetData>
  <phoneticPr fontId="21" type="noConversion"/>
  <hyperlinks>
    <hyperlink ref="P44" r:id="rId1" xr:uid="{114816A6-D3F7-FC49-B999-7ABC37C491C8}"/>
    <hyperlink ref="P52" r:id="rId2" xr:uid="{C21C37AF-CD55-AA46-8381-62BBDC353771}"/>
    <hyperlink ref="P61" r:id="rId3" xr:uid="{E6FE5F11-8063-B84E-9CB9-38BD994A98E8}"/>
    <hyperlink ref="P62" r:id="rId4" xr:uid="{9B49DF70-6A5D-2949-818A-70E0E5ED75B0}"/>
    <hyperlink ref="P63" r:id="rId5" xr:uid="{AE6CADEF-3497-A14F-A89D-62C301DFF682}"/>
    <hyperlink ref="P65" r:id="rId6" xr:uid="{EA6AE9C8-2DF4-DE4D-8602-1463543991AB}"/>
    <hyperlink ref="P66" r:id="rId7" xr:uid="{DAAF2977-3F28-4943-BD3D-3ADD41DA23C2}"/>
    <hyperlink ref="P77" r:id="rId8" xr:uid="{77DE6383-B741-314A-9066-0924505F9DBA}"/>
  </hyperlinks>
  <pageMargins left="0.7" right="0.7" top="0.75" bottom="0.75" header="0.3" footer="0.3"/>
  <pageSetup orientation="portrait" horizontalDpi="0" verticalDpi="0"/>
  <tableParts count="1">
    <tablePart r:id="rId9"/>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252459-FE31-1345-9836-BC6D43C42D90}">
  <sheetPr codeName="Sheet21">
    <tabColor theme="0" tint="-0.499984740745262"/>
  </sheetPr>
  <dimension ref="B1:S128"/>
  <sheetViews>
    <sheetView zoomScale="117" zoomScaleNormal="100" workbookViewId="0">
      <selection activeCell="F3" sqref="F3"/>
    </sheetView>
  </sheetViews>
  <sheetFormatPr baseColWidth="10" defaultColWidth="10.83203125" defaultRowHeight="16"/>
  <cols>
    <col min="1" max="1" width="10.83203125" style="12"/>
    <col min="2" max="2" width="20.5" style="12" bestFit="1" customWidth="1"/>
    <col min="3" max="3" width="19.33203125" style="12" bestFit="1" customWidth="1"/>
    <col min="4" max="4" width="19.83203125" style="12" bestFit="1" customWidth="1"/>
    <col min="5" max="5" width="62.83203125" style="12" bestFit="1" customWidth="1"/>
    <col min="6" max="6" width="22.6640625" style="13" customWidth="1"/>
    <col min="7" max="7" width="22.83203125" style="14" bestFit="1" customWidth="1"/>
    <col min="8" max="8" width="18.5" style="12" bestFit="1" customWidth="1"/>
    <col min="9" max="9" width="18.5" style="12" customWidth="1"/>
    <col min="10" max="10" width="23.5" style="12" customWidth="1"/>
    <col min="11" max="11" width="28.1640625" style="12" customWidth="1"/>
    <col min="12" max="14" width="32.33203125" customWidth="1"/>
    <col min="15" max="15" width="27.6640625" style="12" customWidth="1"/>
    <col min="16" max="16384" width="10.83203125" style="12"/>
  </cols>
  <sheetData>
    <row r="1" spans="2:19">
      <c r="C1" s="232" t="s">
        <v>762</v>
      </c>
    </row>
    <row r="2" spans="2:19">
      <c r="B2" s="12" t="s">
        <v>593</v>
      </c>
      <c r="C2" t="s">
        <v>756</v>
      </c>
      <c r="D2" s="12" t="s">
        <v>757</v>
      </c>
      <c r="E2" s="12" t="s">
        <v>955</v>
      </c>
      <c r="F2" s="13" t="s">
        <v>956</v>
      </c>
      <c r="G2" s="14" t="s">
        <v>47</v>
      </c>
      <c r="H2" s="12" t="s">
        <v>75</v>
      </c>
      <c r="I2" s="12" t="s">
        <v>945</v>
      </c>
      <c r="J2" s="12" t="s">
        <v>159</v>
      </c>
      <c r="K2" s="12" t="s">
        <v>160</v>
      </c>
      <c r="L2" t="s">
        <v>587</v>
      </c>
      <c r="M2" s="12" t="s">
        <v>67</v>
      </c>
      <c r="N2" s="12" t="s">
        <v>45</v>
      </c>
      <c r="O2" s="12" t="s">
        <v>957</v>
      </c>
      <c r="P2" s="12" t="s">
        <v>755</v>
      </c>
    </row>
    <row r="3" spans="2:19">
      <c r="B3" t="s">
        <v>40</v>
      </c>
      <c r="C3"/>
      <c r="D3"/>
      <c r="E3" t="s">
        <v>1049</v>
      </c>
      <c r="F3" t="s">
        <v>959</v>
      </c>
      <c r="G3" t="s">
        <v>1050</v>
      </c>
      <c r="H3">
        <v>1</v>
      </c>
      <c r="I3" t="s">
        <v>950</v>
      </c>
      <c r="J3"/>
      <c r="K3"/>
      <c r="O3"/>
      <c r="P3" t="s">
        <v>1048</v>
      </c>
    </row>
    <row r="4" spans="2:19">
      <c r="B4" t="s">
        <v>40</v>
      </c>
      <c r="C4"/>
      <c r="D4"/>
      <c r="E4" t="s">
        <v>1067</v>
      </c>
      <c r="F4" t="s">
        <v>993</v>
      </c>
      <c r="G4" t="s">
        <v>1072</v>
      </c>
      <c r="H4">
        <v>1</v>
      </c>
      <c r="I4" t="s">
        <v>950</v>
      </c>
      <c r="J4"/>
      <c r="K4"/>
      <c r="O4"/>
      <c r="P4" t="s">
        <v>1070</v>
      </c>
    </row>
    <row r="5" spans="2:19">
      <c r="B5" t="s">
        <v>3</v>
      </c>
      <c r="C5" s="12" t="s">
        <v>524</v>
      </c>
      <c r="F5" t="s">
        <v>959</v>
      </c>
      <c r="G5" s="14">
        <v>650</v>
      </c>
      <c r="H5" s="15"/>
      <c r="I5" s="15"/>
      <c r="J5" s="15"/>
      <c r="K5" s="15"/>
      <c r="M5" s="12"/>
      <c r="N5" s="12"/>
      <c r="O5" s="45"/>
      <c r="P5" t="s">
        <v>758</v>
      </c>
    </row>
    <row r="6" spans="2:19">
      <c r="B6" t="s">
        <v>3</v>
      </c>
      <c r="C6" s="12" t="s">
        <v>524</v>
      </c>
      <c r="F6" t="s">
        <v>959</v>
      </c>
      <c r="G6" s="14">
        <v>680</v>
      </c>
      <c r="H6" s="15"/>
      <c r="I6" s="15"/>
      <c r="J6" s="15"/>
      <c r="K6" s="15"/>
      <c r="M6" s="12"/>
      <c r="N6" s="12"/>
      <c r="O6" s="45"/>
      <c r="P6" t="s">
        <v>758</v>
      </c>
      <c r="R6" s="12" t="s">
        <v>585</v>
      </c>
      <c r="S6" s="12">
        <v>0.4</v>
      </c>
    </row>
    <row r="7" spans="2:19">
      <c r="B7" t="s">
        <v>3</v>
      </c>
      <c r="C7" s="12" t="s">
        <v>524</v>
      </c>
      <c r="F7" t="s">
        <v>959</v>
      </c>
      <c r="G7" s="14">
        <v>550</v>
      </c>
      <c r="H7" s="15"/>
      <c r="I7" s="15"/>
      <c r="J7" s="15"/>
      <c r="K7" s="15"/>
      <c r="M7" s="12"/>
      <c r="N7" s="12"/>
      <c r="O7" s="45"/>
      <c r="P7" t="s">
        <v>758</v>
      </c>
      <c r="R7" s="12" t="s">
        <v>586</v>
      </c>
    </row>
    <row r="8" spans="2:19">
      <c r="B8" t="s">
        <v>3</v>
      </c>
      <c r="C8" s="12" t="s">
        <v>524</v>
      </c>
      <c r="F8" t="s">
        <v>959</v>
      </c>
      <c r="G8" s="14">
        <v>580</v>
      </c>
      <c r="H8" s="15"/>
      <c r="I8" s="15"/>
      <c r="J8" s="15"/>
      <c r="K8" s="15"/>
      <c r="M8" s="12"/>
      <c r="N8" s="12"/>
      <c r="O8" s="45"/>
      <c r="P8" t="s">
        <v>758</v>
      </c>
    </row>
    <row r="9" spans="2:19">
      <c r="B9" t="s">
        <v>3</v>
      </c>
      <c r="C9" s="12" t="s">
        <v>524</v>
      </c>
      <c r="F9" t="s">
        <v>959</v>
      </c>
      <c r="G9" s="14">
        <v>400</v>
      </c>
      <c r="H9" s="15">
        <v>4</v>
      </c>
      <c r="I9" s="15"/>
      <c r="J9" s="15"/>
      <c r="K9" s="15"/>
      <c r="M9" s="12"/>
      <c r="N9" s="12"/>
      <c r="O9" s="45"/>
      <c r="P9" t="s">
        <v>759</v>
      </c>
    </row>
    <row r="10" spans="2:19">
      <c r="B10" t="s">
        <v>3</v>
      </c>
      <c r="C10" s="12" t="s">
        <v>524</v>
      </c>
      <c r="F10" t="s">
        <v>959</v>
      </c>
      <c r="G10" s="14">
        <v>700</v>
      </c>
      <c r="H10" s="15">
        <v>4</v>
      </c>
      <c r="I10" s="15"/>
      <c r="J10" s="15"/>
      <c r="K10" s="15"/>
      <c r="M10" s="12"/>
      <c r="N10" s="12"/>
      <c r="O10" s="45"/>
      <c r="P10" t="s">
        <v>759</v>
      </c>
    </row>
    <row r="11" spans="2:19">
      <c r="B11" t="s">
        <v>3</v>
      </c>
      <c r="C11" s="12" t="s">
        <v>524</v>
      </c>
      <c r="F11" t="s">
        <v>959</v>
      </c>
      <c r="G11" s="14">
        <v>800</v>
      </c>
      <c r="H11" s="15">
        <v>4</v>
      </c>
      <c r="I11" s="15"/>
      <c r="J11" s="15"/>
      <c r="K11" s="15"/>
      <c r="M11" s="12"/>
      <c r="N11" s="12"/>
      <c r="O11" s="45"/>
      <c r="P11" t="s">
        <v>759</v>
      </c>
    </row>
    <row r="12" spans="2:19">
      <c r="B12" t="s">
        <v>3</v>
      </c>
      <c r="C12" s="12" t="s">
        <v>524</v>
      </c>
      <c r="F12" t="s">
        <v>959</v>
      </c>
      <c r="G12" s="14">
        <v>900</v>
      </c>
      <c r="H12" s="15">
        <v>4</v>
      </c>
      <c r="I12" s="15"/>
      <c r="J12" s="15"/>
      <c r="K12" s="15"/>
      <c r="M12" s="12"/>
      <c r="N12" s="12"/>
      <c r="O12" s="45"/>
      <c r="P12" t="s">
        <v>759</v>
      </c>
    </row>
    <row r="13" spans="2:19">
      <c r="B13" t="s">
        <v>3</v>
      </c>
      <c r="F13" t="s">
        <v>959</v>
      </c>
      <c r="G13" s="14">
        <v>400</v>
      </c>
      <c r="H13" s="15">
        <v>4</v>
      </c>
      <c r="I13" s="15"/>
      <c r="J13" s="15"/>
      <c r="K13" s="15"/>
      <c r="M13" s="12"/>
      <c r="N13" s="12"/>
      <c r="O13" s="45"/>
      <c r="P13" t="s">
        <v>764</v>
      </c>
    </row>
    <row r="14" spans="2:19">
      <c r="B14" t="s">
        <v>3</v>
      </c>
      <c r="F14" t="s">
        <v>959</v>
      </c>
      <c r="G14" s="14">
        <v>500</v>
      </c>
      <c r="H14" s="15">
        <v>4</v>
      </c>
      <c r="I14" s="15"/>
      <c r="J14" s="15"/>
      <c r="K14" s="15"/>
      <c r="M14" s="12"/>
      <c r="N14" s="12"/>
      <c r="O14" s="45"/>
      <c r="P14" t="s">
        <v>764</v>
      </c>
    </row>
    <row r="15" spans="2:19">
      <c r="B15" t="s">
        <v>3</v>
      </c>
      <c r="F15" t="s">
        <v>959</v>
      </c>
      <c r="G15" s="14">
        <v>800</v>
      </c>
      <c r="H15" s="15">
        <v>4</v>
      </c>
      <c r="I15" s="15"/>
      <c r="J15" s="15"/>
      <c r="K15" s="15"/>
      <c r="M15" s="12"/>
      <c r="N15" s="12"/>
      <c r="O15" s="45"/>
      <c r="P15" t="s">
        <v>764</v>
      </c>
    </row>
    <row r="16" spans="2:19">
      <c r="B16" t="s">
        <v>3</v>
      </c>
      <c r="F16" t="s">
        <v>959</v>
      </c>
      <c r="G16" s="14">
        <v>900</v>
      </c>
      <c r="H16" s="15">
        <v>4</v>
      </c>
      <c r="I16" s="15"/>
      <c r="J16" s="15"/>
      <c r="K16" s="15"/>
      <c r="M16" s="12"/>
      <c r="N16" s="12"/>
      <c r="O16" s="45"/>
      <c r="P16" t="s">
        <v>764</v>
      </c>
    </row>
    <row r="17" spans="2:16">
      <c r="B17" t="s">
        <v>3</v>
      </c>
      <c r="C17" s="12" t="s">
        <v>503</v>
      </c>
      <c r="F17" t="s">
        <v>959</v>
      </c>
      <c r="G17" s="14">
        <v>800</v>
      </c>
      <c r="H17" s="15">
        <v>4</v>
      </c>
      <c r="I17" s="15"/>
      <c r="J17" s="15"/>
      <c r="K17" s="15"/>
      <c r="M17" s="12"/>
      <c r="N17" s="12"/>
      <c r="O17" s="45"/>
      <c r="P17" t="s">
        <v>760</v>
      </c>
    </row>
    <row r="18" spans="2:16">
      <c r="B18" t="s">
        <v>3</v>
      </c>
      <c r="C18" s="12" t="s">
        <v>503</v>
      </c>
      <c r="F18" t="s">
        <v>959</v>
      </c>
      <c r="G18" s="14">
        <v>700</v>
      </c>
      <c r="H18" s="15">
        <v>5</v>
      </c>
      <c r="I18" s="15"/>
      <c r="J18" s="15"/>
      <c r="K18" s="15"/>
      <c r="M18" s="12"/>
      <c r="N18" s="12"/>
      <c r="O18" s="45"/>
      <c r="P18" t="s">
        <v>760</v>
      </c>
    </row>
    <row r="19" spans="2:16">
      <c r="B19" t="s">
        <v>3</v>
      </c>
      <c r="C19" s="12" t="s">
        <v>509</v>
      </c>
      <c r="F19" t="s">
        <v>959</v>
      </c>
      <c r="G19" s="14">
        <v>600</v>
      </c>
      <c r="H19" s="15">
        <v>6</v>
      </c>
      <c r="I19" s="15"/>
      <c r="J19" s="15"/>
      <c r="K19" s="15"/>
      <c r="M19" s="12"/>
      <c r="N19" s="12"/>
      <c r="O19" s="45"/>
      <c r="P19" t="s">
        <v>760</v>
      </c>
    </row>
    <row r="20" spans="2:16">
      <c r="B20" t="s">
        <v>3</v>
      </c>
      <c r="C20" s="12" t="s">
        <v>761</v>
      </c>
      <c r="F20" t="s">
        <v>959</v>
      </c>
      <c r="G20" s="14">
        <v>900</v>
      </c>
      <c r="H20" s="15">
        <v>2</v>
      </c>
      <c r="I20" s="15"/>
      <c r="J20" s="15"/>
      <c r="K20" s="15"/>
      <c r="M20" s="12"/>
      <c r="N20" s="12"/>
      <c r="O20" s="45"/>
      <c r="P20" t="s">
        <v>760</v>
      </c>
    </row>
    <row r="21" spans="2:16">
      <c r="B21" t="s">
        <v>3</v>
      </c>
      <c r="C21"/>
      <c r="D21"/>
      <c r="E21" t="s">
        <v>958</v>
      </c>
      <c r="F21" t="s">
        <v>959</v>
      </c>
      <c r="G21" s="14">
        <v>400</v>
      </c>
      <c r="H21">
        <v>4</v>
      </c>
      <c r="I21" t="s">
        <v>950</v>
      </c>
      <c r="J21"/>
      <c r="K21"/>
      <c r="O21"/>
      <c r="P21" t="s">
        <v>960</v>
      </c>
    </row>
    <row r="22" spans="2:16">
      <c r="B22" t="s">
        <v>3</v>
      </c>
      <c r="C22"/>
      <c r="D22"/>
      <c r="E22" t="s">
        <v>961</v>
      </c>
      <c r="F22" t="s">
        <v>959</v>
      </c>
      <c r="G22">
        <v>600</v>
      </c>
      <c r="H22">
        <v>4</v>
      </c>
      <c r="I22" t="s">
        <v>950</v>
      </c>
      <c r="J22"/>
      <c r="K22"/>
      <c r="O22"/>
      <c r="P22" t="s">
        <v>960</v>
      </c>
    </row>
    <row r="23" spans="2:16">
      <c r="B23" t="s">
        <v>3</v>
      </c>
      <c r="C23"/>
      <c r="D23"/>
      <c r="E23" t="s">
        <v>962</v>
      </c>
      <c r="F23" t="s">
        <v>959</v>
      </c>
      <c r="G23">
        <v>700</v>
      </c>
      <c r="H23">
        <v>4</v>
      </c>
      <c r="I23" t="s">
        <v>950</v>
      </c>
      <c r="J23"/>
      <c r="K23"/>
      <c r="O23"/>
      <c r="P23" t="s">
        <v>960</v>
      </c>
    </row>
    <row r="24" spans="2:16">
      <c r="B24" t="s">
        <v>3</v>
      </c>
      <c r="C24"/>
      <c r="D24"/>
      <c r="E24" t="s">
        <v>963</v>
      </c>
      <c r="F24" t="s">
        <v>959</v>
      </c>
      <c r="G24">
        <v>800</v>
      </c>
      <c r="H24">
        <v>4</v>
      </c>
      <c r="I24" t="s">
        <v>950</v>
      </c>
      <c r="J24"/>
      <c r="K24"/>
      <c r="O24"/>
      <c r="P24" t="s">
        <v>960</v>
      </c>
    </row>
    <row r="25" spans="2:16">
      <c r="B25" t="s">
        <v>3</v>
      </c>
      <c r="C25"/>
      <c r="D25"/>
      <c r="E25" t="s">
        <v>964</v>
      </c>
      <c r="F25" t="s">
        <v>959</v>
      </c>
      <c r="G25">
        <v>900</v>
      </c>
      <c r="H25">
        <v>4</v>
      </c>
      <c r="I25" t="s">
        <v>950</v>
      </c>
      <c r="J25"/>
      <c r="K25"/>
      <c r="O25"/>
      <c r="P25" t="s">
        <v>960</v>
      </c>
    </row>
    <row r="26" spans="2:16">
      <c r="B26" t="s">
        <v>3</v>
      </c>
      <c r="C26"/>
      <c r="D26"/>
      <c r="E26" t="s">
        <v>965</v>
      </c>
      <c r="F26" t="s">
        <v>959</v>
      </c>
      <c r="G26">
        <v>900</v>
      </c>
      <c r="H26">
        <v>4</v>
      </c>
      <c r="I26" t="s">
        <v>950</v>
      </c>
      <c r="J26"/>
      <c r="K26"/>
      <c r="O26"/>
      <c r="P26" t="s">
        <v>960</v>
      </c>
    </row>
    <row r="27" spans="2:16">
      <c r="B27" t="s">
        <v>3</v>
      </c>
      <c r="C27"/>
      <c r="D27"/>
      <c r="E27" t="s">
        <v>966</v>
      </c>
      <c r="F27" t="s">
        <v>959</v>
      </c>
      <c r="G27">
        <v>900</v>
      </c>
      <c r="H27">
        <v>4</v>
      </c>
      <c r="I27" t="s">
        <v>950</v>
      </c>
      <c r="J27"/>
      <c r="K27"/>
      <c r="O27"/>
      <c r="P27" t="s">
        <v>960</v>
      </c>
    </row>
    <row r="28" spans="2:16">
      <c r="B28" t="s">
        <v>3</v>
      </c>
      <c r="C28"/>
      <c r="D28"/>
      <c r="E28" t="s">
        <v>967</v>
      </c>
      <c r="F28" t="s">
        <v>959</v>
      </c>
      <c r="G28">
        <v>900</v>
      </c>
      <c r="H28">
        <v>4</v>
      </c>
      <c r="I28" t="s">
        <v>950</v>
      </c>
      <c r="J28"/>
      <c r="K28"/>
      <c r="O28"/>
      <c r="P28" t="s">
        <v>960</v>
      </c>
    </row>
    <row r="29" spans="2:16">
      <c r="B29" t="s">
        <v>3</v>
      </c>
      <c r="C29"/>
      <c r="D29"/>
      <c r="E29" t="s">
        <v>968</v>
      </c>
      <c r="F29" t="s">
        <v>959</v>
      </c>
      <c r="G29">
        <v>900</v>
      </c>
      <c r="H29">
        <v>4</v>
      </c>
      <c r="I29" t="s">
        <v>950</v>
      </c>
      <c r="J29"/>
      <c r="K29"/>
      <c r="O29"/>
      <c r="P29" t="s">
        <v>960</v>
      </c>
    </row>
    <row r="30" spans="2:16">
      <c r="B30" t="s">
        <v>3</v>
      </c>
      <c r="C30"/>
      <c r="D30"/>
      <c r="E30" t="s">
        <v>969</v>
      </c>
      <c r="F30" t="s">
        <v>959</v>
      </c>
      <c r="G30">
        <v>700</v>
      </c>
      <c r="H30">
        <v>4</v>
      </c>
      <c r="I30" t="s">
        <v>950</v>
      </c>
      <c r="J30"/>
      <c r="K30"/>
      <c r="M30" t="s">
        <v>970</v>
      </c>
      <c r="O30"/>
      <c r="P30" t="s">
        <v>971</v>
      </c>
    </row>
    <row r="31" spans="2:16">
      <c r="B31" t="s">
        <v>3</v>
      </c>
      <c r="C31"/>
      <c r="D31"/>
      <c r="E31" t="s">
        <v>972</v>
      </c>
      <c r="F31" t="s">
        <v>959</v>
      </c>
      <c r="G31">
        <v>650</v>
      </c>
      <c r="H31">
        <v>4</v>
      </c>
      <c r="I31" t="s">
        <v>950</v>
      </c>
      <c r="J31"/>
      <c r="K31"/>
      <c r="M31" t="s">
        <v>970</v>
      </c>
      <c r="O31"/>
      <c r="P31" t="s">
        <v>971</v>
      </c>
    </row>
    <row r="32" spans="2:16">
      <c r="B32" t="s">
        <v>3</v>
      </c>
      <c r="C32"/>
      <c r="D32"/>
      <c r="E32" t="s">
        <v>972</v>
      </c>
      <c r="F32" t="s">
        <v>959</v>
      </c>
      <c r="G32">
        <v>650</v>
      </c>
      <c r="H32">
        <v>4</v>
      </c>
      <c r="I32" t="s">
        <v>950</v>
      </c>
      <c r="J32"/>
      <c r="K32"/>
      <c r="M32" t="s">
        <v>970</v>
      </c>
      <c r="O32"/>
      <c r="P32" t="s">
        <v>971</v>
      </c>
    </row>
    <row r="33" spans="2:16">
      <c r="B33" t="s">
        <v>3</v>
      </c>
      <c r="C33"/>
      <c r="D33"/>
      <c r="E33" t="s">
        <v>973</v>
      </c>
      <c r="F33" t="s">
        <v>959</v>
      </c>
      <c r="G33">
        <v>650</v>
      </c>
      <c r="H33">
        <v>4</v>
      </c>
      <c r="I33" t="s">
        <v>950</v>
      </c>
      <c r="J33"/>
      <c r="K33"/>
      <c r="O33" t="s">
        <v>974</v>
      </c>
      <c r="P33" t="s">
        <v>760</v>
      </c>
    </row>
    <row r="34" spans="2:16">
      <c r="B34" t="s">
        <v>3</v>
      </c>
      <c r="C34"/>
      <c r="D34"/>
      <c r="E34" t="s">
        <v>979</v>
      </c>
      <c r="F34" t="s">
        <v>959</v>
      </c>
      <c r="G34">
        <v>650</v>
      </c>
      <c r="H34">
        <v>4</v>
      </c>
      <c r="I34" t="s">
        <v>950</v>
      </c>
      <c r="J34"/>
      <c r="K34"/>
      <c r="O34" t="s">
        <v>980</v>
      </c>
      <c r="P34" t="s">
        <v>760</v>
      </c>
    </row>
    <row r="35" spans="2:16">
      <c r="B35" t="s">
        <v>3</v>
      </c>
      <c r="C35"/>
      <c r="D35"/>
      <c r="E35" t="s">
        <v>981</v>
      </c>
      <c r="F35" t="s">
        <v>959</v>
      </c>
      <c r="G35">
        <v>650</v>
      </c>
      <c r="H35">
        <v>4</v>
      </c>
      <c r="I35" t="s">
        <v>950</v>
      </c>
      <c r="J35"/>
      <c r="K35"/>
      <c r="O35" t="s">
        <v>982</v>
      </c>
      <c r="P35" t="s">
        <v>760</v>
      </c>
    </row>
    <row r="36" spans="2:16">
      <c r="B36" t="s">
        <v>3</v>
      </c>
      <c r="C36"/>
      <c r="D36"/>
      <c r="E36" t="s">
        <v>983</v>
      </c>
      <c r="F36" t="s">
        <v>959</v>
      </c>
      <c r="G36">
        <v>400</v>
      </c>
      <c r="H36">
        <v>4</v>
      </c>
      <c r="I36" t="s">
        <v>950</v>
      </c>
      <c r="J36"/>
      <c r="K36"/>
      <c r="O36" t="s">
        <v>984</v>
      </c>
      <c r="P36" t="s">
        <v>985</v>
      </c>
    </row>
    <row r="37" spans="2:16">
      <c r="B37" t="s">
        <v>3</v>
      </c>
      <c r="C37"/>
      <c r="D37"/>
      <c r="E37" t="s">
        <v>988</v>
      </c>
      <c r="F37" t="s">
        <v>959</v>
      </c>
      <c r="G37">
        <v>600</v>
      </c>
      <c r="H37">
        <v>4</v>
      </c>
      <c r="I37" t="s">
        <v>950</v>
      </c>
      <c r="J37"/>
      <c r="K37"/>
      <c r="O37" t="s">
        <v>984</v>
      </c>
      <c r="P37" t="s">
        <v>985</v>
      </c>
    </row>
    <row r="38" spans="2:16">
      <c r="B38" t="s">
        <v>3</v>
      </c>
      <c r="C38"/>
      <c r="D38"/>
      <c r="E38" t="s">
        <v>989</v>
      </c>
      <c r="F38" t="s">
        <v>959</v>
      </c>
      <c r="G38">
        <v>700</v>
      </c>
      <c r="H38">
        <v>4</v>
      </c>
      <c r="I38" t="s">
        <v>950</v>
      </c>
      <c r="J38"/>
      <c r="K38"/>
      <c r="O38" t="s">
        <v>984</v>
      </c>
      <c r="P38" t="s">
        <v>985</v>
      </c>
    </row>
    <row r="39" spans="2:16">
      <c r="B39" t="s">
        <v>3</v>
      </c>
      <c r="C39"/>
      <c r="D39"/>
      <c r="E39" t="s">
        <v>990</v>
      </c>
      <c r="F39" t="s">
        <v>959</v>
      </c>
      <c r="G39">
        <v>800</v>
      </c>
      <c r="H39">
        <v>4</v>
      </c>
      <c r="I39" t="s">
        <v>950</v>
      </c>
      <c r="J39"/>
      <c r="K39"/>
      <c r="O39" t="s">
        <v>984</v>
      </c>
      <c r="P39" t="s">
        <v>985</v>
      </c>
    </row>
    <row r="40" spans="2:16">
      <c r="B40" t="s">
        <v>3</v>
      </c>
      <c r="C40"/>
      <c r="D40"/>
      <c r="E40" t="s">
        <v>991</v>
      </c>
      <c r="F40" t="s">
        <v>959</v>
      </c>
      <c r="G40">
        <v>900</v>
      </c>
      <c r="H40">
        <v>4</v>
      </c>
      <c r="I40" t="s">
        <v>950</v>
      </c>
      <c r="J40"/>
      <c r="K40"/>
      <c r="O40" t="s">
        <v>984</v>
      </c>
      <c r="P40" t="s">
        <v>985</v>
      </c>
    </row>
    <row r="41" spans="2:16">
      <c r="B41" t="s">
        <v>3</v>
      </c>
      <c r="C41"/>
      <c r="D41"/>
      <c r="E41" t="s">
        <v>1007</v>
      </c>
      <c r="F41" t="s">
        <v>959</v>
      </c>
      <c r="G41">
        <v>900</v>
      </c>
      <c r="H41">
        <v>10</v>
      </c>
      <c r="I41"/>
      <c r="J41"/>
      <c r="K41"/>
      <c r="O41"/>
      <c r="P41" t="s">
        <v>1008</v>
      </c>
    </row>
    <row r="42" spans="2:16">
      <c r="B42" t="s">
        <v>3</v>
      </c>
      <c r="C42"/>
      <c r="D42"/>
      <c r="E42" t="s">
        <v>1009</v>
      </c>
      <c r="F42" t="s">
        <v>959</v>
      </c>
      <c r="G42">
        <v>900</v>
      </c>
      <c r="H42">
        <v>12</v>
      </c>
      <c r="I42"/>
      <c r="J42"/>
      <c r="K42"/>
      <c r="O42"/>
      <c r="P42" t="s">
        <v>1010</v>
      </c>
    </row>
    <row r="43" spans="2:16">
      <c r="B43" t="s">
        <v>3</v>
      </c>
      <c r="C43"/>
      <c r="D43"/>
      <c r="E43" t="s">
        <v>1021</v>
      </c>
      <c r="F43" t="s">
        <v>959</v>
      </c>
      <c r="G43" t="s">
        <v>1023</v>
      </c>
      <c r="H43"/>
      <c r="I43"/>
      <c r="J43"/>
      <c r="K43"/>
      <c r="O43"/>
      <c r="P43" t="s">
        <v>1022</v>
      </c>
    </row>
    <row r="44" spans="2:16">
      <c r="B44" t="s">
        <v>3</v>
      </c>
      <c r="C44"/>
      <c r="D44"/>
      <c r="E44" t="s">
        <v>1024</v>
      </c>
      <c r="F44" t="s">
        <v>959</v>
      </c>
      <c r="G44"/>
      <c r="H44"/>
      <c r="I44"/>
      <c r="J44"/>
      <c r="K44"/>
      <c r="O44"/>
      <c r="P44" t="s">
        <v>1022</v>
      </c>
    </row>
    <row r="45" spans="2:16">
      <c r="B45" t="s">
        <v>3</v>
      </c>
      <c r="C45"/>
      <c r="D45"/>
      <c r="E45" t="s">
        <v>1024</v>
      </c>
      <c r="F45" t="s">
        <v>959</v>
      </c>
      <c r="G45" t="s">
        <v>1023</v>
      </c>
      <c r="H45"/>
      <c r="I45"/>
      <c r="J45"/>
      <c r="K45"/>
      <c r="O45"/>
      <c r="P45" t="s">
        <v>1022</v>
      </c>
    </row>
    <row r="46" spans="2:16">
      <c r="B46" t="s">
        <v>3</v>
      </c>
      <c r="C46"/>
      <c r="D46"/>
      <c r="E46" t="s">
        <v>1025</v>
      </c>
      <c r="F46" t="s">
        <v>993</v>
      </c>
      <c r="G46"/>
      <c r="H46">
        <v>0</v>
      </c>
      <c r="I46"/>
      <c r="J46"/>
      <c r="K46"/>
      <c r="O46" t="s">
        <v>1028</v>
      </c>
      <c r="P46" t="s">
        <v>1026</v>
      </c>
    </row>
    <row r="47" spans="2:16">
      <c r="B47" t="s">
        <v>3</v>
      </c>
      <c r="C47"/>
      <c r="D47"/>
      <c r="E47" t="s">
        <v>1038</v>
      </c>
      <c r="F47" t="s">
        <v>993</v>
      </c>
      <c r="G47">
        <v>700</v>
      </c>
      <c r="H47">
        <v>0.16669999999999999</v>
      </c>
      <c r="I47" t="s">
        <v>950</v>
      </c>
      <c r="J47"/>
      <c r="K47"/>
      <c r="O47"/>
      <c r="P47" t="s">
        <v>1040</v>
      </c>
    </row>
    <row r="48" spans="2:16">
      <c r="B48" t="s">
        <v>3</v>
      </c>
      <c r="C48"/>
      <c r="D48"/>
      <c r="E48" t="s">
        <v>1043</v>
      </c>
      <c r="F48" t="s">
        <v>993</v>
      </c>
      <c r="G48">
        <v>700</v>
      </c>
      <c r="H48">
        <v>0.16666666999999999</v>
      </c>
      <c r="I48" t="s">
        <v>950</v>
      </c>
      <c r="J48"/>
      <c r="K48"/>
      <c r="O48"/>
      <c r="P48" t="s">
        <v>1044</v>
      </c>
    </row>
    <row r="49" spans="2:16">
      <c r="B49" t="s">
        <v>3</v>
      </c>
      <c r="C49"/>
      <c r="D49"/>
      <c r="E49" t="s">
        <v>1061</v>
      </c>
      <c r="F49" t="s">
        <v>993</v>
      </c>
      <c r="G49" t="s">
        <v>1065</v>
      </c>
      <c r="H49">
        <v>1</v>
      </c>
      <c r="I49"/>
      <c r="J49"/>
      <c r="K49"/>
      <c r="M49" t="s">
        <v>1066</v>
      </c>
      <c r="O49" t="s">
        <v>984</v>
      </c>
      <c r="P49" t="s">
        <v>1064</v>
      </c>
    </row>
    <row r="50" spans="2:16" ht="20">
      <c r="B50" t="s">
        <v>1132</v>
      </c>
      <c r="C50"/>
      <c r="D50"/>
      <c r="E50" t="s">
        <v>996</v>
      </c>
      <c r="F50" t="s">
        <v>993</v>
      </c>
      <c r="G50"/>
      <c r="H50" s="120">
        <v>1</v>
      </c>
      <c r="I50"/>
      <c r="J50"/>
      <c r="K50"/>
      <c r="M50" s="120" t="s">
        <v>1133</v>
      </c>
      <c r="O50"/>
      <c r="P50" t="s">
        <v>997</v>
      </c>
    </row>
    <row r="51" spans="2:16" ht="20">
      <c r="B51" t="s">
        <v>1132</v>
      </c>
      <c r="C51"/>
      <c r="D51"/>
      <c r="E51" t="s">
        <v>1084</v>
      </c>
      <c r="F51" t="s">
        <v>993</v>
      </c>
      <c r="G51"/>
      <c r="H51" s="120">
        <v>1</v>
      </c>
      <c r="I51"/>
      <c r="J51"/>
      <c r="K51"/>
      <c r="O51"/>
      <c r="P51" t="s">
        <v>1086</v>
      </c>
    </row>
    <row r="52" spans="2:16" ht="20">
      <c r="B52" t="s">
        <v>1132</v>
      </c>
      <c r="C52"/>
      <c r="D52"/>
      <c r="E52" t="s">
        <v>1088</v>
      </c>
      <c r="F52" t="s">
        <v>993</v>
      </c>
      <c r="G52"/>
      <c r="H52" s="120">
        <v>1</v>
      </c>
      <c r="I52"/>
      <c r="J52"/>
      <c r="K52"/>
      <c r="O52"/>
      <c r="P52" t="s">
        <v>1086</v>
      </c>
    </row>
    <row r="53" spans="2:16" ht="20">
      <c r="B53" t="s">
        <v>1132</v>
      </c>
      <c r="C53"/>
      <c r="D53"/>
      <c r="E53" t="s">
        <v>1089</v>
      </c>
      <c r="F53" t="s">
        <v>993</v>
      </c>
      <c r="G53"/>
      <c r="H53" s="120">
        <v>1</v>
      </c>
      <c r="I53"/>
      <c r="J53"/>
      <c r="K53"/>
      <c r="O53"/>
      <c r="P53" t="s">
        <v>1086</v>
      </c>
    </row>
    <row r="54" spans="2:16" ht="20">
      <c r="B54" t="s">
        <v>1132</v>
      </c>
      <c r="C54"/>
      <c r="D54"/>
      <c r="E54" t="s">
        <v>1090</v>
      </c>
      <c r="F54" t="s">
        <v>993</v>
      </c>
      <c r="G54"/>
      <c r="H54" s="120">
        <v>1</v>
      </c>
      <c r="I54"/>
      <c r="J54"/>
      <c r="K54"/>
      <c r="O54"/>
      <c r="P54" t="s">
        <v>1086</v>
      </c>
    </row>
    <row r="55" spans="2:16">
      <c r="B55" t="s">
        <v>1006</v>
      </c>
      <c r="C55"/>
      <c r="D55"/>
      <c r="E55" t="s">
        <v>999</v>
      </c>
      <c r="F55" t="s">
        <v>959</v>
      </c>
      <c r="G55">
        <v>80</v>
      </c>
      <c r="H55">
        <v>24</v>
      </c>
      <c r="I55" t="s">
        <v>950</v>
      </c>
      <c r="J55"/>
      <c r="K55"/>
      <c r="O55"/>
      <c r="P55" t="s">
        <v>1002</v>
      </c>
    </row>
    <row r="56" spans="2:16">
      <c r="B56" t="s">
        <v>38</v>
      </c>
      <c r="C56"/>
      <c r="D56"/>
      <c r="E56" t="s">
        <v>1009</v>
      </c>
      <c r="F56" t="s">
        <v>959</v>
      </c>
      <c r="G56">
        <v>100</v>
      </c>
      <c r="H56">
        <v>12</v>
      </c>
      <c r="I56"/>
      <c r="J56"/>
      <c r="K56"/>
      <c r="O56"/>
      <c r="P56" t="s">
        <v>1010</v>
      </c>
    </row>
    <row r="57" spans="2:16">
      <c r="B57" t="s">
        <v>1006</v>
      </c>
      <c r="C57"/>
      <c r="D57"/>
      <c r="E57" t="s">
        <v>1015</v>
      </c>
      <c r="F57" t="s">
        <v>993</v>
      </c>
      <c r="G57"/>
      <c r="H57"/>
      <c r="I57"/>
      <c r="J57"/>
      <c r="K57"/>
      <c r="O57" t="s">
        <v>1020</v>
      </c>
      <c r="P57" t="s">
        <v>1019</v>
      </c>
    </row>
    <row r="58" spans="2:16">
      <c r="B58" t="s">
        <v>1006</v>
      </c>
      <c r="C58"/>
      <c r="D58"/>
      <c r="E58" t="s">
        <v>1025</v>
      </c>
      <c r="F58" t="s">
        <v>993</v>
      </c>
      <c r="G58">
        <v>200</v>
      </c>
      <c r="H58"/>
      <c r="I58"/>
      <c r="J58"/>
      <c r="K58"/>
      <c r="O58"/>
      <c r="P58" t="s">
        <v>1026</v>
      </c>
    </row>
    <row r="59" spans="2:16">
      <c r="B59" t="s">
        <v>38</v>
      </c>
      <c r="C59"/>
      <c r="D59"/>
      <c r="E59" t="s">
        <v>1025</v>
      </c>
      <c r="F59" t="s">
        <v>993</v>
      </c>
      <c r="G59">
        <v>60</v>
      </c>
      <c r="H59" t="s">
        <v>977</v>
      </c>
      <c r="I59" t="s">
        <v>950</v>
      </c>
      <c r="J59"/>
      <c r="K59"/>
      <c r="O59"/>
      <c r="P59" t="s">
        <v>1026</v>
      </c>
    </row>
    <row r="60" spans="2:16">
      <c r="B60" t="s">
        <v>38</v>
      </c>
      <c r="C60"/>
      <c r="D60"/>
      <c r="E60" t="s">
        <v>1038</v>
      </c>
      <c r="F60" t="s">
        <v>993</v>
      </c>
      <c r="G60" t="s">
        <v>1042</v>
      </c>
      <c r="H60">
        <v>24</v>
      </c>
      <c r="I60" t="s">
        <v>950</v>
      </c>
      <c r="J60"/>
      <c r="K60"/>
      <c r="O60"/>
      <c r="P60" t="s">
        <v>1040</v>
      </c>
    </row>
    <row r="61" spans="2:16">
      <c r="B61" t="s">
        <v>38</v>
      </c>
      <c r="C61"/>
      <c r="D61"/>
      <c r="E61" t="s">
        <v>1043</v>
      </c>
      <c r="F61" t="s">
        <v>993</v>
      </c>
      <c r="G61" t="s">
        <v>1045</v>
      </c>
      <c r="H61">
        <v>24</v>
      </c>
      <c r="I61" t="s">
        <v>950</v>
      </c>
      <c r="J61"/>
      <c r="K61"/>
      <c r="O61"/>
      <c r="P61" t="s">
        <v>1044</v>
      </c>
    </row>
    <row r="62" spans="2:16">
      <c r="B62" t="s">
        <v>38</v>
      </c>
      <c r="C62"/>
      <c r="D62"/>
      <c r="E62" t="s">
        <v>1046</v>
      </c>
      <c r="F62" t="s">
        <v>993</v>
      </c>
      <c r="G62" t="s">
        <v>995</v>
      </c>
      <c r="H62"/>
      <c r="I62"/>
      <c r="J62"/>
      <c r="K62"/>
      <c r="O62"/>
      <c r="P62" t="s">
        <v>1048</v>
      </c>
    </row>
    <row r="63" spans="2:16">
      <c r="B63" t="s">
        <v>38</v>
      </c>
      <c r="C63"/>
      <c r="D63"/>
      <c r="E63" t="s">
        <v>1067</v>
      </c>
      <c r="F63" t="s">
        <v>993</v>
      </c>
      <c r="G63">
        <v>65</v>
      </c>
      <c r="H63"/>
      <c r="I63"/>
      <c r="J63"/>
      <c r="K63"/>
      <c r="O63" t="s">
        <v>1071</v>
      </c>
      <c r="P63" t="s">
        <v>1070</v>
      </c>
    </row>
    <row r="64" spans="2:16">
      <c r="B64" t="s">
        <v>1041</v>
      </c>
      <c r="C64"/>
      <c r="D64"/>
      <c r="E64" t="s">
        <v>1038</v>
      </c>
      <c r="F64" t="s">
        <v>993</v>
      </c>
      <c r="G64"/>
      <c r="H64">
        <v>1</v>
      </c>
      <c r="I64" t="s">
        <v>950</v>
      </c>
      <c r="J64"/>
      <c r="K64"/>
      <c r="O64"/>
      <c r="P64" t="s">
        <v>1040</v>
      </c>
    </row>
    <row r="65" spans="2:16">
      <c r="B65" t="s">
        <v>1041</v>
      </c>
      <c r="C65"/>
      <c r="D65"/>
      <c r="E65" t="s">
        <v>1043</v>
      </c>
      <c r="F65" t="s">
        <v>993</v>
      </c>
      <c r="G65"/>
      <c r="H65">
        <v>1</v>
      </c>
      <c r="I65" t="s">
        <v>950</v>
      </c>
      <c r="J65"/>
      <c r="K65"/>
      <c r="M65" t="s">
        <v>1039</v>
      </c>
      <c r="O65"/>
      <c r="P65" t="s">
        <v>1044</v>
      </c>
    </row>
    <row r="66" spans="2:16" ht="20">
      <c r="B66" t="s">
        <v>6</v>
      </c>
      <c r="C66"/>
      <c r="D66"/>
      <c r="E66" t="s">
        <v>1009</v>
      </c>
      <c r="F66" t="s">
        <v>959</v>
      </c>
      <c r="G66"/>
      <c r="H66" s="120">
        <v>1</v>
      </c>
      <c r="I66"/>
      <c r="J66"/>
      <c r="K66"/>
      <c r="O66"/>
      <c r="P66" t="s">
        <v>1010</v>
      </c>
    </row>
    <row r="67" spans="2:16" ht="20">
      <c r="B67" t="s">
        <v>6</v>
      </c>
      <c r="C67"/>
      <c r="D67"/>
      <c r="E67" t="s">
        <v>1043</v>
      </c>
      <c r="F67" t="s">
        <v>993</v>
      </c>
      <c r="G67"/>
      <c r="H67" s="120">
        <v>1</v>
      </c>
      <c r="I67"/>
      <c r="J67"/>
      <c r="K67"/>
      <c r="O67"/>
      <c r="P67" t="s">
        <v>1044</v>
      </c>
    </row>
    <row r="68" spans="2:16">
      <c r="B68" t="s">
        <v>1016</v>
      </c>
      <c r="C68"/>
      <c r="D68"/>
      <c r="E68" t="s">
        <v>992</v>
      </c>
      <c r="F68" t="s">
        <v>993</v>
      </c>
      <c r="G68">
        <v>93</v>
      </c>
      <c r="H68">
        <v>6</v>
      </c>
      <c r="I68"/>
      <c r="J68"/>
      <c r="K68"/>
      <c r="O68"/>
      <c r="P68" t="s">
        <v>994</v>
      </c>
    </row>
    <row r="69" spans="2:16">
      <c r="B69" t="s">
        <v>1016</v>
      </c>
      <c r="C69"/>
      <c r="D69"/>
      <c r="E69" t="s">
        <v>996</v>
      </c>
      <c r="F69" t="s">
        <v>993</v>
      </c>
      <c r="G69" t="s">
        <v>998</v>
      </c>
      <c r="H69">
        <v>12</v>
      </c>
      <c r="I69"/>
      <c r="J69"/>
      <c r="K69"/>
      <c r="O69"/>
      <c r="P69" t="s">
        <v>997</v>
      </c>
    </row>
    <row r="70" spans="2:16">
      <c r="B70" t="s">
        <v>1016</v>
      </c>
      <c r="C70"/>
      <c r="D70"/>
      <c r="E70" t="s">
        <v>999</v>
      </c>
      <c r="F70" t="s">
        <v>993</v>
      </c>
      <c r="G70">
        <v>50</v>
      </c>
      <c r="H70">
        <v>12</v>
      </c>
      <c r="I70" t="s">
        <v>950</v>
      </c>
      <c r="J70"/>
      <c r="K70"/>
      <c r="M70" t="s">
        <v>1000</v>
      </c>
      <c r="O70" t="s">
        <v>1001</v>
      </c>
      <c r="P70" t="s">
        <v>1002</v>
      </c>
    </row>
    <row r="71" spans="2:16">
      <c r="B71" t="s">
        <v>1016</v>
      </c>
      <c r="C71"/>
      <c r="D71"/>
      <c r="E71" t="s">
        <v>999</v>
      </c>
      <c r="F71" t="s">
        <v>993</v>
      </c>
      <c r="G71">
        <v>230</v>
      </c>
      <c r="H71">
        <v>6</v>
      </c>
      <c r="I71" t="s">
        <v>950</v>
      </c>
      <c r="J71"/>
      <c r="K71"/>
      <c r="M71" t="s">
        <v>1003</v>
      </c>
      <c r="O71"/>
      <c r="P71" t="s">
        <v>1002</v>
      </c>
    </row>
    <row r="72" spans="2:16">
      <c r="B72" t="s">
        <v>1016</v>
      </c>
      <c r="C72"/>
      <c r="D72"/>
      <c r="E72" t="s">
        <v>1007</v>
      </c>
      <c r="F72" t="s">
        <v>993</v>
      </c>
      <c r="G72">
        <v>70</v>
      </c>
      <c r="H72"/>
      <c r="I72"/>
      <c r="J72"/>
      <c r="K72"/>
      <c r="O72"/>
      <c r="P72" t="s">
        <v>1008</v>
      </c>
    </row>
    <row r="73" spans="2:16">
      <c r="B73" t="s">
        <v>1016</v>
      </c>
      <c r="C73"/>
      <c r="D73"/>
      <c r="E73" t="s">
        <v>1009</v>
      </c>
      <c r="F73" t="s">
        <v>959</v>
      </c>
      <c r="G73"/>
      <c r="H73"/>
      <c r="I73"/>
      <c r="J73"/>
      <c r="K73"/>
      <c r="O73"/>
      <c r="P73" t="s">
        <v>1010</v>
      </c>
    </row>
    <row r="74" spans="2:16">
      <c r="B74" t="s">
        <v>1016</v>
      </c>
      <c r="C74"/>
      <c r="D74"/>
      <c r="E74" t="s">
        <v>1015</v>
      </c>
      <c r="F74" t="s">
        <v>993</v>
      </c>
      <c r="G74" t="s">
        <v>1017</v>
      </c>
      <c r="H74">
        <v>20</v>
      </c>
      <c r="I74" t="s">
        <v>950</v>
      </c>
      <c r="J74"/>
      <c r="K74"/>
      <c r="M74" t="s">
        <v>1018</v>
      </c>
      <c r="O74"/>
      <c r="P74" t="s">
        <v>1019</v>
      </c>
    </row>
    <row r="75" spans="2:16">
      <c r="B75" t="s">
        <v>1016</v>
      </c>
      <c r="C75"/>
      <c r="D75"/>
      <c r="E75" t="s">
        <v>1021</v>
      </c>
      <c r="F75" t="s">
        <v>959</v>
      </c>
      <c r="G75"/>
      <c r="H75"/>
      <c r="I75"/>
      <c r="J75"/>
      <c r="K75"/>
      <c r="O75"/>
      <c r="P75" t="s">
        <v>1022</v>
      </c>
    </row>
    <row r="76" spans="2:16">
      <c r="B76" t="s">
        <v>1016</v>
      </c>
      <c r="C76"/>
      <c r="D76"/>
      <c r="E76" t="s">
        <v>1030</v>
      </c>
      <c r="F76" t="s">
        <v>993</v>
      </c>
      <c r="G76"/>
      <c r="H76">
        <v>2</v>
      </c>
      <c r="I76" t="s">
        <v>950</v>
      </c>
      <c r="J76"/>
      <c r="K76"/>
      <c r="M76" t="s">
        <v>1031</v>
      </c>
      <c r="O76" t="s">
        <v>1032</v>
      </c>
      <c r="P76" t="s">
        <v>1033</v>
      </c>
    </row>
    <row r="77" spans="2:16">
      <c r="B77" t="s">
        <v>1016</v>
      </c>
      <c r="C77"/>
      <c r="D77"/>
      <c r="E77" t="s">
        <v>1051</v>
      </c>
      <c r="F77" t="s">
        <v>993</v>
      </c>
      <c r="G77">
        <v>35</v>
      </c>
      <c r="H77">
        <v>4</v>
      </c>
      <c r="I77" t="s">
        <v>950</v>
      </c>
      <c r="J77"/>
      <c r="K77"/>
      <c r="M77" t="s">
        <v>1052</v>
      </c>
      <c r="O77"/>
      <c r="P77" t="s">
        <v>1053</v>
      </c>
    </row>
    <row r="78" spans="2:16">
      <c r="B78" t="s">
        <v>1016</v>
      </c>
      <c r="C78"/>
      <c r="D78"/>
      <c r="E78" t="s">
        <v>1060</v>
      </c>
      <c r="F78" t="s">
        <v>993</v>
      </c>
      <c r="G78">
        <v>250</v>
      </c>
      <c r="H78">
        <v>0</v>
      </c>
      <c r="I78"/>
      <c r="J78"/>
      <c r="K78"/>
      <c r="O78"/>
      <c r="P78" t="s">
        <v>1059</v>
      </c>
    </row>
    <row r="79" spans="2:16">
      <c r="B79" t="s">
        <v>1016</v>
      </c>
      <c r="C79"/>
      <c r="D79"/>
      <c r="E79" t="s">
        <v>1061</v>
      </c>
      <c r="F79" t="s">
        <v>993</v>
      </c>
      <c r="G79" t="s">
        <v>1062</v>
      </c>
      <c r="H79">
        <v>5</v>
      </c>
      <c r="I79"/>
      <c r="J79"/>
      <c r="K79"/>
      <c r="M79" t="s">
        <v>1063</v>
      </c>
      <c r="O79"/>
      <c r="P79" t="s">
        <v>1064</v>
      </c>
    </row>
    <row r="80" spans="2:16">
      <c r="B80" t="s">
        <v>1016</v>
      </c>
      <c r="C80"/>
      <c r="D80"/>
      <c r="E80" t="s">
        <v>1084</v>
      </c>
      <c r="F80" t="s">
        <v>993</v>
      </c>
      <c r="G80">
        <v>180</v>
      </c>
      <c r="H80">
        <v>8</v>
      </c>
      <c r="I80"/>
      <c r="J80"/>
      <c r="K80"/>
      <c r="O80" t="s">
        <v>1087</v>
      </c>
      <c r="P80" t="s">
        <v>1086</v>
      </c>
    </row>
    <row r="81" spans="2:16">
      <c r="B81" t="s">
        <v>1016</v>
      </c>
      <c r="C81"/>
      <c r="D81"/>
      <c r="E81" t="s">
        <v>1088</v>
      </c>
      <c r="F81" t="s">
        <v>993</v>
      </c>
      <c r="G81">
        <v>180</v>
      </c>
      <c r="H81">
        <v>8</v>
      </c>
      <c r="I81"/>
      <c r="J81"/>
      <c r="K81"/>
      <c r="O81" t="s">
        <v>1087</v>
      </c>
      <c r="P81" t="s">
        <v>1086</v>
      </c>
    </row>
    <row r="82" spans="2:16">
      <c r="B82" t="s">
        <v>1016</v>
      </c>
      <c r="C82"/>
      <c r="D82"/>
      <c r="E82" t="s">
        <v>1089</v>
      </c>
      <c r="F82" t="s">
        <v>993</v>
      </c>
      <c r="G82">
        <v>180</v>
      </c>
      <c r="H82">
        <v>8</v>
      </c>
      <c r="I82"/>
      <c r="J82"/>
      <c r="K82"/>
      <c r="O82" t="s">
        <v>1087</v>
      </c>
      <c r="P82" t="s">
        <v>1086</v>
      </c>
    </row>
    <row r="83" spans="2:16">
      <c r="B83" t="s">
        <v>1016</v>
      </c>
      <c r="C83"/>
      <c r="D83"/>
      <c r="E83" t="s">
        <v>1090</v>
      </c>
      <c r="F83" t="s">
        <v>993</v>
      </c>
      <c r="G83">
        <v>180</v>
      </c>
      <c r="H83">
        <v>8</v>
      </c>
      <c r="I83"/>
      <c r="J83"/>
      <c r="K83"/>
      <c r="O83" t="s">
        <v>1087</v>
      </c>
      <c r="P83" t="s">
        <v>1086</v>
      </c>
    </row>
    <row r="84" spans="2:16">
      <c r="B84" t="s">
        <v>5</v>
      </c>
      <c r="C84"/>
      <c r="D84"/>
      <c r="E84" t="s">
        <v>962</v>
      </c>
      <c r="F84" t="s">
        <v>959</v>
      </c>
      <c r="G84"/>
      <c r="H84">
        <v>15</v>
      </c>
      <c r="I84" t="s">
        <v>950</v>
      </c>
      <c r="J84"/>
      <c r="K84"/>
      <c r="O84"/>
      <c r="P84" t="s">
        <v>960</v>
      </c>
    </row>
    <row r="85" spans="2:16">
      <c r="B85" t="s">
        <v>5</v>
      </c>
      <c r="C85"/>
      <c r="D85"/>
      <c r="E85" t="s">
        <v>965</v>
      </c>
      <c r="F85" t="s">
        <v>959</v>
      </c>
      <c r="G85"/>
      <c r="H85">
        <v>8</v>
      </c>
      <c r="I85" t="s">
        <v>950</v>
      </c>
      <c r="J85"/>
      <c r="K85"/>
      <c r="O85"/>
      <c r="P85" t="s">
        <v>960</v>
      </c>
    </row>
    <row r="86" spans="2:16">
      <c r="B86" t="s">
        <v>5</v>
      </c>
      <c r="C86"/>
      <c r="D86"/>
      <c r="E86" t="s">
        <v>966</v>
      </c>
      <c r="F86" t="s">
        <v>959</v>
      </c>
      <c r="G86"/>
      <c r="H86">
        <v>15</v>
      </c>
      <c r="I86" t="s">
        <v>950</v>
      </c>
      <c r="J86"/>
      <c r="K86"/>
      <c r="O86"/>
      <c r="P86" t="s">
        <v>960</v>
      </c>
    </row>
    <row r="87" spans="2:16">
      <c r="B87" t="s">
        <v>5</v>
      </c>
      <c r="C87"/>
      <c r="D87"/>
      <c r="E87" t="s">
        <v>967</v>
      </c>
      <c r="F87" t="s">
        <v>959</v>
      </c>
      <c r="G87"/>
      <c r="H87">
        <v>28</v>
      </c>
      <c r="I87" t="s">
        <v>950</v>
      </c>
      <c r="J87"/>
      <c r="K87"/>
      <c r="O87"/>
      <c r="P87" t="s">
        <v>960</v>
      </c>
    </row>
    <row r="88" spans="2:16">
      <c r="B88" t="s">
        <v>5</v>
      </c>
      <c r="C88"/>
      <c r="D88"/>
      <c r="E88" t="s">
        <v>968</v>
      </c>
      <c r="F88" t="s">
        <v>959</v>
      </c>
      <c r="G88"/>
      <c r="H88">
        <v>40</v>
      </c>
      <c r="I88" t="s">
        <v>950</v>
      </c>
      <c r="J88"/>
      <c r="K88"/>
      <c r="O88"/>
      <c r="P88" t="s">
        <v>960</v>
      </c>
    </row>
    <row r="89" spans="2:16">
      <c r="B89" t="s">
        <v>5</v>
      </c>
      <c r="C89"/>
      <c r="D89"/>
      <c r="E89" t="s">
        <v>969</v>
      </c>
      <c r="F89" t="s">
        <v>959</v>
      </c>
      <c r="G89"/>
      <c r="H89">
        <v>6</v>
      </c>
      <c r="I89" t="s">
        <v>950</v>
      </c>
      <c r="J89"/>
      <c r="K89"/>
      <c r="O89"/>
      <c r="P89" t="s">
        <v>971</v>
      </c>
    </row>
    <row r="90" spans="2:16">
      <c r="B90" t="s">
        <v>5</v>
      </c>
      <c r="C90"/>
      <c r="D90"/>
      <c r="E90" t="s">
        <v>972</v>
      </c>
      <c r="F90" t="s">
        <v>959</v>
      </c>
      <c r="G90"/>
      <c r="H90">
        <v>6</v>
      </c>
      <c r="I90" t="s">
        <v>950</v>
      </c>
      <c r="J90"/>
      <c r="K90"/>
      <c r="M90" t="s">
        <v>970</v>
      </c>
      <c r="O90"/>
      <c r="P90" t="s">
        <v>971</v>
      </c>
    </row>
    <row r="91" spans="2:16">
      <c r="B91" t="s">
        <v>5</v>
      </c>
      <c r="C91"/>
      <c r="D91"/>
      <c r="E91" t="s">
        <v>973</v>
      </c>
      <c r="F91" t="s">
        <v>959</v>
      </c>
      <c r="G91"/>
      <c r="H91" t="s">
        <v>977</v>
      </c>
      <c r="I91" t="s">
        <v>950</v>
      </c>
      <c r="J91"/>
      <c r="K91"/>
      <c r="O91" t="s">
        <v>978</v>
      </c>
      <c r="P91" t="s">
        <v>760</v>
      </c>
    </row>
    <row r="92" spans="2:16">
      <c r="B92" t="s">
        <v>5</v>
      </c>
      <c r="C92"/>
      <c r="D92"/>
      <c r="E92" t="s">
        <v>979</v>
      </c>
      <c r="F92" t="s">
        <v>959</v>
      </c>
      <c r="G92"/>
      <c r="H92" t="s">
        <v>977</v>
      </c>
      <c r="I92" t="s">
        <v>950</v>
      </c>
      <c r="J92"/>
      <c r="K92"/>
      <c r="O92" t="s">
        <v>978</v>
      </c>
      <c r="P92" t="s">
        <v>760</v>
      </c>
    </row>
    <row r="93" spans="2:16">
      <c r="B93" t="s">
        <v>5</v>
      </c>
      <c r="C93"/>
      <c r="D93"/>
      <c r="E93" t="s">
        <v>981</v>
      </c>
      <c r="F93" t="s">
        <v>959</v>
      </c>
      <c r="G93"/>
      <c r="H93" t="s">
        <v>977</v>
      </c>
      <c r="I93" t="s">
        <v>950</v>
      </c>
      <c r="J93"/>
      <c r="K93"/>
      <c r="O93" t="s">
        <v>978</v>
      </c>
      <c r="P93" t="s">
        <v>760</v>
      </c>
    </row>
    <row r="94" spans="2:16">
      <c r="B94" t="s">
        <v>5</v>
      </c>
      <c r="C94"/>
      <c r="D94"/>
      <c r="E94" t="s">
        <v>983</v>
      </c>
      <c r="F94" t="s">
        <v>959</v>
      </c>
      <c r="G94"/>
      <c r="H94"/>
      <c r="I94"/>
      <c r="J94"/>
      <c r="K94"/>
      <c r="M94" t="s">
        <v>986</v>
      </c>
      <c r="O94" t="s">
        <v>987</v>
      </c>
      <c r="P94" t="s">
        <v>985</v>
      </c>
    </row>
    <row r="95" spans="2:16">
      <c r="B95" t="s">
        <v>5</v>
      </c>
      <c r="C95"/>
      <c r="D95"/>
      <c r="E95" t="s">
        <v>988</v>
      </c>
      <c r="F95" t="s">
        <v>959</v>
      </c>
      <c r="G95"/>
      <c r="H95"/>
      <c r="I95"/>
      <c r="J95"/>
      <c r="K95"/>
      <c r="M95" t="s">
        <v>986</v>
      </c>
      <c r="O95" t="s">
        <v>987</v>
      </c>
      <c r="P95" t="s">
        <v>985</v>
      </c>
    </row>
    <row r="96" spans="2:16">
      <c r="B96" t="s">
        <v>5</v>
      </c>
      <c r="C96"/>
      <c r="D96"/>
      <c r="E96" t="s">
        <v>989</v>
      </c>
      <c r="F96" t="s">
        <v>959</v>
      </c>
      <c r="G96"/>
      <c r="H96"/>
      <c r="I96"/>
      <c r="J96"/>
      <c r="K96"/>
      <c r="M96" t="s">
        <v>986</v>
      </c>
      <c r="O96" t="s">
        <v>987</v>
      </c>
      <c r="P96" t="s">
        <v>985</v>
      </c>
    </row>
    <row r="97" spans="2:16">
      <c r="B97" t="s">
        <v>5</v>
      </c>
      <c r="C97"/>
      <c r="D97"/>
      <c r="E97" t="s">
        <v>990</v>
      </c>
      <c r="F97" t="s">
        <v>959</v>
      </c>
      <c r="G97"/>
      <c r="H97"/>
      <c r="I97"/>
      <c r="J97"/>
      <c r="K97"/>
      <c r="M97" t="s">
        <v>986</v>
      </c>
      <c r="O97" t="s">
        <v>987</v>
      </c>
      <c r="P97" t="s">
        <v>985</v>
      </c>
    </row>
    <row r="98" spans="2:16">
      <c r="B98" t="s">
        <v>5</v>
      </c>
      <c r="C98"/>
      <c r="D98"/>
      <c r="E98" t="s">
        <v>991</v>
      </c>
      <c r="F98" t="s">
        <v>959</v>
      </c>
      <c r="G98"/>
      <c r="H98"/>
      <c r="I98"/>
      <c r="J98"/>
      <c r="K98"/>
      <c r="M98" t="s">
        <v>986</v>
      </c>
      <c r="O98" t="s">
        <v>987</v>
      </c>
      <c r="P98" t="s">
        <v>985</v>
      </c>
    </row>
    <row r="99" spans="2:16">
      <c r="B99" t="s">
        <v>5</v>
      </c>
      <c r="C99"/>
      <c r="D99"/>
      <c r="E99" t="s">
        <v>996</v>
      </c>
      <c r="F99" t="s">
        <v>993</v>
      </c>
      <c r="G99"/>
      <c r="H99">
        <v>1</v>
      </c>
      <c r="I99"/>
      <c r="J99"/>
      <c r="K99"/>
      <c r="O99"/>
      <c r="P99" t="s">
        <v>997</v>
      </c>
    </row>
    <row r="100" spans="2:16">
      <c r="B100" t="s">
        <v>5</v>
      </c>
      <c r="C100"/>
      <c r="D100"/>
      <c r="E100" t="s">
        <v>1025</v>
      </c>
      <c r="F100" t="s">
        <v>993</v>
      </c>
      <c r="G100"/>
      <c r="H100"/>
      <c r="I100"/>
      <c r="J100"/>
      <c r="K100"/>
      <c r="M100" t="s">
        <v>986</v>
      </c>
      <c r="O100" t="s">
        <v>1027</v>
      </c>
      <c r="P100" t="s">
        <v>1026</v>
      </c>
    </row>
    <row r="101" spans="2:16">
      <c r="B101" t="s">
        <v>5</v>
      </c>
      <c r="C101"/>
      <c r="D101"/>
      <c r="E101" t="s">
        <v>1034</v>
      </c>
      <c r="F101" t="s">
        <v>993</v>
      </c>
      <c r="G101">
        <v>25</v>
      </c>
      <c r="H101" s="248"/>
      <c r="I101"/>
      <c r="J101"/>
      <c r="K101"/>
      <c r="M101" t="s">
        <v>1035</v>
      </c>
      <c r="O101" t="s">
        <v>1036</v>
      </c>
      <c r="P101" t="s">
        <v>1037</v>
      </c>
    </row>
    <row r="102" spans="2:16">
      <c r="B102" t="s">
        <v>5</v>
      </c>
      <c r="C102"/>
      <c r="D102"/>
      <c r="E102" t="s">
        <v>1034</v>
      </c>
      <c r="F102" t="s">
        <v>993</v>
      </c>
      <c r="G102">
        <v>25</v>
      </c>
      <c r="H102" s="248"/>
      <c r="I102"/>
      <c r="J102"/>
      <c r="K102"/>
      <c r="M102" t="s">
        <v>1035</v>
      </c>
      <c r="O102" t="s">
        <v>1036</v>
      </c>
      <c r="P102" t="s">
        <v>1037</v>
      </c>
    </row>
    <row r="103" spans="2:16">
      <c r="B103" t="s">
        <v>1091</v>
      </c>
      <c r="C103"/>
      <c r="D103"/>
      <c r="E103" t="s">
        <v>1038</v>
      </c>
      <c r="F103" t="s">
        <v>993</v>
      </c>
      <c r="G103">
        <v>25</v>
      </c>
      <c r="H103">
        <v>4</v>
      </c>
      <c r="I103" t="s">
        <v>950</v>
      </c>
      <c r="J103"/>
      <c r="K103"/>
      <c r="M103" t="s">
        <v>1039</v>
      </c>
      <c r="O103"/>
      <c r="P103" t="s">
        <v>1040</v>
      </c>
    </row>
    <row r="104" spans="2:16">
      <c r="B104" t="s">
        <v>4</v>
      </c>
      <c r="C104"/>
      <c r="D104"/>
      <c r="E104" t="s">
        <v>1043</v>
      </c>
      <c r="F104" t="s">
        <v>993</v>
      </c>
      <c r="G104" t="s">
        <v>995</v>
      </c>
      <c r="H104"/>
      <c r="I104"/>
      <c r="J104"/>
      <c r="K104"/>
      <c r="M104" t="s">
        <v>1039</v>
      </c>
      <c r="O104"/>
      <c r="P104" t="s">
        <v>1044</v>
      </c>
    </row>
    <row r="105" spans="2:16">
      <c r="B105" t="s">
        <v>1091</v>
      </c>
      <c r="C105"/>
      <c r="D105"/>
      <c r="E105" t="s">
        <v>1043</v>
      </c>
      <c r="F105" t="s">
        <v>993</v>
      </c>
      <c r="G105"/>
      <c r="H105">
        <v>4</v>
      </c>
      <c r="I105" t="s">
        <v>950</v>
      </c>
      <c r="J105"/>
      <c r="K105"/>
      <c r="O105"/>
      <c r="P105" t="s">
        <v>1044</v>
      </c>
    </row>
    <row r="106" spans="2:16">
      <c r="B106" t="s">
        <v>1091</v>
      </c>
      <c r="C106"/>
      <c r="D106"/>
      <c r="E106" t="s">
        <v>1046</v>
      </c>
      <c r="F106" t="s">
        <v>993</v>
      </c>
      <c r="G106" t="s">
        <v>995</v>
      </c>
      <c r="H106"/>
      <c r="I106"/>
      <c r="J106"/>
      <c r="K106"/>
      <c r="M106" t="s">
        <v>1047</v>
      </c>
      <c r="O106"/>
      <c r="P106" t="s">
        <v>1048</v>
      </c>
    </row>
    <row r="107" spans="2:16">
      <c r="B107" t="s">
        <v>1091</v>
      </c>
      <c r="C107"/>
      <c r="D107"/>
      <c r="E107" t="s">
        <v>1057</v>
      </c>
      <c r="F107" t="s">
        <v>993</v>
      </c>
      <c r="G107">
        <v>450</v>
      </c>
      <c r="H107"/>
      <c r="I107"/>
      <c r="J107"/>
      <c r="K107"/>
      <c r="M107" t="s">
        <v>1058</v>
      </c>
      <c r="O107"/>
      <c r="P107" t="s">
        <v>1059</v>
      </c>
    </row>
    <row r="108" spans="2:16">
      <c r="B108" t="s">
        <v>975</v>
      </c>
      <c r="C108"/>
      <c r="D108"/>
      <c r="E108" t="s">
        <v>973</v>
      </c>
      <c r="F108" t="s">
        <v>959</v>
      </c>
      <c r="G108">
        <v>250</v>
      </c>
      <c r="H108">
        <v>2</v>
      </c>
      <c r="I108" t="s">
        <v>950</v>
      </c>
      <c r="J108"/>
      <c r="K108"/>
      <c r="O108" t="s">
        <v>976</v>
      </c>
      <c r="P108" t="s">
        <v>760</v>
      </c>
    </row>
    <row r="109" spans="2:16">
      <c r="B109" t="s">
        <v>975</v>
      </c>
      <c r="C109"/>
      <c r="D109"/>
      <c r="E109" t="s">
        <v>979</v>
      </c>
      <c r="F109" t="s">
        <v>959</v>
      </c>
      <c r="G109">
        <v>250</v>
      </c>
      <c r="H109">
        <v>2</v>
      </c>
      <c r="I109" t="s">
        <v>950</v>
      </c>
      <c r="J109"/>
      <c r="K109"/>
      <c r="O109" t="s">
        <v>976</v>
      </c>
      <c r="P109" t="s">
        <v>760</v>
      </c>
    </row>
    <row r="110" spans="2:16">
      <c r="B110" t="s">
        <v>975</v>
      </c>
      <c r="C110"/>
      <c r="D110"/>
      <c r="E110" t="s">
        <v>981</v>
      </c>
      <c r="F110" t="s">
        <v>959</v>
      </c>
      <c r="G110">
        <v>250</v>
      </c>
      <c r="H110">
        <v>2</v>
      </c>
      <c r="I110" t="s">
        <v>950</v>
      </c>
      <c r="J110"/>
      <c r="K110"/>
      <c r="O110" t="s">
        <v>976</v>
      </c>
      <c r="P110" t="s">
        <v>760</v>
      </c>
    </row>
    <row r="111" spans="2:16">
      <c r="B111" t="s">
        <v>1004</v>
      </c>
      <c r="C111"/>
      <c r="D111"/>
      <c r="E111" t="s">
        <v>999</v>
      </c>
      <c r="F111" t="s">
        <v>959</v>
      </c>
      <c r="G111" t="s">
        <v>1005</v>
      </c>
      <c r="H111">
        <v>2</v>
      </c>
      <c r="I111" t="s">
        <v>950</v>
      </c>
      <c r="J111"/>
      <c r="K111"/>
      <c r="O111"/>
      <c r="P111" t="s">
        <v>1002</v>
      </c>
    </row>
    <row r="112" spans="2:16">
      <c r="B112" t="s">
        <v>116</v>
      </c>
      <c r="C112"/>
      <c r="D112"/>
      <c r="E112" t="s">
        <v>1076</v>
      </c>
      <c r="F112" t="s">
        <v>993</v>
      </c>
      <c r="G112" t="s">
        <v>1077</v>
      </c>
      <c r="H112">
        <v>22</v>
      </c>
      <c r="I112"/>
      <c r="J112"/>
      <c r="K112"/>
      <c r="M112" t="s">
        <v>1078</v>
      </c>
      <c r="O112"/>
      <c r="P112" t="s">
        <v>1079</v>
      </c>
    </row>
    <row r="113" spans="2:16">
      <c r="B113" t="s">
        <v>116</v>
      </c>
      <c r="C113"/>
      <c r="D113"/>
      <c r="E113" t="s">
        <v>1080</v>
      </c>
      <c r="F113" t="s">
        <v>993</v>
      </c>
      <c r="G113"/>
      <c r="H113">
        <v>20</v>
      </c>
      <c r="I113"/>
      <c r="J113"/>
      <c r="K113"/>
      <c r="M113" t="s">
        <v>1078</v>
      </c>
      <c r="O113"/>
      <c r="P113" t="s">
        <v>1079</v>
      </c>
    </row>
    <row r="114" spans="2:16">
      <c r="B114" t="s">
        <v>116</v>
      </c>
      <c r="C114"/>
      <c r="D114"/>
      <c r="E114" t="s">
        <v>1081</v>
      </c>
      <c r="F114" t="s">
        <v>993</v>
      </c>
      <c r="G114"/>
      <c r="H114">
        <v>20</v>
      </c>
      <c r="I114"/>
      <c r="J114"/>
      <c r="K114"/>
      <c r="M114" t="s">
        <v>1078</v>
      </c>
      <c r="O114"/>
      <c r="P114" t="s">
        <v>1079</v>
      </c>
    </row>
    <row r="115" spans="2:16">
      <c r="B115" t="s">
        <v>116</v>
      </c>
      <c r="C115"/>
      <c r="D115"/>
      <c r="E115" t="s">
        <v>1082</v>
      </c>
      <c r="F115" t="s">
        <v>993</v>
      </c>
      <c r="G115"/>
      <c r="H115">
        <v>20</v>
      </c>
      <c r="I115"/>
      <c r="J115"/>
      <c r="K115"/>
      <c r="M115" t="s">
        <v>1078</v>
      </c>
      <c r="O115"/>
      <c r="P115" t="s">
        <v>1079</v>
      </c>
    </row>
    <row r="116" spans="2:16">
      <c r="B116" t="s">
        <v>1054</v>
      </c>
      <c r="C116"/>
      <c r="D116"/>
      <c r="E116" t="s">
        <v>1055</v>
      </c>
      <c r="F116" t="s">
        <v>993</v>
      </c>
      <c r="G116">
        <v>35</v>
      </c>
      <c r="H116">
        <v>0.33333332999999998</v>
      </c>
      <c r="I116" t="s">
        <v>950</v>
      </c>
      <c r="J116"/>
      <c r="K116"/>
      <c r="M116" t="s">
        <v>1056</v>
      </c>
      <c r="O116"/>
      <c r="P116" t="s">
        <v>1053</v>
      </c>
    </row>
    <row r="117" spans="2:16">
      <c r="B117" t="s">
        <v>1011</v>
      </c>
      <c r="C117"/>
      <c r="D117"/>
      <c r="E117" t="s">
        <v>1012</v>
      </c>
      <c r="F117" t="s">
        <v>993</v>
      </c>
      <c r="G117">
        <v>25</v>
      </c>
      <c r="H117">
        <v>1</v>
      </c>
      <c r="I117"/>
      <c r="J117"/>
      <c r="K117"/>
      <c r="M117" t="s">
        <v>1013</v>
      </c>
      <c r="O117"/>
      <c r="P117" t="s">
        <v>1014</v>
      </c>
    </row>
    <row r="118" spans="2:16">
      <c r="B118" t="s">
        <v>1011</v>
      </c>
      <c r="C118"/>
      <c r="D118"/>
      <c r="E118" t="s">
        <v>1012</v>
      </c>
      <c r="F118" t="s">
        <v>993</v>
      </c>
      <c r="G118">
        <v>65</v>
      </c>
      <c r="H118"/>
      <c r="I118"/>
      <c r="J118"/>
      <c r="K118"/>
      <c r="M118" t="s">
        <v>1013</v>
      </c>
      <c r="O118"/>
      <c r="P118" t="s">
        <v>1014</v>
      </c>
    </row>
    <row r="119" spans="2:16">
      <c r="B119" t="s">
        <v>1011</v>
      </c>
      <c r="C119"/>
      <c r="D119"/>
      <c r="E119" t="s">
        <v>1067</v>
      </c>
      <c r="F119" t="s">
        <v>993</v>
      </c>
      <c r="G119">
        <v>35</v>
      </c>
      <c r="H119">
        <v>2</v>
      </c>
      <c r="I119" t="s">
        <v>950</v>
      </c>
      <c r="J119"/>
      <c r="K119"/>
      <c r="M119" t="s">
        <v>1068</v>
      </c>
      <c r="O119" t="s">
        <v>1069</v>
      </c>
      <c r="P119" t="s">
        <v>1070</v>
      </c>
    </row>
    <row r="120" spans="2:16">
      <c r="B120" t="s">
        <v>1011</v>
      </c>
      <c r="C120"/>
      <c r="D120"/>
      <c r="E120" t="s">
        <v>1073</v>
      </c>
      <c r="F120" t="s">
        <v>993</v>
      </c>
      <c r="G120">
        <v>50</v>
      </c>
      <c r="H120">
        <v>2</v>
      </c>
      <c r="I120" t="s">
        <v>950</v>
      </c>
      <c r="J120"/>
      <c r="K120"/>
      <c r="O120"/>
      <c r="P120" t="s">
        <v>1070</v>
      </c>
    </row>
    <row r="121" spans="2:16">
      <c r="B121" t="s">
        <v>1011</v>
      </c>
      <c r="C121"/>
      <c r="D121"/>
      <c r="E121" t="s">
        <v>1074</v>
      </c>
      <c r="F121" t="s">
        <v>993</v>
      </c>
      <c r="G121">
        <v>65</v>
      </c>
      <c r="H121">
        <v>2</v>
      </c>
      <c r="I121" t="s">
        <v>950</v>
      </c>
      <c r="J121"/>
      <c r="K121"/>
      <c r="O121"/>
      <c r="P121" t="s">
        <v>1070</v>
      </c>
    </row>
    <row r="122" spans="2:16">
      <c r="B122" t="s">
        <v>1011</v>
      </c>
      <c r="C122"/>
      <c r="D122"/>
      <c r="E122" t="s">
        <v>1075</v>
      </c>
      <c r="F122" t="s">
        <v>993</v>
      </c>
      <c r="G122">
        <v>80</v>
      </c>
      <c r="H122">
        <v>2</v>
      </c>
      <c r="I122" t="s">
        <v>950</v>
      </c>
      <c r="J122"/>
      <c r="K122"/>
      <c r="O122"/>
      <c r="P122" t="s">
        <v>1070</v>
      </c>
    </row>
    <row r="123" spans="2:16">
      <c r="B123" t="s">
        <v>1083</v>
      </c>
      <c r="C123"/>
      <c r="D123"/>
      <c r="E123" t="s">
        <v>1084</v>
      </c>
      <c r="F123" t="s">
        <v>993</v>
      </c>
      <c r="G123"/>
      <c r="H123"/>
      <c r="I123"/>
      <c r="J123"/>
      <c r="K123"/>
      <c r="O123" t="s">
        <v>1085</v>
      </c>
      <c r="P123" t="s">
        <v>1086</v>
      </c>
    </row>
    <row r="124" spans="2:16">
      <c r="B124" t="s">
        <v>1083</v>
      </c>
      <c r="C124"/>
      <c r="D124"/>
      <c r="E124" t="s">
        <v>1088</v>
      </c>
      <c r="F124" t="s">
        <v>993</v>
      </c>
      <c r="G124"/>
      <c r="H124"/>
      <c r="I124"/>
      <c r="J124"/>
      <c r="K124"/>
      <c r="O124" t="s">
        <v>1085</v>
      </c>
      <c r="P124" t="s">
        <v>1086</v>
      </c>
    </row>
    <row r="125" spans="2:16">
      <c r="B125" t="s">
        <v>1083</v>
      </c>
      <c r="C125"/>
      <c r="D125"/>
      <c r="E125" t="s">
        <v>1089</v>
      </c>
      <c r="F125" t="s">
        <v>993</v>
      </c>
      <c r="G125"/>
      <c r="H125"/>
      <c r="I125"/>
      <c r="J125"/>
      <c r="K125"/>
      <c r="O125" t="s">
        <v>1085</v>
      </c>
      <c r="P125" t="s">
        <v>1086</v>
      </c>
    </row>
    <row r="126" spans="2:16">
      <c r="B126" t="s">
        <v>1083</v>
      </c>
      <c r="C126"/>
      <c r="D126"/>
      <c r="E126" t="s">
        <v>1090</v>
      </c>
      <c r="F126" t="s">
        <v>993</v>
      </c>
      <c r="G126"/>
      <c r="H126"/>
      <c r="I126"/>
      <c r="J126"/>
      <c r="K126"/>
      <c r="O126" t="s">
        <v>1085</v>
      </c>
      <c r="P126" t="s">
        <v>1086</v>
      </c>
    </row>
    <row r="127" spans="2:16">
      <c r="B127" t="s">
        <v>39</v>
      </c>
      <c r="C127"/>
      <c r="D127"/>
      <c r="E127" t="s">
        <v>992</v>
      </c>
      <c r="F127" t="s">
        <v>993</v>
      </c>
      <c r="G127"/>
      <c r="H127"/>
      <c r="I127"/>
      <c r="J127"/>
      <c r="K127"/>
      <c r="O127"/>
      <c r="P127" t="s">
        <v>994</v>
      </c>
    </row>
    <row r="128" spans="2:16">
      <c r="B128" t="s">
        <v>39</v>
      </c>
      <c r="C128"/>
      <c r="D128"/>
      <c r="E128" t="s">
        <v>1025</v>
      </c>
      <c r="F128" t="s">
        <v>993</v>
      </c>
      <c r="G128"/>
      <c r="H128"/>
      <c r="I128"/>
      <c r="J128"/>
      <c r="K128"/>
      <c r="O128" t="s">
        <v>1029</v>
      </c>
      <c r="P128" t="s">
        <v>1026</v>
      </c>
    </row>
  </sheetData>
  <phoneticPr fontId="21" type="noConversion"/>
  <hyperlinks>
    <hyperlink ref="C1" location="'Precursors Chemicals'!A1" display="Click here to add more" xr:uid="{1B8BF613-CE48-DC4E-A19F-6269A8CCB90A}"/>
  </hyperlinks>
  <pageMargins left="0.7" right="0.7" top="0.75" bottom="0.75" header="0.3" footer="0.3"/>
  <pageSetup orientation="portrait" horizontalDpi="0" verticalDpi="0"/>
  <tableParts count="1">
    <tablePart r:id="rId1"/>
  </tableParts>
  <extLst>
    <ext xmlns:x14="http://schemas.microsoft.com/office/spreadsheetml/2009/9/main" uri="{CCE6A557-97BC-4b89-ADB6-D9C93CAAB3DF}">
      <x14:dataValidations xmlns:xm="http://schemas.microsoft.com/office/excel/2006/main" count="1">
        <x14:dataValidation type="list" allowBlank="1" showInputMessage="1" showErrorMessage="1" xr:uid="{3BA624C6-318C-994D-99F5-1EAF7B6782F4}">
          <x14:formula1>
            <xm:f>_xlfn.ANCHORARRAY('Precursors Chemicals'!$Y$9)</xm:f>
          </x14:formula1>
          <xm:sqref>C3:C10 C12:C55</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5B7B55-88C4-C445-9FDD-029BDA899E98}">
  <sheetPr codeName="Sheet23">
    <tabColor theme="0" tint="-0.499984740745262"/>
  </sheetPr>
  <dimension ref="A1:X47"/>
  <sheetViews>
    <sheetView workbookViewId="0"/>
  </sheetViews>
  <sheetFormatPr baseColWidth="10" defaultColWidth="11.1640625" defaultRowHeight="16"/>
  <cols>
    <col min="1" max="1" width="3.83203125" customWidth="1"/>
    <col min="2" max="2" width="42" bestFit="1" customWidth="1"/>
    <col min="3" max="3" width="25" bestFit="1" customWidth="1"/>
  </cols>
  <sheetData>
    <row r="1" spans="1:24">
      <c r="A1" s="9"/>
      <c r="B1" s="9"/>
      <c r="C1" s="9"/>
      <c r="D1" s="9"/>
      <c r="E1" s="9"/>
      <c r="F1" s="9"/>
      <c r="G1" s="9"/>
      <c r="H1" s="9"/>
      <c r="I1" s="9"/>
      <c r="J1" s="9"/>
      <c r="K1" s="9"/>
      <c r="L1" s="9"/>
      <c r="M1" s="9"/>
      <c r="N1" s="9"/>
      <c r="O1" s="9"/>
    </row>
    <row r="2" spans="1:24">
      <c r="A2" s="9"/>
      <c r="B2" s="9"/>
      <c r="C2" s="9"/>
      <c r="D2" s="9"/>
      <c r="E2" s="9"/>
      <c r="F2" s="9"/>
      <c r="G2" s="9"/>
      <c r="H2" s="9"/>
      <c r="I2" s="9"/>
      <c r="J2" s="9"/>
      <c r="K2" s="9"/>
      <c r="L2" s="9"/>
      <c r="M2" s="9"/>
      <c r="N2" s="9"/>
      <c r="O2" s="9"/>
    </row>
    <row r="3" spans="1:24">
      <c r="A3" s="9"/>
      <c r="B3" s="9"/>
      <c r="C3" s="9"/>
      <c r="D3" s="9"/>
      <c r="E3" s="9"/>
      <c r="F3" s="9"/>
      <c r="G3" s="9"/>
      <c r="H3" s="9"/>
      <c r="I3" s="9"/>
      <c r="J3" s="9"/>
      <c r="K3" s="9"/>
      <c r="L3" s="9"/>
      <c r="M3" s="9"/>
      <c r="N3" s="9"/>
      <c r="O3" s="9"/>
    </row>
    <row r="4" spans="1:24">
      <c r="A4" s="9"/>
      <c r="B4" s="9"/>
      <c r="C4" s="9"/>
      <c r="D4" s="9"/>
      <c r="E4" s="9"/>
      <c r="F4" s="9"/>
      <c r="G4" s="9"/>
      <c r="H4" s="9"/>
      <c r="I4" s="9"/>
      <c r="J4" s="9"/>
      <c r="K4" s="9"/>
      <c r="L4" s="9"/>
      <c r="M4" s="9"/>
      <c r="N4" s="9"/>
      <c r="O4" s="9"/>
    </row>
    <row r="5" spans="1:24">
      <c r="A5" s="9"/>
      <c r="B5" s="9"/>
      <c r="C5" s="9"/>
      <c r="D5" s="9"/>
      <c r="E5" s="9"/>
      <c r="F5" s="9"/>
      <c r="G5" s="9"/>
      <c r="H5" s="9"/>
      <c r="I5" s="9"/>
      <c r="J5" s="9"/>
      <c r="K5" s="9"/>
      <c r="L5" s="9"/>
      <c r="M5" s="9"/>
      <c r="N5" s="9"/>
      <c r="O5" s="9"/>
    </row>
    <row r="6" spans="1:24">
      <c r="A6" s="9"/>
      <c r="B6" s="9"/>
      <c r="C6" s="9"/>
      <c r="D6" s="9"/>
      <c r="E6" s="9"/>
      <c r="F6" s="9"/>
      <c r="G6" s="9"/>
      <c r="H6" s="9"/>
      <c r="I6" s="9"/>
      <c r="J6" s="9"/>
      <c r="K6" s="9"/>
      <c r="L6" s="9"/>
      <c r="M6" s="9"/>
      <c r="N6" s="9"/>
      <c r="O6" s="9"/>
    </row>
    <row r="7" spans="1:24">
      <c r="A7" s="9"/>
      <c r="B7" s="9"/>
      <c r="C7" s="9"/>
      <c r="D7" s="9"/>
      <c r="E7" s="9"/>
      <c r="F7" s="9"/>
      <c r="G7" s="9"/>
      <c r="H7" s="9"/>
      <c r="I7" s="9"/>
      <c r="J7" s="9"/>
      <c r="K7" s="9"/>
      <c r="L7" s="9"/>
      <c r="M7" s="9"/>
      <c r="N7" s="9"/>
      <c r="O7" s="9"/>
    </row>
    <row r="8" spans="1:24">
      <c r="A8" s="9"/>
      <c r="B8" s="9"/>
      <c r="C8" s="9"/>
      <c r="D8" s="9"/>
      <c r="E8" s="9"/>
      <c r="F8" s="9"/>
      <c r="G8" s="9"/>
      <c r="H8" s="9"/>
      <c r="I8" s="9"/>
      <c r="J8" s="9"/>
      <c r="K8" s="9"/>
      <c r="L8" s="9"/>
      <c r="M8" s="9"/>
      <c r="N8" s="9"/>
      <c r="O8" s="9"/>
      <c r="P8" s="9"/>
      <c r="Q8" s="9"/>
      <c r="R8" s="9"/>
      <c r="S8" s="9"/>
      <c r="T8" s="9"/>
      <c r="U8" s="9"/>
      <c r="V8" s="9"/>
    </row>
    <row r="9" spans="1:24" ht="40">
      <c r="A9" s="9"/>
      <c r="B9" s="42" t="s">
        <v>170</v>
      </c>
      <c r="C9" s="42" t="s">
        <v>171</v>
      </c>
      <c r="D9" s="9"/>
      <c r="E9" s="9"/>
      <c r="F9" s="9"/>
      <c r="G9" s="9"/>
      <c r="H9" s="9"/>
      <c r="I9" s="9"/>
      <c r="J9" s="9"/>
      <c r="K9" s="9"/>
      <c r="L9" s="9"/>
      <c r="M9" s="9"/>
      <c r="N9" s="9"/>
      <c r="O9" s="9"/>
      <c r="P9" s="9"/>
      <c r="Q9" s="9"/>
      <c r="R9" s="9"/>
      <c r="S9" s="9"/>
      <c r="T9" s="9"/>
      <c r="U9" s="9"/>
      <c r="V9" s="9"/>
    </row>
    <row r="10" spans="1:24" ht="40">
      <c r="A10" s="9"/>
      <c r="B10" s="41" t="s">
        <v>169</v>
      </c>
      <c r="C10" s="41" t="s">
        <v>176</v>
      </c>
      <c r="D10" s="9"/>
      <c r="E10" s="9"/>
      <c r="F10" s="9"/>
      <c r="G10" s="9"/>
      <c r="H10" s="9"/>
      <c r="I10" s="9"/>
      <c r="J10" s="9"/>
      <c r="K10" s="9"/>
      <c r="L10" s="9"/>
      <c r="M10" s="9"/>
      <c r="N10" s="9"/>
      <c r="O10" s="9"/>
      <c r="P10" s="9"/>
      <c r="Q10" s="9"/>
      <c r="R10" s="9"/>
      <c r="S10" s="9"/>
      <c r="T10" s="9"/>
      <c r="U10" s="9"/>
      <c r="V10" s="9"/>
      <c r="X10" t="str" cm="1">
        <f t="array" ref="X10:X18">_xlfn.UNIQUE(Common_Solvents[Solvents])</f>
        <v>Ethylenediamine</v>
      </c>
    </row>
    <row r="11" spans="1:24" ht="40">
      <c r="A11" s="9"/>
      <c r="B11" s="41" t="s">
        <v>36</v>
      </c>
      <c r="C11" s="41" t="s">
        <v>172</v>
      </c>
      <c r="D11" s="9"/>
      <c r="E11" s="9"/>
      <c r="F11" s="9"/>
      <c r="G11" s="9"/>
      <c r="H11" s="9"/>
      <c r="I11" s="9"/>
      <c r="J11" s="9"/>
      <c r="K11" s="9"/>
      <c r="L11" s="9"/>
      <c r="M11" s="9"/>
      <c r="N11" s="9"/>
      <c r="O11" s="9"/>
      <c r="P11" s="9"/>
      <c r="Q11" s="9"/>
      <c r="R11" s="9"/>
      <c r="S11" s="9"/>
      <c r="T11" s="9"/>
      <c r="U11" s="9"/>
      <c r="V11" s="9"/>
      <c r="X11" t="str">
        <v>Ethanol</v>
      </c>
    </row>
    <row r="12" spans="1:24" ht="40">
      <c r="A12" s="9"/>
      <c r="B12" s="41" t="s">
        <v>163</v>
      </c>
      <c r="C12" s="41" t="s">
        <v>174</v>
      </c>
      <c r="D12" s="9"/>
      <c r="E12" s="9"/>
      <c r="F12" s="9"/>
      <c r="G12" s="9"/>
      <c r="H12" s="9"/>
      <c r="I12" s="9"/>
      <c r="J12" s="9"/>
      <c r="K12" s="9"/>
      <c r="L12" s="9"/>
      <c r="M12" s="9"/>
      <c r="N12" s="9"/>
      <c r="O12" s="9"/>
      <c r="P12" s="9"/>
      <c r="Q12" s="9"/>
      <c r="R12" s="9"/>
      <c r="S12" s="9"/>
      <c r="T12" s="9"/>
      <c r="U12" s="9"/>
      <c r="V12" s="9"/>
      <c r="X12" t="str">
        <v>Ethylene Glycol</v>
      </c>
    </row>
    <row r="13" spans="1:24" ht="40">
      <c r="A13" s="9"/>
      <c r="B13" s="41" t="s">
        <v>164</v>
      </c>
      <c r="C13" s="41" t="s">
        <v>172</v>
      </c>
      <c r="D13" s="9"/>
      <c r="E13" s="9"/>
      <c r="F13" s="9"/>
      <c r="G13" s="9"/>
      <c r="H13" s="9"/>
      <c r="I13" s="9"/>
      <c r="J13" s="9"/>
      <c r="K13" s="9"/>
      <c r="L13" s="9"/>
      <c r="M13" s="9"/>
      <c r="N13" s="9"/>
      <c r="O13" s="9"/>
      <c r="P13" s="9"/>
      <c r="Q13" s="9"/>
      <c r="R13" s="9"/>
      <c r="S13" s="9"/>
      <c r="T13" s="9"/>
      <c r="U13" s="9"/>
      <c r="V13" s="9"/>
      <c r="X13" t="str">
        <v>Cyclohexane</v>
      </c>
    </row>
    <row r="14" spans="1:24" ht="40">
      <c r="A14" s="9"/>
      <c r="B14" s="41" t="s">
        <v>165</v>
      </c>
      <c r="C14" s="41" t="s">
        <v>172</v>
      </c>
      <c r="D14" s="9"/>
      <c r="E14" s="9"/>
      <c r="F14" s="9"/>
      <c r="G14" s="9"/>
      <c r="H14" s="9"/>
      <c r="I14" s="9"/>
      <c r="J14" s="9"/>
      <c r="K14" s="9"/>
      <c r="L14" s="9"/>
      <c r="M14" s="9"/>
      <c r="N14" s="9"/>
      <c r="O14" s="9"/>
      <c r="P14" s="9"/>
      <c r="Q14" s="9"/>
      <c r="R14" s="9"/>
      <c r="S14" s="9"/>
      <c r="T14" s="9"/>
      <c r="U14" s="9"/>
      <c r="V14" s="9"/>
      <c r="X14" t="str">
        <v>Hexanol</v>
      </c>
    </row>
    <row r="15" spans="1:24" ht="40">
      <c r="A15" s="9"/>
      <c r="B15" s="41" t="s">
        <v>166</v>
      </c>
      <c r="C15" s="41" t="s">
        <v>173</v>
      </c>
      <c r="D15" s="9"/>
      <c r="E15" s="9"/>
      <c r="F15" s="9"/>
      <c r="G15" s="9"/>
      <c r="H15" s="9"/>
      <c r="I15" s="9"/>
      <c r="J15" s="9"/>
      <c r="K15" s="9"/>
      <c r="L15" s="9"/>
      <c r="M15" s="9"/>
      <c r="N15" s="9"/>
      <c r="O15" s="9"/>
      <c r="P15" s="9"/>
      <c r="Q15" s="9"/>
      <c r="R15" s="9"/>
      <c r="S15" s="9"/>
      <c r="T15" s="9"/>
      <c r="U15" s="9"/>
      <c r="V15" s="9"/>
      <c r="X15" t="str">
        <v>Diphenyl Ether</v>
      </c>
    </row>
    <row r="16" spans="1:24" ht="40">
      <c r="A16" s="9"/>
      <c r="B16" s="41" t="s">
        <v>167</v>
      </c>
      <c r="C16" s="41" t="s">
        <v>174</v>
      </c>
      <c r="D16" s="9"/>
      <c r="E16" s="9"/>
      <c r="F16" s="9"/>
      <c r="G16" s="9"/>
      <c r="H16" s="9"/>
      <c r="I16" s="9"/>
      <c r="J16" s="9"/>
      <c r="K16" s="9"/>
      <c r="L16" s="9"/>
      <c r="M16" s="9"/>
      <c r="N16" s="9"/>
      <c r="O16" s="9"/>
      <c r="P16" s="9"/>
      <c r="Q16" s="9"/>
      <c r="R16" s="9"/>
      <c r="S16" s="9"/>
      <c r="T16" s="9"/>
      <c r="U16" s="9"/>
      <c r="V16" s="9"/>
      <c r="X16" t="str">
        <v>Oleylamine</v>
      </c>
    </row>
    <row r="17" spans="1:24" ht="40">
      <c r="A17" s="9"/>
      <c r="B17" s="41" t="s">
        <v>168</v>
      </c>
      <c r="C17" s="41" t="s">
        <v>175</v>
      </c>
      <c r="D17" s="9"/>
      <c r="E17" s="9"/>
      <c r="F17" s="9"/>
      <c r="G17" s="9"/>
      <c r="H17" s="9"/>
      <c r="I17" s="9"/>
      <c r="J17" s="9"/>
      <c r="K17" s="9"/>
      <c r="L17" s="9"/>
      <c r="M17" s="9"/>
      <c r="N17" s="9"/>
      <c r="O17" s="9"/>
      <c r="P17" s="9"/>
      <c r="Q17" s="9"/>
      <c r="R17" s="9"/>
      <c r="S17" s="9"/>
      <c r="T17" s="9"/>
      <c r="U17" s="9"/>
      <c r="V17" s="9"/>
      <c r="X17" t="str">
        <v>1,4 Butanediol</v>
      </c>
    </row>
    <row r="18" spans="1:24" ht="40">
      <c r="A18" s="9"/>
      <c r="B18" s="41"/>
      <c r="C18" s="41"/>
      <c r="D18" s="9"/>
      <c r="E18" s="9"/>
      <c r="F18" s="9"/>
      <c r="G18" s="9"/>
      <c r="H18" s="9"/>
      <c r="I18" s="9"/>
      <c r="J18" s="9"/>
      <c r="K18" s="9"/>
      <c r="L18" s="9"/>
      <c r="M18" s="9"/>
      <c r="N18" s="9"/>
      <c r="O18" s="9"/>
      <c r="P18" s="9"/>
      <c r="Q18" s="9"/>
      <c r="R18" s="9"/>
      <c r="S18" s="9"/>
      <c r="T18" s="9"/>
      <c r="U18" s="9"/>
      <c r="V18" s="9"/>
      <c r="X18">
        <v>0</v>
      </c>
    </row>
    <row r="19" spans="1:24" ht="40">
      <c r="A19" s="9"/>
      <c r="B19" s="41"/>
      <c r="C19" s="9"/>
      <c r="D19" s="9"/>
      <c r="E19" s="9"/>
      <c r="F19" s="9"/>
      <c r="G19" s="9"/>
      <c r="H19" s="9"/>
      <c r="I19" s="9"/>
      <c r="J19" s="9"/>
      <c r="K19" s="9"/>
      <c r="L19" s="9"/>
      <c r="M19" s="9"/>
      <c r="N19" s="9"/>
      <c r="O19" s="9"/>
      <c r="P19" s="9"/>
      <c r="Q19" s="9"/>
      <c r="R19" s="9"/>
      <c r="S19" s="9"/>
      <c r="T19" s="9"/>
      <c r="U19" s="9"/>
      <c r="V19" s="9"/>
    </row>
    <row r="20" spans="1:24" ht="40">
      <c r="A20" s="9"/>
      <c r="B20" s="41" t="s">
        <v>601</v>
      </c>
      <c r="C20" s="41" t="s">
        <v>602</v>
      </c>
      <c r="D20" s="9"/>
      <c r="E20" s="9"/>
      <c r="F20" s="9"/>
      <c r="G20" s="9"/>
      <c r="H20" s="9"/>
      <c r="I20" s="9"/>
      <c r="J20" s="9"/>
      <c r="K20" s="9"/>
      <c r="L20" s="9"/>
      <c r="M20" s="9"/>
      <c r="N20" s="9"/>
      <c r="O20" s="9"/>
      <c r="P20" s="9"/>
      <c r="Q20" s="9"/>
      <c r="R20" s="9"/>
      <c r="S20" s="9"/>
      <c r="T20" s="9"/>
      <c r="U20" s="9"/>
      <c r="V20" s="9"/>
    </row>
    <row r="21" spans="1:24">
      <c r="A21" s="9"/>
      <c r="B21" s="9"/>
      <c r="C21" s="9"/>
      <c r="D21" s="9"/>
      <c r="E21" s="9"/>
      <c r="F21" s="9"/>
      <c r="G21" s="9"/>
      <c r="H21" s="9"/>
      <c r="I21" s="9"/>
      <c r="J21" s="9"/>
      <c r="K21" s="9"/>
      <c r="L21" s="9"/>
      <c r="M21" s="9"/>
      <c r="N21" s="9"/>
      <c r="O21" s="9"/>
      <c r="P21" s="9"/>
      <c r="Q21" s="9"/>
      <c r="R21" s="9"/>
      <c r="S21" s="9"/>
      <c r="T21" s="9"/>
      <c r="U21" s="9"/>
      <c r="V21" s="9"/>
    </row>
    <row r="22" spans="1:24" ht="21">
      <c r="A22" s="9"/>
      <c r="B22" s="9"/>
      <c r="C22" s="97" t="s">
        <v>604</v>
      </c>
      <c r="D22" s="9"/>
      <c r="E22" s="9" t="s">
        <v>605</v>
      </c>
      <c r="F22" s="9"/>
      <c r="G22" s="9"/>
      <c r="H22" s="9"/>
      <c r="I22" s="9"/>
      <c r="J22" s="9"/>
      <c r="K22" s="9"/>
      <c r="L22" s="9"/>
      <c r="M22" s="9"/>
      <c r="N22" s="9"/>
      <c r="O22" s="9"/>
      <c r="P22" s="9"/>
      <c r="Q22" s="9"/>
      <c r="R22" s="9"/>
      <c r="S22" s="9"/>
      <c r="T22" s="9"/>
      <c r="U22" s="9"/>
      <c r="V22" s="9"/>
    </row>
    <row r="23" spans="1:24" ht="21">
      <c r="A23" s="9"/>
      <c r="B23" s="9"/>
      <c r="C23" s="9"/>
      <c r="D23" s="9"/>
      <c r="E23" s="9"/>
      <c r="F23" s="9"/>
      <c r="G23" s="9"/>
      <c r="H23" s="9"/>
      <c r="I23" s="9"/>
      <c r="J23" s="9"/>
      <c r="K23" s="97" t="s">
        <v>606</v>
      </c>
      <c r="L23" s="9"/>
      <c r="M23" s="9"/>
      <c r="N23" s="9"/>
      <c r="O23" s="9"/>
      <c r="P23" s="9"/>
      <c r="Q23" s="9"/>
      <c r="R23" s="9"/>
      <c r="S23" s="9"/>
      <c r="T23" s="9"/>
      <c r="U23" s="9"/>
      <c r="V23" s="9"/>
    </row>
    <row r="24" spans="1:24">
      <c r="A24" s="9"/>
      <c r="B24" s="9"/>
      <c r="C24" s="9"/>
      <c r="D24" s="9"/>
      <c r="E24" s="9"/>
      <c r="F24" s="9"/>
      <c r="G24" s="9"/>
      <c r="H24" s="9"/>
      <c r="I24" s="9"/>
      <c r="J24" s="9"/>
      <c r="K24" s="9"/>
      <c r="L24" s="9"/>
      <c r="M24" s="9"/>
      <c r="N24" s="9"/>
      <c r="O24" s="9"/>
      <c r="P24" s="9"/>
      <c r="Q24" s="9"/>
      <c r="R24" s="9"/>
      <c r="S24" s="9"/>
      <c r="T24" s="9"/>
      <c r="U24" s="9"/>
      <c r="V24" s="9"/>
    </row>
    <row r="25" spans="1:24">
      <c r="A25" s="9"/>
      <c r="B25" s="9"/>
      <c r="C25" s="9"/>
      <c r="D25" s="9"/>
      <c r="E25" s="9"/>
      <c r="F25" s="9"/>
      <c r="G25" s="9"/>
      <c r="H25" s="9"/>
      <c r="I25" s="9"/>
      <c r="J25" s="9"/>
      <c r="K25" s="9"/>
      <c r="L25" s="9"/>
      <c r="M25" s="9"/>
      <c r="N25" s="9"/>
      <c r="O25" s="9"/>
      <c r="P25" s="9"/>
      <c r="Q25" s="9"/>
      <c r="R25" s="9"/>
      <c r="S25" s="9"/>
      <c r="T25" s="9"/>
      <c r="U25" s="9"/>
      <c r="V25" s="9"/>
    </row>
    <row r="26" spans="1:24">
      <c r="A26" s="9"/>
      <c r="B26" s="9"/>
      <c r="C26" s="9"/>
      <c r="D26" s="9"/>
      <c r="E26" s="9"/>
      <c r="F26" s="9"/>
      <c r="G26" s="9"/>
      <c r="H26" s="9"/>
      <c r="I26" s="9"/>
      <c r="J26" s="9"/>
      <c r="K26" s="9"/>
      <c r="L26" s="9"/>
      <c r="M26" s="9"/>
      <c r="N26" s="9"/>
      <c r="O26" s="9"/>
      <c r="P26" s="9"/>
      <c r="Q26" s="9"/>
      <c r="R26" s="9"/>
      <c r="S26" s="9"/>
      <c r="T26" s="9"/>
      <c r="U26" s="9"/>
      <c r="V26" s="9"/>
    </row>
    <row r="27" spans="1:24">
      <c r="A27" s="9"/>
      <c r="B27" s="9"/>
      <c r="C27" s="9"/>
      <c r="D27" s="9"/>
      <c r="E27" s="9"/>
      <c r="F27" s="9"/>
      <c r="G27" s="9"/>
      <c r="H27" s="9"/>
      <c r="I27" s="9"/>
      <c r="J27" s="9"/>
      <c r="K27" s="9"/>
      <c r="L27" s="9"/>
      <c r="M27" s="9"/>
      <c r="N27" s="9"/>
      <c r="O27" s="9"/>
      <c r="P27" s="9"/>
      <c r="Q27" s="9"/>
      <c r="R27" s="9"/>
      <c r="S27" s="9"/>
      <c r="T27" s="9"/>
      <c r="U27" s="9"/>
      <c r="V27" s="9"/>
    </row>
    <row r="28" spans="1:24">
      <c r="A28" s="9"/>
      <c r="B28" s="9"/>
      <c r="C28" s="9"/>
      <c r="D28" s="9"/>
      <c r="E28" s="9"/>
      <c r="F28" s="9"/>
      <c r="G28" s="9"/>
      <c r="H28" s="9"/>
      <c r="I28" s="9"/>
      <c r="J28" s="9"/>
      <c r="K28" s="9"/>
      <c r="L28" s="9"/>
      <c r="M28" s="9"/>
      <c r="N28" s="9"/>
      <c r="O28" s="9"/>
      <c r="P28" s="9"/>
      <c r="Q28" s="9"/>
      <c r="R28" s="9"/>
      <c r="S28" s="9"/>
      <c r="T28" s="9"/>
      <c r="U28" s="9"/>
      <c r="V28" s="9"/>
    </row>
    <row r="29" spans="1:24">
      <c r="A29" s="9"/>
      <c r="B29" s="9"/>
      <c r="C29" s="9"/>
      <c r="D29" s="9"/>
      <c r="E29" s="9"/>
      <c r="F29" s="9"/>
      <c r="G29" s="9"/>
      <c r="H29" s="9"/>
      <c r="I29" s="9"/>
      <c r="J29" s="9"/>
      <c r="K29" s="9"/>
      <c r="L29" s="9"/>
      <c r="M29" s="9"/>
      <c r="N29" s="9"/>
      <c r="O29" s="9"/>
      <c r="P29" s="9"/>
      <c r="Q29" s="9"/>
      <c r="R29" s="9"/>
      <c r="S29" s="9"/>
      <c r="T29" s="9"/>
      <c r="U29" s="9"/>
      <c r="V29" s="9"/>
    </row>
    <row r="30" spans="1:24">
      <c r="A30" s="9"/>
      <c r="B30" s="9"/>
      <c r="C30" s="9"/>
      <c r="D30" s="9"/>
      <c r="E30" s="9"/>
      <c r="F30" s="9"/>
      <c r="G30" s="9"/>
      <c r="H30" s="9"/>
      <c r="I30" s="9"/>
      <c r="J30" s="9"/>
      <c r="K30" s="9"/>
      <c r="L30" s="9"/>
      <c r="M30" s="9"/>
      <c r="N30" s="9"/>
      <c r="O30" s="9"/>
      <c r="P30" s="9"/>
      <c r="Q30" s="9"/>
      <c r="R30" s="9"/>
      <c r="S30" s="9"/>
      <c r="T30" s="9"/>
      <c r="U30" s="9"/>
      <c r="V30" s="9"/>
    </row>
    <row r="31" spans="1:24">
      <c r="A31" s="9"/>
      <c r="B31" s="9"/>
      <c r="C31" s="9"/>
      <c r="D31" s="9"/>
      <c r="E31" s="9"/>
      <c r="F31" s="9"/>
      <c r="G31" s="9"/>
      <c r="H31" s="9"/>
      <c r="I31" s="9"/>
      <c r="J31" s="9"/>
      <c r="K31" s="9"/>
      <c r="L31" s="9"/>
      <c r="M31" s="9"/>
      <c r="N31" s="9"/>
      <c r="O31" s="9"/>
      <c r="P31" s="9"/>
      <c r="Q31" s="9"/>
      <c r="R31" s="9"/>
      <c r="S31" s="9"/>
      <c r="T31" s="9"/>
      <c r="U31" s="9"/>
      <c r="V31" s="9"/>
    </row>
    <row r="32" spans="1:24">
      <c r="A32" s="9"/>
      <c r="B32" s="9"/>
      <c r="C32" s="9"/>
      <c r="D32" s="9"/>
      <c r="E32" s="9"/>
      <c r="F32" s="9"/>
      <c r="G32" s="9"/>
      <c r="H32" s="9"/>
      <c r="I32" s="9"/>
      <c r="J32" s="9"/>
      <c r="K32" s="9"/>
      <c r="L32" s="9"/>
      <c r="M32" s="9"/>
      <c r="N32" s="9"/>
      <c r="O32" s="9"/>
      <c r="P32" s="9"/>
      <c r="Q32" s="9"/>
      <c r="R32" s="9"/>
      <c r="S32" s="9"/>
      <c r="T32" s="9"/>
      <c r="U32" s="9"/>
      <c r="V32" s="9"/>
    </row>
    <row r="33" spans="1:22">
      <c r="A33" s="9"/>
      <c r="B33" s="9"/>
      <c r="C33" s="9"/>
      <c r="D33" s="9"/>
      <c r="E33" s="9"/>
      <c r="F33" s="9"/>
      <c r="G33" s="9"/>
      <c r="H33" s="9"/>
      <c r="I33" s="9"/>
      <c r="J33" s="9"/>
      <c r="K33" s="9"/>
      <c r="L33" s="9"/>
      <c r="M33" s="9"/>
      <c r="N33" s="9"/>
      <c r="O33" s="9"/>
      <c r="P33" s="9"/>
      <c r="Q33" s="9"/>
      <c r="R33" s="9"/>
      <c r="S33" s="9"/>
      <c r="T33" s="9"/>
      <c r="U33" s="9"/>
      <c r="V33" s="9"/>
    </row>
    <row r="34" spans="1:22">
      <c r="A34" s="9"/>
      <c r="B34" s="9"/>
      <c r="C34" s="9"/>
      <c r="D34" s="9"/>
      <c r="E34" s="9"/>
      <c r="F34" s="9"/>
      <c r="G34" s="9"/>
      <c r="H34" s="9"/>
      <c r="I34" s="9"/>
      <c r="J34" s="9"/>
      <c r="K34" s="9"/>
      <c r="L34" s="9"/>
      <c r="M34" s="9"/>
      <c r="N34" s="9"/>
      <c r="O34" s="9"/>
      <c r="P34" s="9"/>
      <c r="Q34" s="9"/>
      <c r="R34" s="9"/>
      <c r="S34" s="9"/>
      <c r="T34" s="9"/>
      <c r="U34" s="9"/>
      <c r="V34" s="9"/>
    </row>
    <row r="35" spans="1:22">
      <c r="A35" s="9"/>
      <c r="B35" s="9"/>
      <c r="C35" s="9"/>
      <c r="D35" s="9"/>
      <c r="E35" s="383"/>
      <c r="F35" s="383"/>
      <c r="G35" s="383"/>
      <c r="H35" s="383"/>
      <c r="I35" s="9"/>
      <c r="J35" s="9"/>
      <c r="K35" s="9"/>
      <c r="L35" s="9"/>
      <c r="M35" s="9"/>
      <c r="N35" s="9"/>
      <c r="O35" s="9"/>
      <c r="P35" s="9"/>
      <c r="Q35" s="9"/>
      <c r="R35" s="9"/>
      <c r="S35" s="9"/>
      <c r="T35" s="9"/>
      <c r="U35" s="9"/>
      <c r="V35" s="9"/>
    </row>
    <row r="36" spans="1:22">
      <c r="A36" s="9"/>
      <c r="B36" s="9"/>
      <c r="C36" s="9"/>
      <c r="D36" s="9"/>
      <c r="E36" s="384"/>
      <c r="F36" s="384"/>
      <c r="G36" s="384"/>
      <c r="H36" s="384"/>
      <c r="I36" s="9"/>
      <c r="J36" s="9"/>
      <c r="K36" s="9"/>
      <c r="L36" s="9"/>
      <c r="M36" s="9"/>
      <c r="N36" s="9"/>
      <c r="O36" s="9"/>
      <c r="P36" s="9"/>
      <c r="Q36" s="9"/>
      <c r="R36" s="9"/>
      <c r="S36" s="9"/>
      <c r="T36" s="9"/>
      <c r="U36" s="9"/>
      <c r="V36" s="9"/>
    </row>
    <row r="37" spans="1:22">
      <c r="A37" s="9"/>
      <c r="B37" s="9"/>
      <c r="C37" s="9"/>
      <c r="D37" s="9"/>
      <c r="E37" s="384"/>
      <c r="F37" s="384"/>
      <c r="G37" s="384"/>
      <c r="H37" s="384"/>
      <c r="I37" s="9"/>
      <c r="J37" s="9"/>
      <c r="K37" s="9"/>
      <c r="L37" s="9"/>
      <c r="M37" s="9"/>
      <c r="N37" s="9"/>
      <c r="O37" s="9"/>
      <c r="P37" s="9"/>
      <c r="Q37" s="9"/>
      <c r="R37" s="9"/>
      <c r="S37" s="9"/>
      <c r="T37" s="9"/>
      <c r="U37" s="9"/>
      <c r="V37" s="9"/>
    </row>
    <row r="38" spans="1:22">
      <c r="A38" s="9"/>
      <c r="B38" s="9"/>
      <c r="C38" s="9"/>
      <c r="D38" s="9"/>
      <c r="E38" s="384"/>
      <c r="F38" s="384"/>
      <c r="G38" s="384"/>
      <c r="H38" s="384"/>
      <c r="I38" s="9"/>
      <c r="J38" s="9"/>
      <c r="K38" s="9"/>
      <c r="L38" s="9"/>
      <c r="M38" s="9"/>
      <c r="N38" s="9"/>
      <c r="O38" s="9"/>
      <c r="P38" s="9"/>
      <c r="Q38" s="9"/>
      <c r="R38" s="9"/>
      <c r="S38" s="9"/>
      <c r="T38" s="9"/>
      <c r="U38" s="9"/>
      <c r="V38" s="9"/>
    </row>
    <row r="39" spans="1:22">
      <c r="A39" s="9"/>
      <c r="B39" s="9"/>
      <c r="C39" s="9"/>
      <c r="D39" s="9"/>
      <c r="E39" s="384"/>
      <c r="F39" s="384"/>
      <c r="G39" s="384"/>
      <c r="H39" s="384"/>
      <c r="I39" s="9"/>
      <c r="J39" s="9"/>
      <c r="K39" s="9"/>
      <c r="L39" s="9"/>
      <c r="M39" s="9"/>
      <c r="N39" s="9"/>
      <c r="O39" s="9"/>
      <c r="P39" s="9"/>
      <c r="Q39" s="9"/>
      <c r="R39" s="9"/>
      <c r="S39" s="9"/>
      <c r="T39" s="9"/>
      <c r="U39" s="9"/>
      <c r="V39" s="9"/>
    </row>
    <row r="40" spans="1:22">
      <c r="A40" s="9"/>
      <c r="B40" s="9"/>
      <c r="C40" s="9"/>
      <c r="D40" s="9"/>
      <c r="E40" s="9"/>
      <c r="F40" s="9"/>
      <c r="G40" s="9"/>
      <c r="H40" s="9"/>
      <c r="I40" s="9"/>
      <c r="J40" s="9"/>
      <c r="K40" s="9"/>
      <c r="L40" s="9"/>
      <c r="M40" s="9"/>
      <c r="N40" s="9"/>
      <c r="O40" s="9"/>
      <c r="P40" s="9"/>
      <c r="Q40" s="9"/>
      <c r="R40" s="9"/>
      <c r="S40" s="9"/>
      <c r="T40" s="9"/>
      <c r="U40" s="9"/>
      <c r="V40" s="9"/>
    </row>
    <row r="41" spans="1:22">
      <c r="A41" s="9"/>
      <c r="B41" s="9"/>
      <c r="C41" s="9"/>
      <c r="D41" s="9"/>
      <c r="E41" s="9"/>
      <c r="F41" s="9"/>
      <c r="G41" s="9"/>
      <c r="H41" s="9"/>
      <c r="I41" s="9"/>
      <c r="J41" s="9"/>
      <c r="K41" s="9"/>
      <c r="L41" s="9"/>
      <c r="M41" s="9"/>
      <c r="N41" s="9"/>
      <c r="O41" s="9"/>
      <c r="P41" s="9"/>
      <c r="Q41" s="9"/>
      <c r="R41" s="9"/>
      <c r="S41" s="9"/>
      <c r="T41" s="9"/>
      <c r="U41" s="9"/>
      <c r="V41" s="9"/>
    </row>
    <row r="42" spans="1:22">
      <c r="A42" s="9"/>
      <c r="B42" s="9"/>
      <c r="C42" s="9"/>
      <c r="D42" s="9"/>
      <c r="E42" s="9"/>
      <c r="F42" s="9"/>
      <c r="G42" s="9"/>
      <c r="H42" s="9"/>
      <c r="I42" s="9"/>
      <c r="J42" s="9"/>
      <c r="K42" s="9"/>
      <c r="L42" s="9"/>
      <c r="M42" s="9"/>
      <c r="N42" s="9"/>
      <c r="O42" s="9"/>
      <c r="P42" s="9"/>
      <c r="Q42" s="9"/>
      <c r="R42" s="9"/>
      <c r="S42" s="9"/>
      <c r="T42" s="9"/>
      <c r="U42" s="9"/>
      <c r="V42" s="9"/>
    </row>
    <row r="43" spans="1:22">
      <c r="A43" s="9"/>
      <c r="B43" s="9"/>
      <c r="C43" s="9"/>
      <c r="D43" s="9"/>
      <c r="E43" s="9"/>
      <c r="F43" s="9"/>
      <c r="G43" s="9"/>
      <c r="H43" s="9"/>
      <c r="I43" s="9"/>
      <c r="J43" s="9"/>
      <c r="K43" s="9"/>
      <c r="L43" s="9"/>
      <c r="M43" s="9"/>
      <c r="N43" s="9"/>
      <c r="O43" s="9"/>
      <c r="P43" s="9"/>
      <c r="Q43" s="9"/>
      <c r="R43" s="9"/>
      <c r="S43" s="9"/>
      <c r="T43" s="9"/>
      <c r="U43" s="9"/>
      <c r="V43" s="9"/>
    </row>
    <row r="44" spans="1:22">
      <c r="A44" s="9"/>
      <c r="B44" s="9"/>
      <c r="C44" s="9"/>
      <c r="D44" s="9"/>
      <c r="E44" s="9"/>
      <c r="F44" s="9"/>
      <c r="G44" s="9"/>
      <c r="H44" s="9"/>
      <c r="I44" s="9"/>
      <c r="J44" s="9"/>
      <c r="K44" s="9"/>
      <c r="L44" s="9"/>
      <c r="M44" s="9"/>
      <c r="N44" s="9"/>
      <c r="O44" s="9"/>
      <c r="P44" s="9"/>
      <c r="Q44" s="9"/>
      <c r="R44" s="9"/>
      <c r="S44" s="9"/>
      <c r="T44" s="9"/>
      <c r="U44" s="9"/>
      <c r="V44" s="9"/>
    </row>
    <row r="45" spans="1:22">
      <c r="A45" s="9"/>
      <c r="B45" s="9"/>
      <c r="C45" s="9"/>
      <c r="D45" s="9"/>
      <c r="E45" s="9"/>
      <c r="F45" s="9"/>
      <c r="G45" s="9"/>
      <c r="H45" s="9"/>
      <c r="I45" s="9"/>
      <c r="J45" s="9"/>
      <c r="K45" s="9"/>
      <c r="L45" s="9"/>
      <c r="M45" s="9"/>
      <c r="N45" s="9"/>
      <c r="O45" s="9"/>
      <c r="P45" s="9"/>
      <c r="Q45" s="9"/>
      <c r="R45" s="9"/>
      <c r="S45" s="9"/>
      <c r="T45" s="9"/>
      <c r="U45" s="9"/>
      <c r="V45" s="9"/>
    </row>
    <row r="46" spans="1:22">
      <c r="A46" s="9"/>
      <c r="B46" s="9"/>
      <c r="C46" s="9"/>
      <c r="D46" s="9"/>
      <c r="E46" s="9"/>
      <c r="F46" s="9"/>
      <c r="G46" s="9"/>
      <c r="H46" s="9"/>
      <c r="I46" s="9"/>
      <c r="J46" s="9"/>
      <c r="K46" s="9"/>
      <c r="L46" s="9"/>
      <c r="M46" s="9"/>
      <c r="N46" s="9"/>
      <c r="O46" s="9"/>
      <c r="P46" s="9"/>
      <c r="Q46" s="9"/>
      <c r="R46" s="9"/>
      <c r="S46" s="9"/>
      <c r="T46" s="9"/>
      <c r="U46" s="9"/>
      <c r="V46" s="9"/>
    </row>
    <row r="47" spans="1:22">
      <c r="A47" s="9"/>
      <c r="B47" s="9"/>
      <c r="C47" s="9"/>
      <c r="D47" s="9"/>
      <c r="E47" s="9"/>
      <c r="F47" s="9"/>
      <c r="G47" s="9"/>
      <c r="H47" s="9"/>
      <c r="I47" s="9"/>
      <c r="J47" s="9"/>
      <c r="K47" s="9"/>
      <c r="L47" s="9"/>
      <c r="M47" s="9"/>
      <c r="N47" s="9"/>
      <c r="O47" s="9"/>
      <c r="P47" s="9"/>
      <c r="Q47" s="9"/>
      <c r="R47" s="9"/>
      <c r="S47" s="9"/>
      <c r="T47" s="9"/>
      <c r="U47" s="9"/>
      <c r="V47" s="9"/>
    </row>
  </sheetData>
  <mergeCells count="2">
    <mergeCell ref="E35:H35"/>
    <mergeCell ref="E36:H39"/>
  </mergeCells>
  <pageMargins left="0.7" right="0.7" top="0.75" bottom="0.75" header="0.3" footer="0.3"/>
  <pageSetup orientation="portrait" horizontalDpi="0" verticalDpi="0"/>
  <drawing r:id="rId1"/>
  <tableParts count="1">
    <tablePart r:id="rId2"/>
  </tableParts>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CF0F2A-839A-5445-85FF-19E1EEA056EF}">
  <sheetPr codeName="Sheet27">
    <tabColor theme="0" tint="-0.499984740745262"/>
  </sheetPr>
  <dimension ref="A1:Y27"/>
  <sheetViews>
    <sheetView topLeftCell="B1" zoomScale="50" workbookViewId="0">
      <selection activeCell="J27" sqref="J27"/>
    </sheetView>
  </sheetViews>
  <sheetFormatPr baseColWidth="10" defaultColWidth="11.1640625" defaultRowHeight="16"/>
  <cols>
    <col min="1" max="1" width="3.83203125" customWidth="1"/>
    <col min="2" max="2" width="83.1640625" bestFit="1" customWidth="1"/>
    <col min="3" max="3" width="55.6640625" bestFit="1" customWidth="1"/>
    <col min="4" max="4" width="30" hidden="1" customWidth="1"/>
    <col min="5" max="5" width="74.6640625" customWidth="1"/>
    <col min="6" max="6" width="47.1640625" customWidth="1"/>
    <col min="7" max="7" width="59.6640625" customWidth="1"/>
    <col min="8" max="8" width="76.6640625" customWidth="1"/>
    <col min="9" max="9" width="61.6640625" customWidth="1"/>
    <col min="10" max="10" width="62" customWidth="1"/>
    <col min="11" max="11" width="67.33203125" bestFit="1" customWidth="1"/>
    <col min="12" max="12" width="91.83203125" bestFit="1" customWidth="1"/>
    <col min="13" max="13" width="56.1640625" hidden="1" customWidth="1"/>
  </cols>
  <sheetData>
    <row r="1" spans="1:25">
      <c r="A1" s="9"/>
      <c r="B1" s="9"/>
      <c r="C1" s="9"/>
      <c r="D1" s="9"/>
      <c r="E1" s="9"/>
      <c r="F1" s="9"/>
      <c r="G1" s="9"/>
      <c r="H1" s="9"/>
      <c r="I1" s="9"/>
      <c r="J1" s="9"/>
      <c r="K1" s="9"/>
      <c r="L1" s="9"/>
      <c r="M1" s="9"/>
      <c r="N1" s="9"/>
    </row>
    <row r="2" spans="1:25">
      <c r="A2" s="9"/>
      <c r="B2" s="9"/>
      <c r="C2" s="9"/>
      <c r="D2" s="9"/>
      <c r="E2" s="9"/>
      <c r="F2" s="9"/>
      <c r="G2" s="9"/>
      <c r="H2" s="9"/>
      <c r="I2" s="9"/>
      <c r="J2" s="9"/>
      <c r="K2" s="9"/>
      <c r="L2" s="9"/>
      <c r="M2" s="9"/>
      <c r="N2" s="9"/>
    </row>
    <row r="3" spans="1:25">
      <c r="A3" s="9"/>
      <c r="B3" s="9"/>
      <c r="C3" s="9"/>
      <c r="D3" s="9"/>
      <c r="E3" s="9"/>
      <c r="F3" s="9"/>
      <c r="G3" s="9"/>
      <c r="H3" s="9"/>
      <c r="I3" s="9"/>
      <c r="J3" s="9"/>
      <c r="K3" s="9"/>
      <c r="L3" s="9"/>
      <c r="M3" s="9"/>
      <c r="N3" s="9"/>
    </row>
    <row r="4" spans="1:25">
      <c r="A4" s="9"/>
      <c r="B4" s="9"/>
      <c r="C4" s="9"/>
      <c r="D4" s="9"/>
      <c r="E4" s="9"/>
      <c r="F4" s="9"/>
      <c r="G4" s="9"/>
      <c r="H4" s="9"/>
      <c r="I4" s="9"/>
      <c r="J4" s="9"/>
      <c r="K4" s="9"/>
      <c r="L4" s="9"/>
      <c r="M4" s="9"/>
      <c r="N4" s="9"/>
    </row>
    <row r="5" spans="1:25">
      <c r="A5" s="9"/>
      <c r="B5" s="9"/>
      <c r="C5" s="9"/>
      <c r="D5" s="9"/>
      <c r="E5" s="9"/>
      <c r="F5" s="9"/>
      <c r="G5" s="9"/>
      <c r="H5" s="9"/>
      <c r="I5" s="9"/>
      <c r="J5" s="9"/>
      <c r="K5" s="9"/>
      <c r="L5" s="9"/>
      <c r="M5" s="9"/>
      <c r="N5" s="9"/>
    </row>
    <row r="6" spans="1:25">
      <c r="A6" s="9"/>
      <c r="B6" s="9"/>
      <c r="C6" s="9"/>
      <c r="D6" s="9"/>
      <c r="E6" s="9"/>
      <c r="F6" s="9"/>
      <c r="G6" s="9"/>
      <c r="H6" s="9"/>
      <c r="I6" s="9"/>
      <c r="J6" s="9"/>
      <c r="K6" s="9"/>
      <c r="L6" s="9"/>
      <c r="M6" s="9"/>
      <c r="N6" s="9"/>
    </row>
    <row r="7" spans="1:25">
      <c r="A7" s="9"/>
      <c r="B7" s="9"/>
      <c r="C7" s="9"/>
      <c r="D7" s="9"/>
      <c r="E7" s="9"/>
      <c r="F7" s="9"/>
      <c r="G7" s="9"/>
      <c r="H7" s="9"/>
      <c r="I7" s="9"/>
      <c r="J7" s="9"/>
      <c r="K7" s="9"/>
      <c r="L7" s="9"/>
      <c r="M7" s="9"/>
      <c r="N7" s="9"/>
    </row>
    <row r="8" spans="1:25">
      <c r="A8" s="9"/>
      <c r="B8" s="9"/>
      <c r="C8" s="9"/>
      <c r="D8" s="9"/>
      <c r="E8" s="9"/>
      <c r="F8" s="9"/>
      <c r="G8" s="9"/>
      <c r="H8" s="9"/>
      <c r="I8" s="9"/>
      <c r="J8" s="9"/>
      <c r="K8" s="9"/>
      <c r="L8" s="9"/>
      <c r="M8" s="9"/>
      <c r="N8" s="9"/>
      <c r="O8" s="9"/>
      <c r="P8" s="9"/>
      <c r="Q8" s="9"/>
      <c r="R8" s="9"/>
      <c r="S8" s="9"/>
      <c r="T8" s="9"/>
      <c r="U8" s="9"/>
    </row>
    <row r="9" spans="1:25" ht="40">
      <c r="B9" s="42" t="s">
        <v>502</v>
      </c>
      <c r="C9" s="42" t="s">
        <v>536</v>
      </c>
      <c r="D9" s="42" t="s">
        <v>9</v>
      </c>
      <c r="E9" s="42" t="s">
        <v>527</v>
      </c>
      <c r="F9" s="42" t="s">
        <v>545</v>
      </c>
      <c r="G9" s="42" t="s">
        <v>179</v>
      </c>
      <c r="H9" s="42" t="s">
        <v>533</v>
      </c>
      <c r="I9" s="42" t="s">
        <v>538</v>
      </c>
      <c r="J9" s="42" t="s">
        <v>534</v>
      </c>
      <c r="K9" s="42" t="s">
        <v>535</v>
      </c>
      <c r="L9" s="42" t="s">
        <v>530</v>
      </c>
      <c r="M9" s="42" t="s">
        <v>531</v>
      </c>
      <c r="N9" s="42"/>
      <c r="Y9" t="str" cm="1">
        <f t="array" ref="Y9:Y26">_xlfn.UNIQUE(Cerium_precursor_table[Name])</f>
        <v>Cerium(III) nitrate hexahydrate</v>
      </c>
    </row>
    <row r="10" spans="1:25" ht="40">
      <c r="B10" s="93" t="s">
        <v>503</v>
      </c>
      <c r="C10" s="93" t="s">
        <v>504</v>
      </c>
      <c r="D10" s="93" t="s">
        <v>505</v>
      </c>
      <c r="E10" s="93"/>
      <c r="F10" s="93"/>
      <c r="G10" s="93"/>
      <c r="H10" s="93">
        <v>434.22</v>
      </c>
      <c r="I10" s="93">
        <v>100</v>
      </c>
      <c r="J10" s="93" t="s">
        <v>532</v>
      </c>
      <c r="K10" s="93">
        <v>172.12</v>
      </c>
      <c r="L10" s="93">
        <v>2</v>
      </c>
      <c r="M10" s="93">
        <f>I10 * (K10 * L10 / H10)</f>
        <v>79.277785454377963</v>
      </c>
      <c r="N10" s="93"/>
      <c r="Y10" t="str">
        <v>Cerium(III) chloride heptahydrate</v>
      </c>
    </row>
    <row r="11" spans="1:25" ht="42">
      <c r="B11" s="93" t="s">
        <v>506</v>
      </c>
      <c r="C11" s="93" t="s">
        <v>507</v>
      </c>
      <c r="D11" s="93" t="s">
        <v>508</v>
      </c>
      <c r="E11" s="93"/>
      <c r="F11" s="93"/>
      <c r="G11" s="93"/>
      <c r="H11" s="93">
        <v>372.58</v>
      </c>
      <c r="I11" s="93">
        <v>100</v>
      </c>
      <c r="J11" s="93" t="s">
        <v>532</v>
      </c>
      <c r="K11" s="93">
        <v>172.12</v>
      </c>
      <c r="L11" s="94">
        <v>2</v>
      </c>
      <c r="M11" s="93">
        <f t="shared" ref="M11:M17" si="0">I11 * (K11 * L11 / H11)</f>
        <v>92.393579902302875</v>
      </c>
      <c r="Y11" t="str">
        <v>Cerium(III) acetate hydrate</v>
      </c>
    </row>
    <row r="12" spans="1:25" ht="42">
      <c r="B12" s="93" t="s">
        <v>509</v>
      </c>
      <c r="C12" s="93" t="s">
        <v>510</v>
      </c>
      <c r="D12" s="93" t="s">
        <v>511</v>
      </c>
      <c r="E12" s="93"/>
      <c r="F12" s="93"/>
      <c r="G12" s="93"/>
      <c r="H12" s="93">
        <v>317.25</v>
      </c>
      <c r="I12" s="93">
        <v>100</v>
      </c>
      <c r="J12" s="93" t="s">
        <v>532</v>
      </c>
      <c r="K12" s="93">
        <v>172.12</v>
      </c>
      <c r="L12" s="94">
        <v>1</v>
      </c>
      <c r="M12" s="93">
        <f t="shared" si="0"/>
        <v>54.253743104806937</v>
      </c>
      <c r="Y12" t="str">
        <v>Cerium(III) fluoride</v>
      </c>
    </row>
    <row r="13" spans="1:25" ht="42">
      <c r="B13" s="93" t="s">
        <v>512</v>
      </c>
      <c r="C13" s="93" t="s">
        <v>513</v>
      </c>
      <c r="D13" s="93" t="s">
        <v>514</v>
      </c>
      <c r="E13" s="93"/>
      <c r="F13" s="93"/>
      <c r="G13" s="93"/>
      <c r="H13" s="93">
        <v>197.11</v>
      </c>
      <c r="I13" s="93">
        <v>100</v>
      </c>
      <c r="J13" s="93" t="s">
        <v>532</v>
      </c>
      <c r="K13" s="93">
        <v>172.12</v>
      </c>
      <c r="L13" s="94">
        <v>1</v>
      </c>
      <c r="M13" s="93">
        <f t="shared" si="0"/>
        <v>87.321800010146617</v>
      </c>
      <c r="Y13" t="str">
        <v>Cerium(II) chloride</v>
      </c>
    </row>
    <row r="14" spans="1:25" ht="42">
      <c r="B14" s="93" t="s">
        <v>515</v>
      </c>
      <c r="C14" s="93" t="s">
        <v>516</v>
      </c>
      <c r="D14" s="93" t="s">
        <v>517</v>
      </c>
      <c r="E14" s="93"/>
      <c r="F14" s="93"/>
      <c r="G14" s="93"/>
      <c r="H14" s="93">
        <v>222.81</v>
      </c>
      <c r="I14" s="93">
        <v>100</v>
      </c>
      <c r="J14" s="93" t="s">
        <v>532</v>
      </c>
      <c r="K14" s="93">
        <v>172.12</v>
      </c>
      <c r="L14" s="94">
        <v>1</v>
      </c>
      <c r="M14" s="93">
        <f t="shared" si="0"/>
        <v>77.249674610654822</v>
      </c>
      <c r="Y14" t="str">
        <v>Cerium(III) sulfate</v>
      </c>
    </row>
    <row r="15" spans="1:25" ht="42">
      <c r="B15" s="93" t="s">
        <v>518</v>
      </c>
      <c r="C15" s="93" t="s">
        <v>519</v>
      </c>
      <c r="D15" s="93" t="s">
        <v>520</v>
      </c>
      <c r="E15" s="93"/>
      <c r="F15" s="93"/>
      <c r="G15" s="93"/>
      <c r="H15" s="93">
        <v>568.41999999999996</v>
      </c>
      <c r="I15" s="93">
        <v>100</v>
      </c>
      <c r="J15" s="93" t="s">
        <v>532</v>
      </c>
      <c r="K15" s="93">
        <v>172.12</v>
      </c>
      <c r="L15" s="94">
        <v>1</v>
      </c>
      <c r="M15" s="93">
        <f t="shared" si="0"/>
        <v>30.280426445234159</v>
      </c>
      <c r="Y15" t="str">
        <v>Cerium(III) hydroxide</v>
      </c>
    </row>
    <row r="16" spans="1:25" ht="42">
      <c r="B16" s="93" t="s">
        <v>521</v>
      </c>
      <c r="C16" s="93" t="s">
        <v>522</v>
      </c>
      <c r="D16" s="93" t="s">
        <v>523</v>
      </c>
      <c r="E16" s="93"/>
      <c r="F16" s="93"/>
      <c r="G16" s="93"/>
      <c r="H16" s="93">
        <v>191.13800000000001</v>
      </c>
      <c r="I16" s="93">
        <v>100</v>
      </c>
      <c r="J16" s="93" t="s">
        <v>532</v>
      </c>
      <c r="K16" s="93">
        <v>172.12</v>
      </c>
      <c r="L16" s="94">
        <v>1</v>
      </c>
      <c r="M16" s="93">
        <f t="shared" si="0"/>
        <v>90.050120855088991</v>
      </c>
      <c r="Y16" t="str">
        <v>Cerium(III) carbonate</v>
      </c>
    </row>
    <row r="17" spans="2:25" ht="42">
      <c r="B17" s="93" t="s">
        <v>524</v>
      </c>
      <c r="C17" s="93" t="s">
        <v>525</v>
      </c>
      <c r="D17" s="93" t="s">
        <v>526</v>
      </c>
      <c r="E17" s="93"/>
      <c r="F17" s="93"/>
      <c r="G17" s="93"/>
      <c r="H17" s="93">
        <v>460.26</v>
      </c>
      <c r="I17" s="93">
        <v>100</v>
      </c>
      <c r="J17" s="93" t="s">
        <v>532</v>
      </c>
      <c r="K17" s="93">
        <v>172.12</v>
      </c>
      <c r="L17" s="94">
        <v>2</v>
      </c>
      <c r="M17" s="93">
        <f t="shared" si="0"/>
        <v>74.792508582105768</v>
      </c>
      <c r="Y17" t="str">
        <v>Ammonium(IV) Cerium Nitrate</v>
      </c>
    </row>
    <row r="18" spans="2:25" ht="42">
      <c r="B18" s="93" t="s">
        <v>558</v>
      </c>
      <c r="C18" s="93"/>
      <c r="D18" s="93"/>
      <c r="E18" s="93"/>
      <c r="F18" s="93"/>
      <c r="G18" s="93"/>
      <c r="H18" s="93"/>
      <c r="I18" s="93"/>
      <c r="J18" s="93" t="s">
        <v>532</v>
      </c>
      <c r="K18" s="93">
        <v>172.12</v>
      </c>
      <c r="L18" s="94"/>
      <c r="M18" s="94" t="e">
        <f t="shared" ref="M18:M23" si="1">I18 * (K18 * L18 / H18)</f>
        <v>#DIV/0!</v>
      </c>
      <c r="Y18" t="str">
        <v>Cerium(4+) precurors</v>
      </c>
    </row>
    <row r="19" spans="2:25" ht="42">
      <c r="B19" s="93" t="s">
        <v>546</v>
      </c>
      <c r="C19" s="93"/>
      <c r="D19" s="93"/>
      <c r="E19" s="93"/>
      <c r="F19" s="93"/>
      <c r="G19" s="93"/>
      <c r="H19" s="93"/>
      <c r="I19" s="93"/>
      <c r="J19" s="93" t="s">
        <v>532</v>
      </c>
      <c r="K19" s="93">
        <v>172.12</v>
      </c>
      <c r="L19" s="94"/>
      <c r="M19" s="94" t="e">
        <f t="shared" si="1"/>
        <v>#DIV/0!</v>
      </c>
      <c r="Y19" t="str">
        <v>Silica precurors</v>
      </c>
    </row>
    <row r="20" spans="2:25" ht="42">
      <c r="B20" s="93" t="s">
        <v>547</v>
      </c>
      <c r="C20" s="93"/>
      <c r="D20" s="93"/>
      <c r="E20" s="93"/>
      <c r="F20" s="93"/>
      <c r="G20" s="93"/>
      <c r="H20" s="93"/>
      <c r="I20" s="93"/>
      <c r="J20" s="93" t="s">
        <v>532</v>
      </c>
      <c r="K20" s="93">
        <v>172.12</v>
      </c>
      <c r="L20" s="94"/>
      <c r="M20" s="94" t="e">
        <f t="shared" si="1"/>
        <v>#DIV/0!</v>
      </c>
      <c r="Y20" t="str">
        <v>Potassium</v>
      </c>
    </row>
    <row r="21" spans="2:25" ht="42">
      <c r="B21" s="93" t="s">
        <v>557</v>
      </c>
      <c r="C21" s="93"/>
      <c r="D21" s="93"/>
      <c r="E21" s="93"/>
      <c r="F21" s="93"/>
      <c r="G21" s="93"/>
      <c r="H21" s="93"/>
      <c r="I21" s="93"/>
      <c r="J21" s="93" t="s">
        <v>532</v>
      </c>
      <c r="K21" s="93">
        <v>172.12</v>
      </c>
      <c r="L21" s="94"/>
      <c r="M21" s="94" t="e">
        <f t="shared" si="1"/>
        <v>#DIV/0!</v>
      </c>
      <c r="Y21" t="str">
        <v>Cerium oxide</v>
      </c>
    </row>
    <row r="22" spans="2:25" ht="42">
      <c r="B22" s="93" t="s">
        <v>658</v>
      </c>
      <c r="C22" s="93" t="s">
        <v>532</v>
      </c>
      <c r="D22" s="93"/>
      <c r="E22" s="93"/>
      <c r="F22" s="93"/>
      <c r="G22" s="93"/>
      <c r="H22" s="93">
        <v>172.12</v>
      </c>
      <c r="I22" s="93"/>
      <c r="J22" s="93" t="s">
        <v>532</v>
      </c>
      <c r="K22" s="93">
        <v>172.12</v>
      </c>
      <c r="L22" s="94">
        <v>1</v>
      </c>
      <c r="M22" s="94">
        <f t="shared" si="1"/>
        <v>0</v>
      </c>
      <c r="Y22" t="str">
        <v>None</v>
      </c>
    </row>
    <row r="23" spans="2:25" ht="42">
      <c r="B23" s="93" t="s">
        <v>541</v>
      </c>
      <c r="C23" s="93"/>
      <c r="D23" s="93"/>
      <c r="E23" s="93"/>
      <c r="F23" s="93"/>
      <c r="G23" s="93"/>
      <c r="H23" s="93">
        <v>1</v>
      </c>
      <c r="I23" s="93"/>
      <c r="J23" s="93" t="s">
        <v>532</v>
      </c>
      <c r="K23" s="93">
        <v>172.12</v>
      </c>
      <c r="L23" s="94"/>
      <c r="M23" s="94">
        <f t="shared" si="1"/>
        <v>0</v>
      </c>
      <c r="Y23" t="str">
        <v>Cerium oxalate</v>
      </c>
    </row>
    <row r="24" spans="2:25" ht="42">
      <c r="B24" s="93" t="s">
        <v>761</v>
      </c>
      <c r="C24" s="93"/>
      <c r="D24" s="93"/>
      <c r="E24" s="93"/>
      <c r="F24" s="93"/>
      <c r="G24" s="93"/>
      <c r="H24" s="93"/>
      <c r="I24" s="93"/>
      <c r="J24" s="93" t="s">
        <v>532</v>
      </c>
      <c r="K24" s="93">
        <v>172.12</v>
      </c>
      <c r="L24" s="94"/>
      <c r="M24" s="94" t="e">
        <f>I24 * (K24 * L24 / H24)</f>
        <v>#DIV/0!</v>
      </c>
      <c r="Y24" t="str">
        <v>Cerium Carbonate Hydrate</v>
      </c>
    </row>
    <row r="25" spans="2:25" ht="42">
      <c r="B25" s="93" t="s">
        <v>765</v>
      </c>
      <c r="C25" s="93"/>
      <c r="D25" s="93"/>
      <c r="E25" s="93"/>
      <c r="F25" s="93"/>
      <c r="G25" s="93"/>
      <c r="H25" s="93"/>
      <c r="I25" s="93"/>
      <c r="J25" s="93" t="s">
        <v>532</v>
      </c>
      <c r="K25" s="93">
        <v>172.12</v>
      </c>
      <c r="L25" s="94"/>
      <c r="M25" s="94" t="e">
        <f>I25 * (K25 * L25 / H25)</f>
        <v>#DIV/0!</v>
      </c>
      <c r="Y25" t="str">
        <v>Cerium(IV) ammonium Sulfate Dihydrate</v>
      </c>
    </row>
    <row r="26" spans="2:25" ht="42">
      <c r="B26" s="93" t="s">
        <v>1176</v>
      </c>
      <c r="C26" s="93" t="s">
        <v>1177</v>
      </c>
      <c r="D26" s="93"/>
      <c r="E26" s="93"/>
      <c r="F26" s="93"/>
      <c r="G26" s="93"/>
      <c r="H26" s="93"/>
      <c r="I26" s="93"/>
      <c r="J26" s="93" t="s">
        <v>532</v>
      </c>
      <c r="K26" s="93">
        <v>172.12</v>
      </c>
      <c r="L26" s="94"/>
      <c r="M26" s="94" t="e">
        <f>I26 * (K26 * L26 / H26)</f>
        <v>#DIV/0!</v>
      </c>
      <c r="Y26" t="str">
        <v>Oxalic acid</v>
      </c>
    </row>
    <row r="27" spans="2:25" ht="42">
      <c r="B27" s="93" t="s">
        <v>1182</v>
      </c>
      <c r="C27" s="93"/>
      <c r="D27" s="93"/>
      <c r="E27" s="93"/>
      <c r="F27" s="93"/>
      <c r="G27" s="93"/>
      <c r="H27" s="93"/>
      <c r="I27" s="93"/>
      <c r="J27" s="93"/>
      <c r="K27" s="93"/>
      <c r="L27" s="94"/>
      <c r="M27" s="94" t="e">
        <f>I27 * (K27 * L27 / H27)</f>
        <v>#DIV/0!</v>
      </c>
    </row>
  </sheetData>
  <phoneticPr fontId="21" type="noConversion"/>
  <dataValidations count="1">
    <dataValidation type="whole" operator="greaterThan" allowBlank="1" showInputMessage="1" showErrorMessage="1" errorTitle="Invalid Input" error="Please enter a positive whole number for the stoichiometric ratio." sqref="L10" xr:uid="{5328EE34-AE54-8844-8445-1D4709427C03}">
      <formula1>0</formula1>
    </dataValidation>
  </dataValidations>
  <pageMargins left="0.7" right="0.7" top="0.75" bottom="0.75" header="0.3" footer="0.3"/>
  <pageSetup orientation="portrait" horizontalDpi="0" verticalDpi="0"/>
  <drawing r:id="rId1"/>
  <legacyDrawing r:id="rId2"/>
  <tableParts count="1">
    <tablePart r:id="rId3"/>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3AC417-972C-A743-BBEC-5EC8BBA3028C}">
  <sheetPr codeName="Sheet25">
    <tabColor theme="0" tint="-0.499984740745262"/>
  </sheetPr>
  <dimension ref="B4:D1214"/>
  <sheetViews>
    <sheetView topLeftCell="A2" zoomScale="292" workbookViewId="0">
      <selection activeCell="G14" sqref="G14"/>
    </sheetView>
  </sheetViews>
  <sheetFormatPr baseColWidth="10" defaultColWidth="8.83203125" defaultRowHeight="15"/>
  <cols>
    <col min="1" max="1" width="8.83203125" style="55"/>
    <col min="2" max="3" width="44.5" style="55" customWidth="1"/>
    <col min="4" max="4" width="23.33203125" style="80" customWidth="1"/>
    <col min="5" max="16384" width="8.83203125" style="55"/>
  </cols>
  <sheetData>
    <row r="4" spans="2:4">
      <c r="B4" s="78" t="s">
        <v>178</v>
      </c>
      <c r="C4" s="78" t="s">
        <v>177</v>
      </c>
      <c r="D4" s="78" t="s">
        <v>179</v>
      </c>
    </row>
    <row r="5" spans="2:4">
      <c r="B5" s="79" t="s">
        <v>541</v>
      </c>
      <c r="C5" s="79" t="s">
        <v>542</v>
      </c>
      <c r="D5" s="54">
        <v>0</v>
      </c>
    </row>
    <row r="6" spans="2:4">
      <c r="B6" s="55" t="s">
        <v>181</v>
      </c>
      <c r="C6" s="55" t="s">
        <v>180</v>
      </c>
      <c r="D6" s="80">
        <v>146</v>
      </c>
    </row>
    <row r="7" spans="2:4">
      <c r="B7" s="55" t="s">
        <v>182</v>
      </c>
      <c r="C7" s="55" t="s">
        <v>180</v>
      </c>
      <c r="D7" s="80">
        <v>359</v>
      </c>
    </row>
    <row r="8" spans="2:4">
      <c r="B8" s="55" t="s">
        <v>183</v>
      </c>
      <c r="C8" s="55" t="s">
        <v>180</v>
      </c>
      <c r="D8" s="80">
        <v>1640</v>
      </c>
    </row>
    <row r="9" spans="2:4">
      <c r="B9" s="55" t="s">
        <v>184</v>
      </c>
      <c r="C9" s="55" t="s">
        <v>180</v>
      </c>
      <c r="D9" s="80">
        <v>297</v>
      </c>
    </row>
    <row r="10" spans="2:4">
      <c r="B10" s="55" t="s">
        <v>185</v>
      </c>
      <c r="C10" s="55" t="s">
        <v>180</v>
      </c>
      <c r="D10" s="80">
        <v>4750</v>
      </c>
    </row>
    <row r="11" spans="2:4">
      <c r="B11" s="55" t="s">
        <v>186</v>
      </c>
      <c r="C11" s="55" t="s">
        <v>180</v>
      </c>
      <c r="D11" s="80">
        <v>6130</v>
      </c>
    </row>
    <row r="12" spans="2:4">
      <c r="B12" s="55" t="s">
        <v>187</v>
      </c>
      <c r="C12" s="55" t="s">
        <v>180</v>
      </c>
      <c r="D12" s="80">
        <v>10000</v>
      </c>
    </row>
    <row r="13" spans="2:4">
      <c r="B13" s="55" t="s">
        <v>188</v>
      </c>
      <c r="C13" s="55" t="s">
        <v>180</v>
      </c>
      <c r="D13" s="80">
        <v>7370</v>
      </c>
    </row>
    <row r="14" spans="2:4">
      <c r="B14" s="55" t="s">
        <v>189</v>
      </c>
      <c r="C14" s="55" t="s">
        <v>180</v>
      </c>
      <c r="D14" s="80">
        <v>10900</v>
      </c>
    </row>
    <row r="15" spans="2:4">
      <c r="B15" s="55" t="s">
        <v>190</v>
      </c>
      <c r="C15" s="55" t="s">
        <v>180</v>
      </c>
      <c r="D15" s="80">
        <v>14400</v>
      </c>
    </row>
    <row r="16" spans="2:4">
      <c r="B16" s="55" t="s">
        <v>191</v>
      </c>
      <c r="C16" s="55" t="s">
        <v>180</v>
      </c>
      <c r="D16" s="80">
        <v>1</v>
      </c>
    </row>
    <row r="17" spans="2:4">
      <c r="B17" s="55" t="s">
        <v>192</v>
      </c>
      <c r="C17" s="55" t="s">
        <v>180</v>
      </c>
      <c r="D17" s="80">
        <v>1400</v>
      </c>
    </row>
    <row r="18" spans="2:4">
      <c r="B18" s="55" t="s">
        <v>193</v>
      </c>
      <c r="C18" s="55" t="s">
        <v>180</v>
      </c>
      <c r="D18" s="80">
        <v>7390</v>
      </c>
    </row>
    <row r="19" spans="2:4">
      <c r="B19" s="55" t="s">
        <v>194</v>
      </c>
      <c r="C19" s="55" t="s">
        <v>180</v>
      </c>
      <c r="D19" s="80">
        <v>13</v>
      </c>
    </row>
    <row r="20" spans="2:4">
      <c r="B20" s="55" t="s">
        <v>195</v>
      </c>
      <c r="C20" s="55" t="s">
        <v>180</v>
      </c>
      <c r="D20" s="80">
        <v>1</v>
      </c>
    </row>
    <row r="21" spans="2:4">
      <c r="B21" s="55" t="s">
        <v>196</v>
      </c>
      <c r="C21" s="55" t="s">
        <v>180</v>
      </c>
      <c r="D21" s="80">
        <v>708</v>
      </c>
    </row>
    <row r="22" spans="2:4">
      <c r="B22" s="55" t="s">
        <v>197</v>
      </c>
      <c r="C22" s="55" t="s">
        <v>180</v>
      </c>
      <c r="D22" s="80">
        <v>659</v>
      </c>
    </row>
    <row r="23" spans="2:4">
      <c r="B23" s="55" t="s">
        <v>198</v>
      </c>
      <c r="C23" s="55" t="s">
        <v>180</v>
      </c>
      <c r="D23" s="80">
        <v>59</v>
      </c>
    </row>
    <row r="24" spans="2:4">
      <c r="B24" s="55" t="s">
        <v>199</v>
      </c>
      <c r="C24" s="55" t="s">
        <v>180</v>
      </c>
      <c r="D24" s="80">
        <v>77</v>
      </c>
    </row>
    <row r="25" spans="2:4">
      <c r="B25" s="55" t="s">
        <v>200</v>
      </c>
      <c r="C25" s="55" t="s">
        <v>180</v>
      </c>
      <c r="D25" s="80">
        <v>609</v>
      </c>
    </row>
    <row r="26" spans="2:4">
      <c r="B26" s="55" t="s">
        <v>201</v>
      </c>
      <c r="C26" s="55" t="s">
        <v>180</v>
      </c>
      <c r="D26" s="80">
        <v>725</v>
      </c>
    </row>
    <row r="27" spans="2:4">
      <c r="B27" s="55" t="s">
        <v>202</v>
      </c>
      <c r="C27" s="55" t="s">
        <v>180</v>
      </c>
      <c r="D27" s="80">
        <v>2310</v>
      </c>
    </row>
    <row r="28" spans="2:4">
      <c r="B28" s="55" t="s">
        <v>203</v>
      </c>
      <c r="C28" s="55" t="s">
        <v>180</v>
      </c>
      <c r="D28" s="80">
        <v>1810</v>
      </c>
    </row>
    <row r="29" spans="2:4">
      <c r="B29" s="55" t="s">
        <v>204</v>
      </c>
      <c r="C29" s="55" t="s">
        <v>180</v>
      </c>
      <c r="D29" s="80">
        <v>122</v>
      </c>
    </row>
    <row r="30" spans="2:4">
      <c r="B30" s="55" t="s">
        <v>205</v>
      </c>
      <c r="C30" s="55" t="s">
        <v>180</v>
      </c>
      <c r="D30" s="80">
        <v>595</v>
      </c>
    </row>
    <row r="31" spans="2:4">
      <c r="B31" s="55" t="s">
        <v>206</v>
      </c>
      <c r="C31" s="55" t="s">
        <v>180</v>
      </c>
      <c r="D31" s="80">
        <v>3500</v>
      </c>
    </row>
    <row r="32" spans="2:4">
      <c r="B32" s="55" t="s">
        <v>207</v>
      </c>
      <c r="C32" s="55" t="s">
        <v>180</v>
      </c>
      <c r="D32" s="80">
        <v>1430</v>
      </c>
    </row>
    <row r="33" spans="2:4">
      <c r="B33" s="55" t="s">
        <v>208</v>
      </c>
      <c r="C33" s="55" t="s">
        <v>180</v>
      </c>
      <c r="D33" s="80">
        <v>4470</v>
      </c>
    </row>
    <row r="34" spans="2:4">
      <c r="B34" s="55" t="s">
        <v>209</v>
      </c>
      <c r="C34" s="55" t="s">
        <v>180</v>
      </c>
      <c r="D34" s="80">
        <v>124</v>
      </c>
    </row>
    <row r="35" spans="2:4">
      <c r="B35" s="55" t="s">
        <v>210</v>
      </c>
      <c r="C35" s="55" t="s">
        <v>180</v>
      </c>
      <c r="D35" s="80">
        <v>3220</v>
      </c>
    </row>
    <row r="36" spans="2:4">
      <c r="B36" s="55" t="s">
        <v>211</v>
      </c>
      <c r="C36" s="55" t="s">
        <v>180</v>
      </c>
      <c r="D36" s="80">
        <v>14800</v>
      </c>
    </row>
    <row r="37" spans="2:4">
      <c r="B37" s="55" t="s">
        <v>212</v>
      </c>
      <c r="C37" s="55" t="s">
        <v>180</v>
      </c>
      <c r="D37" s="80">
        <v>9810</v>
      </c>
    </row>
    <row r="38" spans="2:4">
      <c r="B38" s="55" t="s">
        <v>213</v>
      </c>
      <c r="C38" s="55" t="s">
        <v>180</v>
      </c>
      <c r="D38" s="80">
        <v>1030</v>
      </c>
    </row>
    <row r="39" spans="2:4">
      <c r="B39" s="55" t="s">
        <v>214</v>
      </c>
      <c r="C39" s="55" t="s">
        <v>180</v>
      </c>
      <c r="D39" s="80">
        <v>675</v>
      </c>
    </row>
    <row r="40" spans="2:4">
      <c r="B40" s="55" t="s">
        <v>215</v>
      </c>
      <c r="C40" s="55" t="s">
        <v>180</v>
      </c>
      <c r="D40" s="80">
        <v>794</v>
      </c>
    </row>
    <row r="41" spans="2:4">
      <c r="B41" s="55" t="s">
        <v>216</v>
      </c>
      <c r="C41" s="55" t="s">
        <v>180</v>
      </c>
      <c r="D41" s="80">
        <v>1640</v>
      </c>
    </row>
    <row r="42" spans="2:4">
      <c r="B42" s="55" t="s">
        <v>217</v>
      </c>
      <c r="C42" s="55" t="s">
        <v>180</v>
      </c>
      <c r="D42" s="80">
        <v>1500</v>
      </c>
    </row>
    <row r="43" spans="2:4">
      <c r="B43" s="55" t="s">
        <v>218</v>
      </c>
      <c r="C43" s="55" t="s">
        <v>180</v>
      </c>
      <c r="D43" s="80">
        <v>580</v>
      </c>
    </row>
    <row r="44" spans="2:4">
      <c r="B44" s="55" t="s">
        <v>219</v>
      </c>
      <c r="C44" s="55" t="s">
        <v>180</v>
      </c>
      <c r="D44" s="80">
        <v>110</v>
      </c>
    </row>
    <row r="45" spans="2:4">
      <c r="B45" s="55" t="s">
        <v>220</v>
      </c>
      <c r="C45" s="55" t="s">
        <v>180</v>
      </c>
      <c r="D45" s="80">
        <v>1870</v>
      </c>
    </row>
    <row r="46" spans="2:4">
      <c r="B46" s="55" t="s">
        <v>221</v>
      </c>
      <c r="C46" s="55" t="s">
        <v>180</v>
      </c>
      <c r="D46" s="80">
        <v>1890</v>
      </c>
    </row>
    <row r="47" spans="2:4">
      <c r="B47" s="55" t="s">
        <v>222</v>
      </c>
      <c r="C47" s="55" t="s">
        <v>180</v>
      </c>
      <c r="D47" s="80">
        <v>7140</v>
      </c>
    </row>
    <row r="48" spans="2:4">
      <c r="B48" s="55" t="s">
        <v>223</v>
      </c>
      <c r="C48" s="55" t="s">
        <v>180</v>
      </c>
      <c r="D48" s="80">
        <v>12200</v>
      </c>
    </row>
    <row r="49" spans="2:4">
      <c r="B49" s="55" t="s">
        <v>224</v>
      </c>
      <c r="C49" s="55" t="s">
        <v>180</v>
      </c>
      <c r="D49" s="80">
        <v>350</v>
      </c>
    </row>
    <row r="50" spans="2:4">
      <c r="B50" s="55" t="s">
        <v>225</v>
      </c>
      <c r="C50" s="55" t="s">
        <v>180</v>
      </c>
      <c r="D50" s="80">
        <v>25</v>
      </c>
    </row>
    <row r="51" spans="2:4">
      <c r="B51" s="55" t="s">
        <v>226</v>
      </c>
      <c r="C51" s="55" t="s">
        <v>180</v>
      </c>
      <c r="D51" s="80">
        <v>14900</v>
      </c>
    </row>
    <row r="52" spans="2:4">
      <c r="B52" s="55" t="s">
        <v>227</v>
      </c>
      <c r="C52" s="55" t="s">
        <v>180</v>
      </c>
      <c r="D52" s="80">
        <v>2800</v>
      </c>
    </row>
    <row r="53" spans="2:4">
      <c r="B53" s="55" t="s">
        <v>228</v>
      </c>
      <c r="C53" s="55" t="s">
        <v>180</v>
      </c>
      <c r="D53" s="80">
        <v>6320</v>
      </c>
    </row>
    <row r="54" spans="2:4">
      <c r="B54" s="55" t="s">
        <v>229</v>
      </c>
      <c r="C54" s="55" t="s">
        <v>180</v>
      </c>
      <c r="D54" s="80">
        <v>756</v>
      </c>
    </row>
    <row r="55" spans="2:4">
      <c r="B55" s="55" t="s">
        <v>230</v>
      </c>
      <c r="C55" s="55" t="s">
        <v>180</v>
      </c>
      <c r="D55" s="80">
        <v>5</v>
      </c>
    </row>
    <row r="56" spans="2:4">
      <c r="B56" s="55" t="s">
        <v>231</v>
      </c>
      <c r="C56" s="55" t="s">
        <v>180</v>
      </c>
      <c r="D56" s="80">
        <v>8.6999999999999993</v>
      </c>
    </row>
    <row r="57" spans="2:4">
      <c r="B57" s="55" t="s">
        <v>232</v>
      </c>
      <c r="C57" s="55" t="s">
        <v>180</v>
      </c>
      <c r="D57" s="80">
        <v>17200</v>
      </c>
    </row>
    <row r="58" spans="2:4">
      <c r="B58" s="55" t="s">
        <v>233</v>
      </c>
      <c r="C58" s="55" t="s">
        <v>180</v>
      </c>
      <c r="D58" s="80">
        <v>298</v>
      </c>
    </row>
    <row r="59" spans="2:4">
      <c r="B59" s="55" t="s">
        <v>234</v>
      </c>
      <c r="C59" s="55" t="s">
        <v>180</v>
      </c>
      <c r="D59" s="80">
        <v>8860</v>
      </c>
    </row>
    <row r="60" spans="2:4">
      <c r="B60" s="55" t="s">
        <v>235</v>
      </c>
      <c r="C60" s="55" t="s">
        <v>180</v>
      </c>
      <c r="D60" s="80">
        <v>10300</v>
      </c>
    </row>
    <row r="61" spans="2:4">
      <c r="B61" s="55" t="s">
        <v>236</v>
      </c>
      <c r="C61" s="55" t="s">
        <v>180</v>
      </c>
      <c r="D61" s="80">
        <v>7500</v>
      </c>
    </row>
    <row r="62" spans="2:4">
      <c r="B62" s="55" t="s">
        <v>237</v>
      </c>
      <c r="C62" s="55" t="s">
        <v>180</v>
      </c>
      <c r="D62" s="80">
        <v>9300</v>
      </c>
    </row>
    <row r="63" spans="2:4">
      <c r="B63" s="55" t="s">
        <v>238</v>
      </c>
      <c r="C63" s="55" t="s">
        <v>180</v>
      </c>
      <c r="D63" s="80">
        <v>9160</v>
      </c>
    </row>
    <row r="64" spans="2:4">
      <c r="B64" s="55" t="s">
        <v>239</v>
      </c>
      <c r="C64" s="55" t="s">
        <v>180</v>
      </c>
      <c r="D64" s="80">
        <v>8830</v>
      </c>
    </row>
    <row r="65" spans="2:4">
      <c r="B65" s="55" t="s">
        <v>240</v>
      </c>
      <c r="C65" s="55" t="s">
        <v>180</v>
      </c>
      <c r="D65" s="80">
        <v>575</v>
      </c>
    </row>
    <row r="66" spans="2:4">
      <c r="B66" s="55" t="s">
        <v>241</v>
      </c>
      <c r="C66" s="55" t="s">
        <v>180</v>
      </c>
      <c r="D66" s="80">
        <v>22800</v>
      </c>
    </row>
    <row r="67" spans="2:4">
      <c r="B67" s="55" t="s">
        <v>242</v>
      </c>
      <c r="C67" s="55" t="s">
        <v>180</v>
      </c>
      <c r="D67" s="80">
        <v>17700</v>
      </c>
    </row>
    <row r="68" spans="2:4">
      <c r="B68" s="55" t="s">
        <v>181</v>
      </c>
      <c r="C68" s="55" t="s">
        <v>243</v>
      </c>
      <c r="D68" s="80">
        <v>506</v>
      </c>
    </row>
    <row r="69" spans="2:4">
      <c r="B69" s="55" t="s">
        <v>182</v>
      </c>
      <c r="C69" s="55" t="s">
        <v>243</v>
      </c>
      <c r="D69" s="80">
        <v>1260</v>
      </c>
    </row>
    <row r="70" spans="2:4">
      <c r="B70" s="55" t="s">
        <v>183</v>
      </c>
      <c r="C70" s="55" t="s">
        <v>243</v>
      </c>
      <c r="D70" s="80">
        <v>3680</v>
      </c>
    </row>
    <row r="71" spans="2:4">
      <c r="B71" s="55" t="s">
        <v>184</v>
      </c>
      <c r="C71" s="55" t="s">
        <v>243</v>
      </c>
      <c r="D71" s="80">
        <v>1040</v>
      </c>
    </row>
    <row r="72" spans="2:4">
      <c r="B72" s="55" t="s">
        <v>185</v>
      </c>
      <c r="C72" s="55" t="s">
        <v>243</v>
      </c>
      <c r="D72" s="80">
        <v>6730</v>
      </c>
    </row>
    <row r="73" spans="2:4">
      <c r="B73" s="55" t="s">
        <v>186</v>
      </c>
      <c r="C73" s="55" t="s">
        <v>243</v>
      </c>
      <c r="D73" s="80">
        <v>6540</v>
      </c>
    </row>
    <row r="74" spans="2:4">
      <c r="B74" s="55" t="s">
        <v>187</v>
      </c>
      <c r="C74" s="55" t="s">
        <v>243</v>
      </c>
      <c r="D74" s="80">
        <v>8040</v>
      </c>
    </row>
    <row r="75" spans="2:4">
      <c r="B75" s="55" t="s">
        <v>188</v>
      </c>
      <c r="C75" s="55" t="s">
        <v>243</v>
      </c>
      <c r="D75" s="80">
        <v>5310</v>
      </c>
    </row>
    <row r="76" spans="2:4">
      <c r="B76" s="55" t="s">
        <v>189</v>
      </c>
      <c r="C76" s="55" t="s">
        <v>243</v>
      </c>
      <c r="D76" s="80">
        <v>11000</v>
      </c>
    </row>
    <row r="77" spans="2:4">
      <c r="B77" s="55" t="s">
        <v>190</v>
      </c>
      <c r="C77" s="55" t="s">
        <v>243</v>
      </c>
      <c r="D77" s="80">
        <v>10800</v>
      </c>
    </row>
    <row r="78" spans="2:4">
      <c r="B78" s="55" t="s">
        <v>191</v>
      </c>
      <c r="C78" s="55" t="s">
        <v>243</v>
      </c>
      <c r="D78" s="80">
        <v>1</v>
      </c>
    </row>
    <row r="79" spans="2:4">
      <c r="B79" s="55" t="s">
        <v>192</v>
      </c>
      <c r="C79" s="55" t="s">
        <v>243</v>
      </c>
      <c r="D79" s="80">
        <v>2700</v>
      </c>
    </row>
    <row r="80" spans="2:4">
      <c r="B80" s="55" t="s">
        <v>193</v>
      </c>
      <c r="C80" s="55" t="s">
        <v>243</v>
      </c>
      <c r="D80" s="80">
        <v>5210</v>
      </c>
    </row>
    <row r="81" spans="2:4">
      <c r="B81" s="55" t="s">
        <v>194</v>
      </c>
      <c r="C81" s="55" t="s">
        <v>243</v>
      </c>
      <c r="D81" s="80">
        <v>45</v>
      </c>
    </row>
    <row r="82" spans="2:4">
      <c r="B82" s="55" t="s">
        <v>195</v>
      </c>
      <c r="C82" s="55" t="s">
        <v>243</v>
      </c>
      <c r="D82" s="80">
        <v>1</v>
      </c>
    </row>
    <row r="83" spans="2:4">
      <c r="B83" s="55" t="s">
        <v>196</v>
      </c>
      <c r="C83" s="55" t="s">
        <v>243</v>
      </c>
      <c r="D83" s="80">
        <v>2440</v>
      </c>
    </row>
    <row r="84" spans="2:4">
      <c r="B84" s="55" t="s">
        <v>197</v>
      </c>
      <c r="C84" s="55" t="s">
        <v>243</v>
      </c>
      <c r="D84" s="80">
        <v>2280</v>
      </c>
    </row>
    <row r="85" spans="2:4">
      <c r="B85" s="55" t="s">
        <v>198</v>
      </c>
      <c r="C85" s="55" t="s">
        <v>243</v>
      </c>
      <c r="D85" s="80">
        <v>207</v>
      </c>
    </row>
    <row r="86" spans="2:4">
      <c r="B86" s="55" t="s">
        <v>199</v>
      </c>
      <c r="C86" s="55" t="s">
        <v>243</v>
      </c>
      <c r="D86" s="80">
        <v>273</v>
      </c>
    </row>
    <row r="87" spans="2:4">
      <c r="B87" s="55" t="s">
        <v>200</v>
      </c>
      <c r="C87" s="55" t="s">
        <v>243</v>
      </c>
      <c r="D87" s="80">
        <v>2070</v>
      </c>
    </row>
    <row r="88" spans="2:4">
      <c r="B88" s="55" t="s">
        <v>201</v>
      </c>
      <c r="C88" s="55" t="s">
        <v>243</v>
      </c>
      <c r="D88" s="80">
        <v>2250</v>
      </c>
    </row>
    <row r="89" spans="2:4">
      <c r="B89" s="55" t="s">
        <v>202</v>
      </c>
      <c r="C89" s="55" t="s">
        <v>243</v>
      </c>
      <c r="D89" s="80">
        <v>5490</v>
      </c>
    </row>
    <row r="90" spans="2:4">
      <c r="B90" s="55" t="s">
        <v>203</v>
      </c>
      <c r="C90" s="55" t="s">
        <v>243</v>
      </c>
      <c r="D90" s="80">
        <v>5160</v>
      </c>
    </row>
    <row r="91" spans="2:4">
      <c r="B91" s="55" t="s">
        <v>204</v>
      </c>
      <c r="C91" s="55" t="s">
        <v>243</v>
      </c>
      <c r="D91" s="80">
        <v>429</v>
      </c>
    </row>
    <row r="92" spans="2:4">
      <c r="B92" s="55" t="s">
        <v>205</v>
      </c>
      <c r="C92" s="55" t="s">
        <v>243</v>
      </c>
      <c r="D92" s="80">
        <v>2030</v>
      </c>
    </row>
    <row r="93" spans="2:4">
      <c r="B93" s="55" t="s">
        <v>206</v>
      </c>
      <c r="C93" s="55" t="s">
        <v>243</v>
      </c>
      <c r="D93" s="80">
        <v>6350</v>
      </c>
    </row>
    <row r="94" spans="2:4">
      <c r="B94" s="55" t="s">
        <v>207</v>
      </c>
      <c r="C94" s="55" t="s">
        <v>243</v>
      </c>
      <c r="D94" s="80">
        <v>3830</v>
      </c>
    </row>
    <row r="95" spans="2:4">
      <c r="B95" s="55" t="s">
        <v>208</v>
      </c>
      <c r="C95" s="55" t="s">
        <v>243</v>
      </c>
      <c r="D95" s="80">
        <v>5890</v>
      </c>
    </row>
    <row r="96" spans="2:4">
      <c r="B96" s="55" t="s">
        <v>209</v>
      </c>
      <c r="C96" s="55" t="s">
        <v>243</v>
      </c>
      <c r="D96" s="80">
        <v>437</v>
      </c>
    </row>
    <row r="97" spans="2:4">
      <c r="B97" s="55" t="s">
        <v>210</v>
      </c>
      <c r="C97" s="55" t="s">
        <v>243</v>
      </c>
      <c r="D97" s="80">
        <v>5310</v>
      </c>
    </row>
    <row r="98" spans="2:4">
      <c r="B98" s="55" t="s">
        <v>211</v>
      </c>
      <c r="C98" s="55" t="s">
        <v>243</v>
      </c>
      <c r="D98" s="80">
        <v>12000</v>
      </c>
    </row>
    <row r="99" spans="2:4">
      <c r="B99" s="55" t="s">
        <v>212</v>
      </c>
      <c r="C99" s="55" t="s">
        <v>243</v>
      </c>
      <c r="D99" s="80">
        <v>8100</v>
      </c>
    </row>
    <row r="100" spans="2:4">
      <c r="B100" s="55" t="s">
        <v>213</v>
      </c>
      <c r="C100" s="55" t="s">
        <v>243</v>
      </c>
      <c r="D100" s="80">
        <v>3380</v>
      </c>
    </row>
    <row r="101" spans="2:4">
      <c r="B101" s="55" t="s">
        <v>214</v>
      </c>
      <c r="C101" s="55" t="s">
        <v>243</v>
      </c>
      <c r="D101" s="80">
        <v>2330</v>
      </c>
    </row>
    <row r="102" spans="2:4">
      <c r="B102" s="55" t="s">
        <v>215</v>
      </c>
      <c r="C102" s="55" t="s">
        <v>243</v>
      </c>
      <c r="D102" s="80">
        <v>2520</v>
      </c>
    </row>
    <row r="103" spans="2:4">
      <c r="B103" s="55" t="s">
        <v>216</v>
      </c>
      <c r="C103" s="55" t="s">
        <v>243</v>
      </c>
      <c r="D103" s="80">
        <v>4140</v>
      </c>
    </row>
    <row r="104" spans="2:4">
      <c r="B104" s="55" t="s">
        <v>217</v>
      </c>
      <c r="C104" s="55" t="s">
        <v>243</v>
      </c>
      <c r="D104" s="80">
        <v>5100</v>
      </c>
    </row>
    <row r="105" spans="2:4">
      <c r="B105" s="55" t="s">
        <v>218</v>
      </c>
      <c r="C105" s="55" t="s">
        <v>243</v>
      </c>
      <c r="D105" s="80">
        <v>1900</v>
      </c>
    </row>
    <row r="106" spans="2:4">
      <c r="B106" s="55" t="s">
        <v>219</v>
      </c>
      <c r="C106" s="55" t="s">
        <v>243</v>
      </c>
      <c r="D106" s="80">
        <v>386</v>
      </c>
    </row>
    <row r="107" spans="2:4">
      <c r="B107" s="55" t="s">
        <v>220</v>
      </c>
      <c r="C107" s="55" t="s">
        <v>243</v>
      </c>
      <c r="D107" s="80">
        <v>6320</v>
      </c>
    </row>
    <row r="108" spans="2:4">
      <c r="B108" s="55" t="s">
        <v>221</v>
      </c>
      <c r="C108" s="55" t="s">
        <v>243</v>
      </c>
      <c r="D108" s="80">
        <v>4750</v>
      </c>
    </row>
    <row r="109" spans="2:4">
      <c r="B109" s="55" t="s">
        <v>222</v>
      </c>
      <c r="C109" s="55" t="s">
        <v>243</v>
      </c>
      <c r="D109" s="80">
        <v>8480</v>
      </c>
    </row>
    <row r="110" spans="2:4">
      <c r="B110" s="55" t="s">
        <v>223</v>
      </c>
      <c r="C110" s="55" t="s">
        <v>243</v>
      </c>
      <c r="D110" s="80">
        <v>8630</v>
      </c>
    </row>
    <row r="111" spans="2:4">
      <c r="B111" s="55" t="s">
        <v>224</v>
      </c>
      <c r="C111" s="55" t="s">
        <v>243</v>
      </c>
      <c r="D111" s="80">
        <v>1230</v>
      </c>
    </row>
    <row r="112" spans="2:4">
      <c r="B112" s="55" t="s">
        <v>225</v>
      </c>
      <c r="C112" s="55" t="s">
        <v>243</v>
      </c>
      <c r="D112" s="80">
        <v>72</v>
      </c>
    </row>
    <row r="113" spans="2:4">
      <c r="B113" s="55" t="s">
        <v>226</v>
      </c>
      <c r="C113" s="55" t="s">
        <v>243</v>
      </c>
      <c r="D113" s="80">
        <v>13800</v>
      </c>
    </row>
    <row r="114" spans="2:4">
      <c r="B114" s="55" t="s">
        <v>227</v>
      </c>
      <c r="C114" s="55" t="s">
        <v>243</v>
      </c>
      <c r="D114" s="80">
        <v>8000</v>
      </c>
    </row>
    <row r="115" spans="2:4">
      <c r="B115" s="55" t="s">
        <v>228</v>
      </c>
      <c r="C115" s="55" t="s">
        <v>243</v>
      </c>
      <c r="D115" s="80">
        <v>12200</v>
      </c>
    </row>
    <row r="116" spans="2:4">
      <c r="B116" s="55" t="s">
        <v>229</v>
      </c>
      <c r="C116" s="55" t="s">
        <v>243</v>
      </c>
      <c r="D116" s="80">
        <v>2630</v>
      </c>
    </row>
    <row r="117" spans="2:4">
      <c r="B117" s="55" t="s">
        <v>230</v>
      </c>
      <c r="C117" s="55" t="s">
        <v>243</v>
      </c>
      <c r="D117" s="80">
        <v>17</v>
      </c>
    </row>
    <row r="118" spans="2:4">
      <c r="B118" s="55" t="s">
        <v>231</v>
      </c>
      <c r="C118" s="55" t="s">
        <v>243</v>
      </c>
      <c r="D118" s="80">
        <v>31</v>
      </c>
    </row>
    <row r="119" spans="2:4">
      <c r="B119" s="55" t="s">
        <v>232</v>
      </c>
      <c r="C119" s="55" t="s">
        <v>243</v>
      </c>
      <c r="D119" s="80">
        <v>12300</v>
      </c>
    </row>
    <row r="120" spans="2:4">
      <c r="B120" s="55" t="s">
        <v>233</v>
      </c>
      <c r="C120" s="55" t="s">
        <v>243</v>
      </c>
      <c r="D120" s="80">
        <v>289</v>
      </c>
    </row>
    <row r="121" spans="2:4">
      <c r="B121" s="55" t="s">
        <v>234</v>
      </c>
      <c r="C121" s="55" t="s">
        <v>243</v>
      </c>
      <c r="D121" s="80">
        <v>6330</v>
      </c>
    </row>
    <row r="122" spans="2:4">
      <c r="B122" s="55" t="s">
        <v>235</v>
      </c>
      <c r="C122" s="55" t="s">
        <v>243</v>
      </c>
      <c r="D122" s="80">
        <v>7310</v>
      </c>
    </row>
    <row r="123" spans="2:4">
      <c r="B123" s="55" t="s">
        <v>236</v>
      </c>
      <c r="C123" s="55" t="s">
        <v>243</v>
      </c>
      <c r="D123" s="80">
        <v>5500</v>
      </c>
    </row>
    <row r="124" spans="2:4">
      <c r="B124" s="55" t="s">
        <v>237</v>
      </c>
      <c r="C124" s="55" t="s">
        <v>243</v>
      </c>
      <c r="D124" s="80">
        <v>6600</v>
      </c>
    </row>
    <row r="125" spans="2:4">
      <c r="B125" s="55" t="s">
        <v>238</v>
      </c>
      <c r="C125" s="55" t="s">
        <v>243</v>
      </c>
      <c r="D125" s="80">
        <v>6510</v>
      </c>
    </row>
    <row r="126" spans="2:4">
      <c r="B126" s="55" t="s">
        <v>239</v>
      </c>
      <c r="C126" s="55" t="s">
        <v>243</v>
      </c>
      <c r="D126" s="80">
        <v>6310</v>
      </c>
    </row>
    <row r="127" spans="2:4">
      <c r="B127" s="55" t="s">
        <v>240</v>
      </c>
      <c r="C127" s="55" t="s">
        <v>243</v>
      </c>
      <c r="D127" s="80">
        <v>1980</v>
      </c>
    </row>
    <row r="128" spans="2:4">
      <c r="B128" s="55" t="s">
        <v>241</v>
      </c>
      <c r="C128" s="55" t="s">
        <v>243</v>
      </c>
      <c r="D128" s="80">
        <v>16300</v>
      </c>
    </row>
    <row r="129" spans="2:4">
      <c r="B129" s="55" t="s">
        <v>242</v>
      </c>
      <c r="C129" s="55" t="s">
        <v>243</v>
      </c>
      <c r="D129" s="80">
        <v>13200</v>
      </c>
    </row>
    <row r="130" spans="2:4">
      <c r="B130" s="55" t="s">
        <v>181</v>
      </c>
      <c r="C130" s="55" t="s">
        <v>244</v>
      </c>
      <c r="D130" s="80">
        <v>45</v>
      </c>
    </row>
    <row r="131" spans="2:4">
      <c r="B131" s="55" t="s">
        <v>182</v>
      </c>
      <c r="C131" s="55" t="s">
        <v>244</v>
      </c>
      <c r="D131" s="80">
        <v>109</v>
      </c>
    </row>
    <row r="132" spans="2:4">
      <c r="B132" s="55" t="s">
        <v>183</v>
      </c>
      <c r="C132" s="55" t="s">
        <v>244</v>
      </c>
      <c r="D132" s="80">
        <v>503</v>
      </c>
    </row>
    <row r="133" spans="2:4">
      <c r="B133" s="55" t="s">
        <v>184</v>
      </c>
      <c r="C133" s="55" t="s">
        <v>244</v>
      </c>
      <c r="D133" s="80">
        <v>90</v>
      </c>
    </row>
    <row r="134" spans="2:4">
      <c r="B134" s="55" t="s">
        <v>185</v>
      </c>
      <c r="C134" s="55" t="s">
        <v>244</v>
      </c>
      <c r="D134" s="80">
        <v>1620</v>
      </c>
    </row>
    <row r="135" spans="2:4">
      <c r="B135" s="55" t="s">
        <v>186</v>
      </c>
      <c r="C135" s="55" t="s">
        <v>244</v>
      </c>
      <c r="D135" s="80">
        <v>2700</v>
      </c>
    </row>
    <row r="136" spans="2:4">
      <c r="B136" s="55" t="s">
        <v>187</v>
      </c>
      <c r="C136" s="55" t="s">
        <v>244</v>
      </c>
      <c r="D136" s="80">
        <v>8730</v>
      </c>
    </row>
    <row r="137" spans="2:4">
      <c r="B137" s="55" t="s">
        <v>188</v>
      </c>
      <c r="C137" s="55" t="s">
        <v>244</v>
      </c>
      <c r="D137" s="80">
        <v>9990</v>
      </c>
    </row>
    <row r="138" spans="2:4">
      <c r="B138" s="55" t="s">
        <v>189</v>
      </c>
      <c r="C138" s="55" t="s">
        <v>244</v>
      </c>
      <c r="D138" s="80">
        <v>5200</v>
      </c>
    </row>
    <row r="139" spans="2:4">
      <c r="B139" s="55" t="s">
        <v>190</v>
      </c>
      <c r="C139" s="55" t="s">
        <v>244</v>
      </c>
      <c r="D139" s="80">
        <v>16400</v>
      </c>
    </row>
    <row r="140" spans="2:4">
      <c r="B140" s="55" t="s">
        <v>191</v>
      </c>
      <c r="C140" s="55" t="s">
        <v>244</v>
      </c>
      <c r="D140" s="80">
        <v>1</v>
      </c>
    </row>
    <row r="141" spans="2:4">
      <c r="B141" s="55" t="s">
        <v>192</v>
      </c>
      <c r="C141" s="55" t="s">
        <v>244</v>
      </c>
      <c r="D141" s="80">
        <v>435</v>
      </c>
    </row>
    <row r="142" spans="2:4">
      <c r="B142" s="55" t="s">
        <v>193</v>
      </c>
      <c r="C142" s="55" t="s">
        <v>244</v>
      </c>
      <c r="D142" s="80">
        <v>11200</v>
      </c>
    </row>
    <row r="143" spans="2:4">
      <c r="B143" s="55" t="s">
        <v>194</v>
      </c>
      <c r="C143" s="55" t="s">
        <v>244</v>
      </c>
      <c r="D143" s="80">
        <v>4</v>
      </c>
    </row>
    <row r="144" spans="2:4">
      <c r="B144" s="55" t="s">
        <v>195</v>
      </c>
      <c r="C144" s="55" t="s">
        <v>244</v>
      </c>
      <c r="D144" s="80">
        <v>1</v>
      </c>
    </row>
    <row r="145" spans="2:4">
      <c r="B145" s="55" t="s">
        <v>196</v>
      </c>
      <c r="C145" s="55" t="s">
        <v>244</v>
      </c>
      <c r="D145" s="80">
        <v>215</v>
      </c>
    </row>
    <row r="146" spans="2:4">
      <c r="B146" s="55" t="s">
        <v>197</v>
      </c>
      <c r="C146" s="55" t="s">
        <v>244</v>
      </c>
      <c r="D146" s="80">
        <v>200</v>
      </c>
    </row>
    <row r="147" spans="2:4">
      <c r="B147" s="55" t="s">
        <v>198</v>
      </c>
      <c r="C147" s="55" t="s">
        <v>244</v>
      </c>
      <c r="D147" s="80">
        <v>18</v>
      </c>
    </row>
    <row r="148" spans="2:4">
      <c r="B148" s="55" t="s">
        <v>199</v>
      </c>
      <c r="C148" s="55" t="s">
        <v>244</v>
      </c>
      <c r="D148" s="80">
        <v>24</v>
      </c>
    </row>
    <row r="149" spans="2:4">
      <c r="B149" s="55" t="s">
        <v>200</v>
      </c>
      <c r="C149" s="55" t="s">
        <v>244</v>
      </c>
      <c r="D149" s="80">
        <v>185</v>
      </c>
    </row>
    <row r="150" spans="2:4">
      <c r="B150" s="55" t="s">
        <v>201</v>
      </c>
      <c r="C150" s="55" t="s">
        <v>244</v>
      </c>
      <c r="D150" s="80">
        <v>220</v>
      </c>
    </row>
    <row r="151" spans="2:4">
      <c r="B151" s="55" t="s">
        <v>202</v>
      </c>
      <c r="C151" s="55" t="s">
        <v>244</v>
      </c>
      <c r="D151" s="80">
        <v>705</v>
      </c>
    </row>
    <row r="152" spans="2:4">
      <c r="B152" s="55" t="s">
        <v>203</v>
      </c>
      <c r="C152" s="55" t="s">
        <v>244</v>
      </c>
      <c r="D152" s="80">
        <v>549</v>
      </c>
    </row>
    <row r="153" spans="2:4">
      <c r="B153" s="55" t="s">
        <v>204</v>
      </c>
      <c r="C153" s="55" t="s">
        <v>244</v>
      </c>
      <c r="D153" s="80">
        <v>37</v>
      </c>
    </row>
    <row r="154" spans="2:4">
      <c r="B154" s="55" t="s">
        <v>205</v>
      </c>
      <c r="C154" s="55" t="s">
        <v>244</v>
      </c>
      <c r="D154" s="80">
        <v>181</v>
      </c>
    </row>
    <row r="155" spans="2:4">
      <c r="B155" s="55" t="s">
        <v>206</v>
      </c>
      <c r="C155" s="55" t="s">
        <v>244</v>
      </c>
      <c r="D155" s="80">
        <v>1100</v>
      </c>
    </row>
    <row r="156" spans="2:4">
      <c r="B156" s="55" t="s">
        <v>207</v>
      </c>
      <c r="C156" s="55" t="s">
        <v>244</v>
      </c>
      <c r="D156" s="80">
        <v>435</v>
      </c>
    </row>
    <row r="157" spans="2:4">
      <c r="B157" s="55" t="s">
        <v>208</v>
      </c>
      <c r="C157" s="55" t="s">
        <v>244</v>
      </c>
      <c r="D157" s="80">
        <v>1590</v>
      </c>
    </row>
    <row r="158" spans="2:4">
      <c r="B158" s="55" t="s">
        <v>209</v>
      </c>
      <c r="C158" s="55" t="s">
        <v>244</v>
      </c>
      <c r="D158" s="80">
        <v>38</v>
      </c>
    </row>
    <row r="159" spans="2:4">
      <c r="B159" s="55" t="s">
        <v>210</v>
      </c>
      <c r="C159" s="55" t="s">
        <v>244</v>
      </c>
      <c r="D159" s="80">
        <v>1040</v>
      </c>
    </row>
    <row r="160" spans="2:4">
      <c r="B160" s="55" t="s">
        <v>211</v>
      </c>
      <c r="C160" s="55" t="s">
        <v>244</v>
      </c>
      <c r="D160" s="80">
        <v>12200</v>
      </c>
    </row>
    <row r="161" spans="2:4">
      <c r="B161" s="55" t="s">
        <v>212</v>
      </c>
      <c r="C161" s="55" t="s">
        <v>244</v>
      </c>
      <c r="D161" s="80">
        <v>7660</v>
      </c>
    </row>
    <row r="162" spans="2:4">
      <c r="B162" s="55" t="s">
        <v>213</v>
      </c>
      <c r="C162" s="55" t="s">
        <v>244</v>
      </c>
      <c r="D162" s="80">
        <v>314</v>
      </c>
    </row>
    <row r="163" spans="2:4">
      <c r="B163" s="55" t="s">
        <v>214</v>
      </c>
      <c r="C163" s="55" t="s">
        <v>244</v>
      </c>
      <c r="D163" s="80">
        <v>205</v>
      </c>
    </row>
    <row r="164" spans="2:4">
      <c r="B164" s="55" t="s">
        <v>215</v>
      </c>
      <c r="C164" s="55" t="s">
        <v>244</v>
      </c>
      <c r="D164" s="80">
        <v>241</v>
      </c>
    </row>
    <row r="165" spans="2:4">
      <c r="B165" s="55" t="s">
        <v>216</v>
      </c>
      <c r="C165" s="55" t="s">
        <v>244</v>
      </c>
      <c r="D165" s="80">
        <v>500</v>
      </c>
    </row>
    <row r="166" spans="2:4">
      <c r="B166" s="55" t="s">
        <v>217</v>
      </c>
      <c r="C166" s="55" t="s">
        <v>244</v>
      </c>
      <c r="D166" s="80">
        <v>460</v>
      </c>
    </row>
    <row r="167" spans="2:4">
      <c r="B167" s="55" t="s">
        <v>218</v>
      </c>
      <c r="C167" s="55" t="s">
        <v>244</v>
      </c>
      <c r="D167" s="80">
        <v>175</v>
      </c>
    </row>
    <row r="168" spans="2:4">
      <c r="B168" s="55" t="s">
        <v>219</v>
      </c>
      <c r="C168" s="55" t="s">
        <v>244</v>
      </c>
      <c r="D168" s="80">
        <v>33</v>
      </c>
    </row>
    <row r="169" spans="2:4">
      <c r="B169" s="55" t="s">
        <v>220</v>
      </c>
      <c r="C169" s="55" t="s">
        <v>244</v>
      </c>
      <c r="D169" s="80">
        <v>569</v>
      </c>
    </row>
    <row r="170" spans="2:4">
      <c r="B170" s="55" t="s">
        <v>221</v>
      </c>
      <c r="C170" s="55" t="s">
        <v>244</v>
      </c>
      <c r="D170" s="80">
        <v>575</v>
      </c>
    </row>
    <row r="171" spans="2:4">
      <c r="B171" s="55" t="s">
        <v>222</v>
      </c>
      <c r="C171" s="55" t="s">
        <v>244</v>
      </c>
      <c r="D171" s="80">
        <v>2760</v>
      </c>
    </row>
    <row r="172" spans="2:4">
      <c r="B172" s="55" t="s">
        <v>223</v>
      </c>
      <c r="C172" s="55" t="s">
        <v>244</v>
      </c>
      <c r="D172" s="80">
        <v>18200</v>
      </c>
    </row>
    <row r="173" spans="2:4">
      <c r="B173" s="55" t="s">
        <v>224</v>
      </c>
      <c r="C173" s="55" t="s">
        <v>244</v>
      </c>
      <c r="D173" s="80">
        <v>106</v>
      </c>
    </row>
    <row r="174" spans="2:4">
      <c r="B174" s="55" t="s">
        <v>225</v>
      </c>
      <c r="C174" s="55" t="s">
        <v>244</v>
      </c>
      <c r="D174" s="80">
        <v>7.6</v>
      </c>
    </row>
    <row r="175" spans="2:4">
      <c r="B175" s="55" t="s">
        <v>226</v>
      </c>
      <c r="C175" s="55" t="s">
        <v>244</v>
      </c>
      <c r="D175" s="80">
        <v>8490</v>
      </c>
    </row>
    <row r="176" spans="2:4">
      <c r="B176" s="55" t="s">
        <v>227</v>
      </c>
      <c r="C176" s="55" t="s">
        <v>244</v>
      </c>
      <c r="D176" s="80">
        <v>860</v>
      </c>
    </row>
    <row r="177" spans="2:4">
      <c r="B177" s="55" t="s">
        <v>228</v>
      </c>
      <c r="C177" s="55" t="s">
        <v>244</v>
      </c>
      <c r="D177" s="80">
        <v>1960</v>
      </c>
    </row>
    <row r="178" spans="2:4">
      <c r="B178" s="55" t="s">
        <v>229</v>
      </c>
      <c r="C178" s="55" t="s">
        <v>244</v>
      </c>
      <c r="D178" s="80">
        <v>230</v>
      </c>
    </row>
    <row r="179" spans="2:4">
      <c r="B179" s="55" t="s">
        <v>230</v>
      </c>
      <c r="C179" s="55" t="s">
        <v>244</v>
      </c>
      <c r="D179" s="80">
        <v>1</v>
      </c>
    </row>
    <row r="180" spans="2:4">
      <c r="B180" s="55" t="s">
        <v>231</v>
      </c>
      <c r="C180" s="55" t="s">
        <v>244</v>
      </c>
      <c r="D180" s="80">
        <v>2.7</v>
      </c>
    </row>
    <row r="181" spans="2:4">
      <c r="B181" s="55" t="s">
        <v>232</v>
      </c>
      <c r="C181" s="55" t="s">
        <v>244</v>
      </c>
      <c r="D181" s="80">
        <v>20700</v>
      </c>
    </row>
    <row r="182" spans="2:4">
      <c r="B182" s="55" t="s">
        <v>233</v>
      </c>
      <c r="C182" s="55" t="s">
        <v>244</v>
      </c>
      <c r="D182" s="80">
        <v>153</v>
      </c>
    </row>
    <row r="183" spans="2:4">
      <c r="B183" s="55" t="s">
        <v>234</v>
      </c>
      <c r="C183" s="55" t="s">
        <v>244</v>
      </c>
      <c r="D183" s="80">
        <v>12500</v>
      </c>
    </row>
    <row r="184" spans="2:4">
      <c r="B184" s="55" t="s">
        <v>235</v>
      </c>
      <c r="C184" s="55" t="s">
        <v>244</v>
      </c>
      <c r="D184" s="80">
        <v>14700</v>
      </c>
    </row>
    <row r="185" spans="2:4">
      <c r="B185" s="55" t="s">
        <v>236</v>
      </c>
      <c r="C185" s="55" t="s">
        <v>244</v>
      </c>
      <c r="D185" s="80">
        <v>9500</v>
      </c>
    </row>
    <row r="186" spans="2:4">
      <c r="B186" s="55" t="s">
        <v>237</v>
      </c>
      <c r="C186" s="55" t="s">
        <v>244</v>
      </c>
      <c r="D186" s="80">
        <v>13300</v>
      </c>
    </row>
    <row r="187" spans="2:4">
      <c r="B187" s="55" t="s">
        <v>238</v>
      </c>
      <c r="C187" s="55" t="s">
        <v>244</v>
      </c>
      <c r="D187" s="80">
        <v>13300</v>
      </c>
    </row>
    <row r="188" spans="2:4">
      <c r="B188" s="55" t="s">
        <v>239</v>
      </c>
      <c r="C188" s="55" t="s">
        <v>244</v>
      </c>
      <c r="D188" s="80">
        <v>12500</v>
      </c>
    </row>
    <row r="189" spans="2:4">
      <c r="B189" s="55" t="s">
        <v>240</v>
      </c>
      <c r="C189" s="55" t="s">
        <v>244</v>
      </c>
      <c r="D189" s="80">
        <v>175</v>
      </c>
    </row>
    <row r="190" spans="2:4">
      <c r="B190" s="55" t="s">
        <v>241</v>
      </c>
      <c r="C190" s="55" t="s">
        <v>244</v>
      </c>
      <c r="D190" s="80">
        <v>32600</v>
      </c>
    </row>
    <row r="191" spans="2:4">
      <c r="B191" s="55" t="s">
        <v>242</v>
      </c>
      <c r="C191" s="55" t="s">
        <v>244</v>
      </c>
      <c r="D191" s="80">
        <v>21200</v>
      </c>
    </row>
    <row r="192" spans="2:4">
      <c r="B192" s="55" t="s">
        <v>246</v>
      </c>
      <c r="C192" s="55" t="s">
        <v>245</v>
      </c>
      <c r="D192" s="80">
        <v>1</v>
      </c>
    </row>
    <row r="193" spans="2:4">
      <c r="B193" s="55" t="s">
        <v>247</v>
      </c>
      <c r="C193" s="55" t="s">
        <v>245</v>
      </c>
      <c r="D193" s="80">
        <v>2</v>
      </c>
    </row>
    <row r="194" spans="2:4">
      <c r="B194" s="55" t="s">
        <v>248</v>
      </c>
      <c r="C194" s="55" t="s">
        <v>245</v>
      </c>
      <c r="D194" s="80">
        <v>182</v>
      </c>
    </row>
    <row r="195" spans="2:4">
      <c r="B195" s="55" t="s">
        <v>249</v>
      </c>
      <c r="C195" s="55" t="s">
        <v>245</v>
      </c>
      <c r="D195" s="80">
        <v>333</v>
      </c>
    </row>
    <row r="196" spans="2:4">
      <c r="B196" s="55" t="s">
        <v>181</v>
      </c>
      <c r="C196" s="55" t="s">
        <v>245</v>
      </c>
      <c r="D196" s="80">
        <v>160</v>
      </c>
    </row>
    <row r="197" spans="2:4">
      <c r="B197" s="55" t="s">
        <v>182</v>
      </c>
      <c r="C197" s="55" t="s">
        <v>245</v>
      </c>
      <c r="D197" s="80">
        <v>301</v>
      </c>
    </row>
    <row r="198" spans="2:4">
      <c r="B198" s="55" t="s">
        <v>250</v>
      </c>
      <c r="C198" s="55" t="s">
        <v>245</v>
      </c>
      <c r="D198" s="80">
        <v>1</v>
      </c>
    </row>
    <row r="199" spans="2:4">
      <c r="B199" s="55" t="s">
        <v>251</v>
      </c>
      <c r="C199" s="55" t="s">
        <v>245</v>
      </c>
      <c r="D199" s="80">
        <v>1240</v>
      </c>
    </row>
    <row r="200" spans="2:4">
      <c r="B200" s="55" t="s">
        <v>252</v>
      </c>
      <c r="C200" s="55" t="s">
        <v>245</v>
      </c>
      <c r="D200" s="80">
        <v>3630</v>
      </c>
    </row>
    <row r="201" spans="2:4">
      <c r="B201" s="55" t="s">
        <v>253</v>
      </c>
      <c r="C201" s="55" t="s">
        <v>245</v>
      </c>
      <c r="D201" s="80">
        <v>31</v>
      </c>
    </row>
    <row r="202" spans="2:4">
      <c r="B202" s="55" t="s">
        <v>254</v>
      </c>
      <c r="C202" s="55" t="s">
        <v>245</v>
      </c>
      <c r="D202" s="80">
        <v>27</v>
      </c>
    </row>
    <row r="203" spans="2:4">
      <c r="B203" s="55" t="s">
        <v>255</v>
      </c>
      <c r="C203" s="55" t="s">
        <v>245</v>
      </c>
      <c r="D203" s="80">
        <v>470</v>
      </c>
    </row>
    <row r="204" spans="2:4">
      <c r="B204" s="55" t="s">
        <v>183</v>
      </c>
      <c r="C204" s="55" t="s">
        <v>245</v>
      </c>
      <c r="D204" s="80">
        <v>1470</v>
      </c>
    </row>
    <row r="205" spans="2:4">
      <c r="B205" s="55" t="s">
        <v>256</v>
      </c>
      <c r="C205" s="55" t="s">
        <v>245</v>
      </c>
      <c r="D205" s="80">
        <v>1</v>
      </c>
    </row>
    <row r="206" spans="2:4">
      <c r="B206" s="55" t="s">
        <v>257</v>
      </c>
      <c r="C206" s="55" t="s">
        <v>245</v>
      </c>
      <c r="D206" s="80">
        <v>34</v>
      </c>
    </row>
    <row r="207" spans="2:4">
      <c r="B207" s="55" t="s">
        <v>257</v>
      </c>
      <c r="C207" s="55" t="s">
        <v>245</v>
      </c>
      <c r="D207" s="80">
        <v>16</v>
      </c>
    </row>
    <row r="208" spans="2:4">
      <c r="B208" s="55" t="s">
        <v>258</v>
      </c>
      <c r="C208" s="55" t="s">
        <v>245</v>
      </c>
      <c r="D208" s="80">
        <v>61</v>
      </c>
    </row>
    <row r="209" spans="2:4">
      <c r="B209" s="55" t="s">
        <v>259</v>
      </c>
      <c r="C209" s="55" t="s">
        <v>245</v>
      </c>
      <c r="D209" s="80">
        <v>23</v>
      </c>
    </row>
    <row r="210" spans="2:4">
      <c r="B210" s="55" t="s">
        <v>260</v>
      </c>
      <c r="C210" s="55" t="s">
        <v>245</v>
      </c>
      <c r="D210" s="80">
        <v>1</v>
      </c>
    </row>
    <row r="211" spans="2:4">
      <c r="B211" s="55" t="s">
        <v>261</v>
      </c>
      <c r="C211" s="55" t="s">
        <v>245</v>
      </c>
      <c r="D211" s="80">
        <v>1</v>
      </c>
    </row>
    <row r="212" spans="2:4">
      <c r="B212" s="55" t="s">
        <v>262</v>
      </c>
      <c r="C212" s="55" t="s">
        <v>245</v>
      </c>
      <c r="D212" s="80">
        <v>19</v>
      </c>
    </row>
    <row r="213" spans="2:4">
      <c r="B213" s="55" t="s">
        <v>263</v>
      </c>
      <c r="C213" s="55" t="s">
        <v>245</v>
      </c>
      <c r="D213" s="80">
        <v>13</v>
      </c>
    </row>
    <row r="214" spans="2:4">
      <c r="B214" s="55" t="s">
        <v>264</v>
      </c>
      <c r="C214" s="55" t="s">
        <v>245</v>
      </c>
      <c r="D214" s="80">
        <v>1</v>
      </c>
    </row>
    <row r="215" spans="2:4">
      <c r="B215" s="55" t="s">
        <v>265</v>
      </c>
      <c r="C215" s="55" t="s">
        <v>245</v>
      </c>
      <c r="D215" s="80">
        <v>1</v>
      </c>
    </row>
    <row r="216" spans="2:4">
      <c r="B216" s="55" t="s">
        <v>266</v>
      </c>
      <c r="C216" s="55" t="s">
        <v>245</v>
      </c>
      <c r="D216" s="80">
        <v>1</v>
      </c>
    </row>
    <row r="217" spans="2:4">
      <c r="B217" s="55" t="s">
        <v>267</v>
      </c>
      <c r="C217" s="55" t="s">
        <v>245</v>
      </c>
      <c r="D217" s="80">
        <v>1</v>
      </c>
    </row>
    <row r="218" spans="2:4">
      <c r="B218" s="55" t="s">
        <v>268</v>
      </c>
      <c r="C218" s="55" t="s">
        <v>245</v>
      </c>
      <c r="D218" s="80">
        <v>17</v>
      </c>
    </row>
    <row r="219" spans="2:4">
      <c r="B219" s="55" t="s">
        <v>269</v>
      </c>
      <c r="C219" s="55" t="s">
        <v>245</v>
      </c>
      <c r="D219" s="80">
        <v>2640</v>
      </c>
    </row>
    <row r="220" spans="2:4">
      <c r="B220" s="55" t="s">
        <v>270</v>
      </c>
      <c r="C220" s="55" t="s">
        <v>245</v>
      </c>
      <c r="D220" s="80">
        <v>20</v>
      </c>
    </row>
    <row r="221" spans="2:4">
      <c r="B221" s="55" t="s">
        <v>271</v>
      </c>
      <c r="C221" s="55" t="s">
        <v>245</v>
      </c>
      <c r="D221" s="80">
        <v>7</v>
      </c>
    </row>
    <row r="222" spans="2:4">
      <c r="B222" s="55" t="s">
        <v>272</v>
      </c>
      <c r="C222" s="55" t="s">
        <v>245</v>
      </c>
      <c r="D222" s="80">
        <v>33</v>
      </c>
    </row>
    <row r="223" spans="2:4">
      <c r="B223" s="55" t="s">
        <v>273</v>
      </c>
      <c r="C223" s="55" t="s">
        <v>245</v>
      </c>
      <c r="D223" s="80">
        <v>979</v>
      </c>
    </row>
    <row r="224" spans="2:4">
      <c r="B224" s="55" t="s">
        <v>274</v>
      </c>
      <c r="C224" s="55" t="s">
        <v>245</v>
      </c>
      <c r="D224" s="80">
        <v>3</v>
      </c>
    </row>
    <row r="225" spans="2:4">
      <c r="B225" s="55" t="s">
        <v>275</v>
      </c>
      <c r="C225" s="55" t="s">
        <v>245</v>
      </c>
      <c r="D225" s="80">
        <v>184</v>
      </c>
    </row>
    <row r="226" spans="2:4">
      <c r="B226" s="55" t="s">
        <v>276</v>
      </c>
      <c r="C226" s="55" t="s">
        <v>245</v>
      </c>
      <c r="D226" s="80">
        <v>173</v>
      </c>
    </row>
    <row r="227" spans="2:4">
      <c r="B227" s="55" t="s">
        <v>277</v>
      </c>
      <c r="C227" s="55" t="s">
        <v>245</v>
      </c>
      <c r="D227" s="80">
        <v>122</v>
      </c>
    </row>
    <row r="228" spans="2:4">
      <c r="B228" s="55" t="s">
        <v>278</v>
      </c>
      <c r="C228" s="55" t="s">
        <v>245</v>
      </c>
      <c r="D228" s="80">
        <v>56</v>
      </c>
    </row>
    <row r="229" spans="2:4">
      <c r="B229" s="55" t="s">
        <v>279</v>
      </c>
      <c r="C229" s="55" t="s">
        <v>245</v>
      </c>
      <c r="D229" s="80">
        <v>1</v>
      </c>
    </row>
    <row r="230" spans="2:4">
      <c r="B230" s="55" t="s">
        <v>280</v>
      </c>
      <c r="C230" s="55" t="s">
        <v>245</v>
      </c>
      <c r="D230" s="80">
        <v>1</v>
      </c>
    </row>
    <row r="231" spans="2:4">
      <c r="B231" s="55" t="s">
        <v>281</v>
      </c>
      <c r="C231" s="55" t="s">
        <v>245</v>
      </c>
      <c r="D231" s="80">
        <v>1</v>
      </c>
    </row>
    <row r="232" spans="2:4">
      <c r="B232" s="55" t="s">
        <v>282</v>
      </c>
      <c r="C232" s="55" t="s">
        <v>245</v>
      </c>
      <c r="D232" s="80">
        <v>17</v>
      </c>
    </row>
    <row r="233" spans="2:4">
      <c r="B233" s="55" t="s">
        <v>283</v>
      </c>
      <c r="C233" s="55" t="s">
        <v>245</v>
      </c>
      <c r="D233" s="80">
        <v>1</v>
      </c>
    </row>
    <row r="234" spans="2:4">
      <c r="B234" s="55" t="s">
        <v>284</v>
      </c>
      <c r="C234" s="55" t="s">
        <v>245</v>
      </c>
      <c r="D234" s="80">
        <v>1</v>
      </c>
    </row>
    <row r="235" spans="2:4">
      <c r="B235" s="55" t="s">
        <v>285</v>
      </c>
      <c r="C235" s="55" t="s">
        <v>245</v>
      </c>
      <c r="D235" s="80">
        <v>1</v>
      </c>
    </row>
    <row r="236" spans="2:4">
      <c r="B236" s="55" t="s">
        <v>286</v>
      </c>
      <c r="C236" s="55" t="s">
        <v>245</v>
      </c>
      <c r="D236" s="80">
        <v>1</v>
      </c>
    </row>
    <row r="237" spans="2:4">
      <c r="B237" s="55" t="s">
        <v>287</v>
      </c>
      <c r="C237" s="55" t="s">
        <v>245</v>
      </c>
      <c r="D237" s="80">
        <v>1</v>
      </c>
    </row>
    <row r="238" spans="2:4">
      <c r="B238" s="55" t="s">
        <v>288</v>
      </c>
      <c r="C238" s="55" t="s">
        <v>245</v>
      </c>
      <c r="D238" s="80">
        <v>52</v>
      </c>
    </row>
    <row r="239" spans="2:4">
      <c r="B239" s="55" t="s">
        <v>289</v>
      </c>
      <c r="C239" s="55" t="s">
        <v>245</v>
      </c>
      <c r="D239" s="80">
        <v>376</v>
      </c>
    </row>
    <row r="240" spans="2:4">
      <c r="B240" s="55" t="s">
        <v>184</v>
      </c>
      <c r="C240" s="55" t="s">
        <v>245</v>
      </c>
      <c r="D240" s="80">
        <v>421</v>
      </c>
    </row>
    <row r="241" spans="2:4">
      <c r="B241" s="55" t="s">
        <v>185</v>
      </c>
      <c r="C241" s="55" t="s">
        <v>245</v>
      </c>
      <c r="D241" s="80">
        <v>4660</v>
      </c>
    </row>
    <row r="242" spans="2:4">
      <c r="B242" s="55" t="s">
        <v>186</v>
      </c>
      <c r="C242" s="55" t="s">
        <v>245</v>
      </c>
      <c r="D242" s="80">
        <v>5820</v>
      </c>
    </row>
    <row r="243" spans="2:4">
      <c r="B243" s="55" t="s">
        <v>187</v>
      </c>
      <c r="C243" s="55" t="s">
        <v>245</v>
      </c>
      <c r="D243" s="80">
        <v>8590</v>
      </c>
    </row>
    <row r="244" spans="2:4">
      <c r="B244" s="55" t="s">
        <v>188</v>
      </c>
      <c r="C244" s="55" t="s">
        <v>245</v>
      </c>
      <c r="D244" s="80">
        <v>7670</v>
      </c>
    </row>
    <row r="245" spans="2:4">
      <c r="B245" s="55" t="s">
        <v>189</v>
      </c>
      <c r="C245" s="55" t="s">
        <v>245</v>
      </c>
      <c r="D245" s="80">
        <v>10200</v>
      </c>
    </row>
    <row r="246" spans="2:4">
      <c r="B246" s="55" t="s">
        <v>190</v>
      </c>
      <c r="C246" s="55" t="s">
        <v>245</v>
      </c>
      <c r="D246" s="80">
        <v>13900</v>
      </c>
    </row>
    <row r="247" spans="2:4">
      <c r="B247" s="55" t="s">
        <v>191</v>
      </c>
      <c r="C247" s="55" t="s">
        <v>245</v>
      </c>
      <c r="D247" s="80">
        <v>1</v>
      </c>
    </row>
    <row r="248" spans="2:4">
      <c r="B248" s="55" t="s">
        <v>192</v>
      </c>
      <c r="C248" s="55" t="s">
        <v>245</v>
      </c>
      <c r="D248" s="80">
        <v>1730</v>
      </c>
    </row>
    <row r="249" spans="2:4">
      <c r="B249" s="55" t="s">
        <v>193</v>
      </c>
      <c r="C249" s="55" t="s">
        <v>245</v>
      </c>
      <c r="D249" s="80">
        <v>6630</v>
      </c>
    </row>
    <row r="250" spans="2:4">
      <c r="B250" s="55" t="s">
        <v>290</v>
      </c>
      <c r="C250" s="55" t="s">
        <v>245</v>
      </c>
      <c r="D250" s="80">
        <v>0</v>
      </c>
    </row>
    <row r="251" spans="2:4">
      <c r="B251" s="55" t="s">
        <v>291</v>
      </c>
      <c r="C251" s="55" t="s">
        <v>245</v>
      </c>
      <c r="D251" s="80">
        <v>16</v>
      </c>
    </row>
    <row r="252" spans="2:4">
      <c r="B252" s="55" t="s">
        <v>194</v>
      </c>
      <c r="C252" s="55" t="s">
        <v>245</v>
      </c>
      <c r="D252" s="80">
        <v>12</v>
      </c>
    </row>
    <row r="253" spans="2:4">
      <c r="B253" s="55" t="s">
        <v>292</v>
      </c>
      <c r="C253" s="55" t="s">
        <v>245</v>
      </c>
      <c r="D253" s="80">
        <v>231</v>
      </c>
    </row>
    <row r="254" spans="2:4">
      <c r="B254" s="55" t="s">
        <v>293</v>
      </c>
      <c r="C254" s="55" t="s">
        <v>245</v>
      </c>
      <c r="D254" s="80">
        <v>1</v>
      </c>
    </row>
    <row r="255" spans="2:4">
      <c r="B255" s="55" t="s">
        <v>294</v>
      </c>
      <c r="C255" s="55" t="s">
        <v>245</v>
      </c>
      <c r="D255" s="80">
        <v>751</v>
      </c>
    </row>
    <row r="256" spans="2:4">
      <c r="B256" s="55" t="s">
        <v>295</v>
      </c>
      <c r="C256" s="55" t="s">
        <v>245</v>
      </c>
      <c r="D256" s="80">
        <v>144</v>
      </c>
    </row>
    <row r="257" spans="2:4">
      <c r="B257" s="55" t="s">
        <v>296</v>
      </c>
      <c r="C257" s="55" t="s">
        <v>245</v>
      </c>
      <c r="D257" s="80">
        <v>27</v>
      </c>
    </row>
    <row r="258" spans="2:4">
      <c r="B258" s="55" t="s">
        <v>297</v>
      </c>
      <c r="C258" s="55" t="s">
        <v>245</v>
      </c>
      <c r="D258" s="80">
        <v>144</v>
      </c>
    </row>
    <row r="259" spans="2:4">
      <c r="B259" s="55" t="s">
        <v>298</v>
      </c>
      <c r="C259" s="55" t="s">
        <v>245</v>
      </c>
      <c r="D259" s="80">
        <v>583</v>
      </c>
    </row>
    <row r="260" spans="2:4">
      <c r="B260" s="55" t="s">
        <v>299</v>
      </c>
      <c r="C260" s="55" t="s">
        <v>245</v>
      </c>
      <c r="D260" s="80">
        <v>29</v>
      </c>
    </row>
    <row r="261" spans="2:4">
      <c r="B261" s="55" t="s">
        <v>196</v>
      </c>
      <c r="C261" s="55" t="s">
        <v>245</v>
      </c>
      <c r="D261" s="80">
        <v>654</v>
      </c>
    </row>
    <row r="262" spans="2:4">
      <c r="B262" s="55" t="s">
        <v>300</v>
      </c>
      <c r="C262" s="55" t="s">
        <v>245</v>
      </c>
      <c r="D262" s="80">
        <v>6450</v>
      </c>
    </row>
    <row r="263" spans="2:4">
      <c r="B263" s="55" t="s">
        <v>301</v>
      </c>
      <c r="C263" s="55" t="s">
        <v>245</v>
      </c>
      <c r="D263" s="80">
        <v>1</v>
      </c>
    </row>
    <row r="264" spans="2:4">
      <c r="B264" s="55" t="s">
        <v>302</v>
      </c>
      <c r="C264" s="55" t="s">
        <v>245</v>
      </c>
      <c r="D264" s="80">
        <v>871</v>
      </c>
    </row>
    <row r="265" spans="2:4">
      <c r="B265" s="55" t="s">
        <v>303</v>
      </c>
      <c r="C265" s="55" t="s">
        <v>245</v>
      </c>
      <c r="D265" s="80">
        <v>338</v>
      </c>
    </row>
    <row r="266" spans="2:4">
      <c r="B266" s="55" t="s">
        <v>304</v>
      </c>
      <c r="C266" s="55" t="s">
        <v>245</v>
      </c>
      <c r="D266" s="80">
        <v>828</v>
      </c>
    </row>
    <row r="267" spans="2:4">
      <c r="B267" s="55" t="s">
        <v>305</v>
      </c>
      <c r="C267" s="55" t="s">
        <v>245</v>
      </c>
      <c r="D267" s="80">
        <v>4240</v>
      </c>
    </row>
    <row r="268" spans="2:4">
      <c r="B268" s="55" t="s">
        <v>306</v>
      </c>
      <c r="C268" s="55" t="s">
        <v>245</v>
      </c>
      <c r="D268" s="80">
        <v>627</v>
      </c>
    </row>
    <row r="269" spans="2:4">
      <c r="B269" s="55" t="s">
        <v>307</v>
      </c>
      <c r="C269" s="55" t="s">
        <v>245</v>
      </c>
      <c r="D269" s="80">
        <v>1790</v>
      </c>
    </row>
    <row r="270" spans="2:4">
      <c r="B270" s="55" t="s">
        <v>197</v>
      </c>
      <c r="C270" s="55" t="s">
        <v>245</v>
      </c>
      <c r="D270" s="80">
        <v>812</v>
      </c>
    </row>
    <row r="271" spans="2:4">
      <c r="B271" s="55" t="s">
        <v>308</v>
      </c>
      <c r="C271" s="55" t="s">
        <v>245</v>
      </c>
      <c r="D271" s="80">
        <v>1</v>
      </c>
    </row>
    <row r="272" spans="2:4">
      <c r="B272" s="55" t="s">
        <v>198</v>
      </c>
      <c r="C272" s="55" t="s">
        <v>245</v>
      </c>
      <c r="D272" s="80">
        <v>57</v>
      </c>
    </row>
    <row r="273" spans="2:4">
      <c r="B273" s="55" t="s">
        <v>309</v>
      </c>
      <c r="C273" s="55" t="s">
        <v>245</v>
      </c>
      <c r="D273" s="80">
        <v>1</v>
      </c>
    </row>
    <row r="274" spans="2:4">
      <c r="B274" s="55" t="s">
        <v>310</v>
      </c>
      <c r="C274" s="55" t="s">
        <v>245</v>
      </c>
      <c r="D274" s="80">
        <v>617</v>
      </c>
    </row>
    <row r="275" spans="2:4">
      <c r="B275" s="55" t="s">
        <v>311</v>
      </c>
      <c r="C275" s="55" t="s">
        <v>245</v>
      </c>
      <c r="D275" s="80">
        <v>13</v>
      </c>
    </row>
    <row r="276" spans="2:4">
      <c r="B276" s="55" t="s">
        <v>311</v>
      </c>
      <c r="C276" s="55" t="s">
        <v>245</v>
      </c>
      <c r="D276" s="80">
        <v>130</v>
      </c>
    </row>
    <row r="277" spans="2:4">
      <c r="B277" s="55" t="s">
        <v>312</v>
      </c>
      <c r="C277" s="55" t="s">
        <v>245</v>
      </c>
      <c r="D277" s="80">
        <v>59</v>
      </c>
    </row>
    <row r="278" spans="2:4">
      <c r="B278" s="55" t="s">
        <v>313</v>
      </c>
      <c r="C278" s="55" t="s">
        <v>245</v>
      </c>
      <c r="D278" s="80">
        <v>258</v>
      </c>
    </row>
    <row r="279" spans="2:4">
      <c r="B279" s="55" t="s">
        <v>199</v>
      </c>
      <c r="C279" s="55" t="s">
        <v>245</v>
      </c>
      <c r="D279" s="80">
        <v>79</v>
      </c>
    </row>
    <row r="280" spans="2:4">
      <c r="B280" s="55" t="s">
        <v>314</v>
      </c>
      <c r="C280" s="55" t="s">
        <v>245</v>
      </c>
      <c r="D280" s="80">
        <v>370</v>
      </c>
    </row>
    <row r="281" spans="2:4">
      <c r="B281" s="55" t="s">
        <v>200</v>
      </c>
      <c r="C281" s="55" t="s">
        <v>245</v>
      </c>
      <c r="D281" s="80">
        <v>527</v>
      </c>
    </row>
    <row r="282" spans="2:4">
      <c r="B282" s="55" t="s">
        <v>201</v>
      </c>
      <c r="C282" s="55" t="s">
        <v>245</v>
      </c>
      <c r="D282" s="80">
        <v>782</v>
      </c>
    </row>
    <row r="283" spans="2:4">
      <c r="B283" s="55" t="s">
        <v>202</v>
      </c>
      <c r="C283" s="55" t="s">
        <v>245</v>
      </c>
      <c r="D283" s="80">
        <v>1980</v>
      </c>
    </row>
    <row r="284" spans="2:4">
      <c r="B284" s="55" t="s">
        <v>315</v>
      </c>
      <c r="C284" s="55" t="s">
        <v>245</v>
      </c>
      <c r="D284" s="80">
        <v>148</v>
      </c>
    </row>
    <row r="285" spans="2:4">
      <c r="B285" s="55" t="s">
        <v>203</v>
      </c>
      <c r="C285" s="55" t="s">
        <v>245</v>
      </c>
      <c r="D285" s="80">
        <v>1760</v>
      </c>
    </row>
    <row r="286" spans="2:4">
      <c r="B286" s="55" t="s">
        <v>204</v>
      </c>
      <c r="C286" s="55" t="s">
        <v>245</v>
      </c>
      <c r="D286" s="80">
        <v>127</v>
      </c>
    </row>
    <row r="287" spans="2:4">
      <c r="B287" s="55" t="s">
        <v>205</v>
      </c>
      <c r="C287" s="55" t="s">
        <v>245</v>
      </c>
      <c r="D287" s="80">
        <v>525</v>
      </c>
    </row>
    <row r="288" spans="2:4">
      <c r="B288" s="55" t="s">
        <v>316</v>
      </c>
      <c r="C288" s="55" t="s">
        <v>245</v>
      </c>
      <c r="D288" s="80">
        <v>1</v>
      </c>
    </row>
    <row r="289" spans="2:4">
      <c r="B289" s="55" t="s">
        <v>206</v>
      </c>
      <c r="C289" s="55" t="s">
        <v>245</v>
      </c>
      <c r="D289" s="80">
        <v>3170</v>
      </c>
    </row>
    <row r="290" spans="2:4">
      <c r="B290" s="55" t="s">
        <v>317</v>
      </c>
      <c r="C290" s="55" t="s">
        <v>245</v>
      </c>
      <c r="D290" s="80">
        <v>1120</v>
      </c>
    </row>
    <row r="291" spans="2:4">
      <c r="B291" s="55" t="s">
        <v>318</v>
      </c>
      <c r="C291" s="55" t="s">
        <v>245</v>
      </c>
      <c r="D291" s="80">
        <v>1</v>
      </c>
    </row>
    <row r="292" spans="2:4">
      <c r="B292" s="55" t="s">
        <v>207</v>
      </c>
      <c r="C292" s="55" t="s">
        <v>245</v>
      </c>
      <c r="D292" s="80">
        <v>1300</v>
      </c>
    </row>
    <row r="293" spans="2:4">
      <c r="B293" s="55" t="s">
        <v>319</v>
      </c>
      <c r="C293" s="55" t="s">
        <v>245</v>
      </c>
      <c r="D293" s="80">
        <v>328</v>
      </c>
    </row>
    <row r="294" spans="2:4">
      <c r="B294" s="55" t="s">
        <v>208</v>
      </c>
      <c r="C294" s="55" t="s">
        <v>245</v>
      </c>
      <c r="D294" s="80">
        <v>4800</v>
      </c>
    </row>
    <row r="295" spans="2:4">
      <c r="B295" s="55" t="s">
        <v>320</v>
      </c>
      <c r="C295" s="55" t="s">
        <v>245</v>
      </c>
      <c r="D295" s="80">
        <v>16</v>
      </c>
    </row>
    <row r="296" spans="2:4">
      <c r="B296" s="55" t="s">
        <v>209</v>
      </c>
      <c r="C296" s="55" t="s">
        <v>245</v>
      </c>
      <c r="D296" s="80">
        <v>138</v>
      </c>
    </row>
    <row r="297" spans="2:4">
      <c r="B297" s="55" t="s">
        <v>321</v>
      </c>
      <c r="C297" s="55" t="s">
        <v>245</v>
      </c>
      <c r="D297" s="80">
        <v>4</v>
      </c>
    </row>
    <row r="298" spans="2:4">
      <c r="B298" s="55" t="s">
        <v>210</v>
      </c>
      <c r="C298" s="55" t="s">
        <v>245</v>
      </c>
      <c r="D298" s="80">
        <v>3350</v>
      </c>
    </row>
    <row r="299" spans="2:4">
      <c r="B299" s="55" t="s">
        <v>211</v>
      </c>
      <c r="C299" s="55" t="s">
        <v>245</v>
      </c>
      <c r="D299" s="80">
        <v>12400</v>
      </c>
    </row>
    <row r="300" spans="2:4">
      <c r="B300" s="55" t="s">
        <v>322</v>
      </c>
      <c r="C300" s="55" t="s">
        <v>245</v>
      </c>
      <c r="D300" s="80">
        <v>1210</v>
      </c>
    </row>
    <row r="301" spans="2:4">
      <c r="B301" s="55" t="s">
        <v>323</v>
      </c>
      <c r="C301" s="55" t="s">
        <v>245</v>
      </c>
      <c r="D301" s="80">
        <v>1330</v>
      </c>
    </row>
    <row r="302" spans="2:4">
      <c r="B302" s="55" t="s">
        <v>212</v>
      </c>
      <c r="C302" s="55" t="s">
        <v>245</v>
      </c>
      <c r="D302" s="80">
        <v>8060</v>
      </c>
    </row>
    <row r="303" spans="2:4">
      <c r="B303" s="55" t="s">
        <v>324</v>
      </c>
      <c r="C303" s="55" t="s">
        <v>245</v>
      </c>
      <c r="D303" s="80">
        <v>716</v>
      </c>
    </row>
    <row r="304" spans="2:4">
      <c r="B304" s="55" t="s">
        <v>325</v>
      </c>
      <c r="C304" s="55" t="s">
        <v>245</v>
      </c>
      <c r="D304" s="80">
        <v>4620</v>
      </c>
    </row>
    <row r="305" spans="2:4">
      <c r="B305" s="55" t="s">
        <v>326</v>
      </c>
      <c r="C305" s="55" t="s">
        <v>245</v>
      </c>
      <c r="D305" s="80">
        <v>235</v>
      </c>
    </row>
    <row r="306" spans="2:4">
      <c r="B306" s="55" t="s">
        <v>327</v>
      </c>
      <c r="C306" s="55" t="s">
        <v>245</v>
      </c>
      <c r="D306" s="80">
        <v>290</v>
      </c>
    </row>
    <row r="307" spans="2:4">
      <c r="B307" s="55" t="s">
        <v>213</v>
      </c>
      <c r="C307" s="55" t="s">
        <v>245</v>
      </c>
      <c r="D307" s="80">
        <v>858</v>
      </c>
    </row>
    <row r="308" spans="2:4">
      <c r="B308" s="55" t="s">
        <v>214</v>
      </c>
      <c r="C308" s="55" t="s">
        <v>245</v>
      </c>
      <c r="D308" s="80">
        <v>677</v>
      </c>
    </row>
    <row r="309" spans="2:4">
      <c r="B309" s="55" t="s">
        <v>328</v>
      </c>
      <c r="C309" s="55" t="s">
        <v>245</v>
      </c>
      <c r="D309" s="80">
        <v>2360</v>
      </c>
    </row>
    <row r="310" spans="2:4">
      <c r="B310" s="55" t="s">
        <v>215</v>
      </c>
      <c r="C310" s="55" t="s">
        <v>245</v>
      </c>
      <c r="D310" s="80">
        <v>804</v>
      </c>
    </row>
    <row r="311" spans="2:4">
      <c r="B311" s="55" t="s">
        <v>329</v>
      </c>
      <c r="C311" s="55" t="s">
        <v>245</v>
      </c>
      <c r="D311" s="80">
        <v>116</v>
      </c>
    </row>
    <row r="312" spans="2:4">
      <c r="B312" s="55" t="s">
        <v>216</v>
      </c>
      <c r="C312" s="55" t="s">
        <v>245</v>
      </c>
      <c r="D312" s="80">
        <v>1650</v>
      </c>
    </row>
    <row r="313" spans="2:4">
      <c r="B313" s="55" t="s">
        <v>330</v>
      </c>
      <c r="C313" s="55" t="s">
        <v>245</v>
      </c>
      <c r="D313" s="80">
        <v>3070</v>
      </c>
    </row>
    <row r="314" spans="2:4">
      <c r="B314" s="55" t="s">
        <v>331</v>
      </c>
      <c r="C314" s="55" t="s">
        <v>245</v>
      </c>
      <c r="D314" s="80">
        <v>4550</v>
      </c>
    </row>
    <row r="315" spans="2:4">
      <c r="B315" s="55" t="s">
        <v>332</v>
      </c>
      <c r="C315" s="55" t="s">
        <v>245</v>
      </c>
      <c r="D315" s="80">
        <v>929</v>
      </c>
    </row>
    <row r="316" spans="2:4">
      <c r="B316" s="55" t="s">
        <v>333</v>
      </c>
      <c r="C316" s="55" t="s">
        <v>245</v>
      </c>
      <c r="D316" s="80">
        <v>2620</v>
      </c>
    </row>
    <row r="317" spans="2:4">
      <c r="B317" s="55" t="s">
        <v>217</v>
      </c>
      <c r="C317" s="55" t="s">
        <v>245</v>
      </c>
      <c r="D317" s="80">
        <v>2910</v>
      </c>
    </row>
    <row r="318" spans="2:4">
      <c r="B318" s="55" t="s">
        <v>334</v>
      </c>
      <c r="C318" s="55" t="s">
        <v>245</v>
      </c>
      <c r="D318" s="80">
        <v>854</v>
      </c>
    </row>
    <row r="319" spans="2:4">
      <c r="B319" s="55" t="s">
        <v>335</v>
      </c>
      <c r="C319" s="55" t="s">
        <v>245</v>
      </c>
      <c r="D319" s="80">
        <v>363</v>
      </c>
    </row>
    <row r="320" spans="2:4">
      <c r="B320" s="55" t="s">
        <v>218</v>
      </c>
      <c r="C320" s="55" t="s">
        <v>245</v>
      </c>
      <c r="D320" s="80">
        <v>889</v>
      </c>
    </row>
    <row r="321" spans="2:4">
      <c r="B321" s="55" t="s">
        <v>336</v>
      </c>
      <c r="C321" s="55" t="s">
        <v>245</v>
      </c>
      <c r="D321" s="80">
        <v>387</v>
      </c>
    </row>
    <row r="322" spans="2:4">
      <c r="B322" s="55" t="s">
        <v>337</v>
      </c>
      <c r="C322" s="55" t="s">
        <v>245</v>
      </c>
      <c r="D322" s="80">
        <v>17</v>
      </c>
    </row>
    <row r="323" spans="2:4">
      <c r="B323" s="55" t="s">
        <v>338</v>
      </c>
      <c r="C323" s="55" t="s">
        <v>245</v>
      </c>
      <c r="D323" s="80">
        <v>14</v>
      </c>
    </row>
    <row r="324" spans="2:4">
      <c r="B324" s="55" t="s">
        <v>219</v>
      </c>
      <c r="C324" s="55" t="s">
        <v>245</v>
      </c>
      <c r="D324" s="80">
        <v>413</v>
      </c>
    </row>
    <row r="325" spans="2:4">
      <c r="B325" s="55" t="s">
        <v>339</v>
      </c>
      <c r="C325" s="55" t="s">
        <v>245</v>
      </c>
      <c r="D325" s="80">
        <v>719</v>
      </c>
    </row>
    <row r="326" spans="2:4">
      <c r="B326" s="55" t="s">
        <v>340</v>
      </c>
      <c r="C326" s="55" t="s">
        <v>245</v>
      </c>
      <c r="D326" s="80">
        <v>446</v>
      </c>
    </row>
    <row r="327" spans="2:4">
      <c r="B327" s="55" t="s">
        <v>341</v>
      </c>
      <c r="C327" s="55" t="s">
        <v>245</v>
      </c>
      <c r="D327" s="80">
        <v>58</v>
      </c>
    </row>
    <row r="328" spans="2:4">
      <c r="B328" s="55" t="s">
        <v>342</v>
      </c>
      <c r="C328" s="55" t="s">
        <v>245</v>
      </c>
      <c r="D328" s="80">
        <v>1</v>
      </c>
    </row>
    <row r="329" spans="2:4">
      <c r="B329" s="55" t="s">
        <v>343</v>
      </c>
      <c r="C329" s="55" t="s">
        <v>245</v>
      </c>
      <c r="D329" s="80">
        <v>236</v>
      </c>
    </row>
    <row r="330" spans="2:4">
      <c r="B330" s="55" t="s">
        <v>344</v>
      </c>
      <c r="C330" s="55" t="s">
        <v>245</v>
      </c>
      <c r="D330" s="80">
        <v>221</v>
      </c>
    </row>
    <row r="331" spans="2:4">
      <c r="B331" s="55" t="s">
        <v>345</v>
      </c>
      <c r="C331" s="55" t="s">
        <v>245</v>
      </c>
      <c r="D331" s="80">
        <v>2730</v>
      </c>
    </row>
    <row r="332" spans="2:4">
      <c r="B332" s="55" t="s">
        <v>345</v>
      </c>
      <c r="C332" s="55" t="s">
        <v>245</v>
      </c>
      <c r="D332" s="80">
        <v>4920</v>
      </c>
    </row>
    <row r="333" spans="2:4">
      <c r="B333" s="55" t="s">
        <v>346</v>
      </c>
      <c r="C333" s="55" t="s">
        <v>245</v>
      </c>
      <c r="D333" s="80">
        <v>2850</v>
      </c>
    </row>
    <row r="334" spans="2:4">
      <c r="B334" s="55" t="s">
        <v>346</v>
      </c>
      <c r="C334" s="55" t="s">
        <v>245</v>
      </c>
      <c r="D334" s="80">
        <v>4490</v>
      </c>
    </row>
    <row r="335" spans="2:4">
      <c r="B335" s="55" t="s">
        <v>347</v>
      </c>
      <c r="C335" s="55" t="s">
        <v>245</v>
      </c>
      <c r="D335" s="80">
        <v>5300</v>
      </c>
    </row>
    <row r="336" spans="2:4">
      <c r="B336" s="55" t="s">
        <v>348</v>
      </c>
      <c r="C336" s="55" t="s">
        <v>245</v>
      </c>
      <c r="D336" s="80">
        <v>3890</v>
      </c>
    </row>
    <row r="337" spans="2:4">
      <c r="B337" s="55" t="s">
        <v>220</v>
      </c>
      <c r="C337" s="55" t="s">
        <v>245</v>
      </c>
      <c r="D337" s="80">
        <v>2820</v>
      </c>
    </row>
    <row r="338" spans="2:4">
      <c r="B338" s="55" t="s">
        <v>220</v>
      </c>
      <c r="C338" s="55" t="s">
        <v>245</v>
      </c>
      <c r="D338" s="80">
        <v>7330</v>
      </c>
    </row>
    <row r="339" spans="2:4">
      <c r="B339" s="55" t="s">
        <v>221</v>
      </c>
      <c r="C339" s="55" t="s">
        <v>245</v>
      </c>
      <c r="D339" s="80">
        <v>1750</v>
      </c>
    </row>
    <row r="340" spans="2:4">
      <c r="B340" s="55" t="s">
        <v>222</v>
      </c>
      <c r="C340" s="55" t="s">
        <v>245</v>
      </c>
      <c r="D340" s="80">
        <v>6290</v>
      </c>
    </row>
    <row r="341" spans="2:4">
      <c r="B341" s="55" t="s">
        <v>349</v>
      </c>
      <c r="C341" s="55" t="s">
        <v>245</v>
      </c>
      <c r="D341" s="80">
        <v>41</v>
      </c>
    </row>
    <row r="342" spans="2:4">
      <c r="B342" s="55" t="s">
        <v>350</v>
      </c>
      <c r="C342" s="55" t="s">
        <v>245</v>
      </c>
      <c r="D342" s="80">
        <v>1</v>
      </c>
    </row>
    <row r="343" spans="2:4">
      <c r="B343" s="55" t="s">
        <v>223</v>
      </c>
      <c r="C343" s="55" t="s">
        <v>245</v>
      </c>
      <c r="D343" s="80">
        <v>11100</v>
      </c>
    </row>
    <row r="344" spans="2:4">
      <c r="B344" s="55" t="s">
        <v>351</v>
      </c>
      <c r="C344" s="55" t="s">
        <v>245</v>
      </c>
      <c r="D344" s="80">
        <v>1</v>
      </c>
    </row>
    <row r="345" spans="2:4">
      <c r="B345" s="55" t="s">
        <v>352</v>
      </c>
      <c r="C345" s="55" t="s">
        <v>245</v>
      </c>
      <c r="D345" s="80">
        <v>0</v>
      </c>
    </row>
    <row r="346" spans="2:4">
      <c r="B346" s="55" t="s">
        <v>353</v>
      </c>
      <c r="C346" s="55" t="s">
        <v>245</v>
      </c>
      <c r="D346" s="80">
        <v>0</v>
      </c>
    </row>
    <row r="347" spans="2:4">
      <c r="B347" s="55" t="s">
        <v>224</v>
      </c>
      <c r="C347" s="55" t="s">
        <v>245</v>
      </c>
      <c r="D347" s="80">
        <v>491</v>
      </c>
    </row>
    <row r="348" spans="2:4">
      <c r="B348" s="55" t="s">
        <v>225</v>
      </c>
      <c r="C348" s="55" t="s">
        <v>245</v>
      </c>
      <c r="D348" s="80">
        <v>28</v>
      </c>
    </row>
    <row r="349" spans="2:4">
      <c r="B349" s="55" t="s">
        <v>226</v>
      </c>
      <c r="C349" s="55" t="s">
        <v>245</v>
      </c>
      <c r="D349" s="80">
        <v>12400</v>
      </c>
    </row>
    <row r="350" spans="2:4">
      <c r="B350" s="55" t="s">
        <v>227</v>
      </c>
      <c r="C350" s="55" t="s">
        <v>245</v>
      </c>
      <c r="D350" s="80">
        <v>5350</v>
      </c>
    </row>
    <row r="351" spans="2:4">
      <c r="B351" s="55" t="s">
        <v>228</v>
      </c>
      <c r="C351" s="55" t="s">
        <v>245</v>
      </c>
      <c r="D351" s="80">
        <v>5560</v>
      </c>
    </row>
    <row r="352" spans="2:4">
      <c r="B352" s="55" t="s">
        <v>229</v>
      </c>
      <c r="C352" s="55" t="s">
        <v>245</v>
      </c>
      <c r="D352" s="80">
        <v>523</v>
      </c>
    </row>
    <row r="353" spans="2:4">
      <c r="B353" s="55" t="s">
        <v>354</v>
      </c>
      <c r="C353" s="55" t="s">
        <v>245</v>
      </c>
      <c r="D353" s="80">
        <v>3</v>
      </c>
    </row>
    <row r="354" spans="2:4">
      <c r="B354" s="55" t="s">
        <v>230</v>
      </c>
      <c r="C354" s="55" t="s">
        <v>245</v>
      </c>
      <c r="D354" s="80">
        <v>2</v>
      </c>
    </row>
    <row r="355" spans="2:4">
      <c r="B355" s="55" t="s">
        <v>355</v>
      </c>
      <c r="C355" s="55" t="s">
        <v>245</v>
      </c>
      <c r="D355" s="80">
        <v>95</v>
      </c>
    </row>
    <row r="356" spans="2:4">
      <c r="B356" s="55" t="s">
        <v>231</v>
      </c>
      <c r="C356" s="55" t="s">
        <v>245</v>
      </c>
      <c r="D356" s="80">
        <v>9</v>
      </c>
    </row>
    <row r="357" spans="2:4">
      <c r="B357" s="55" t="s">
        <v>232</v>
      </c>
      <c r="C357" s="55" t="s">
        <v>245</v>
      </c>
      <c r="D357" s="80">
        <v>16100</v>
      </c>
    </row>
    <row r="358" spans="2:4">
      <c r="B358" s="55" t="s">
        <v>233</v>
      </c>
      <c r="C358" s="55" t="s">
        <v>245</v>
      </c>
      <c r="D358" s="80">
        <v>265</v>
      </c>
    </row>
    <row r="359" spans="2:4">
      <c r="B359" s="55" t="s">
        <v>356</v>
      </c>
      <c r="C359" s="55" t="s">
        <v>245</v>
      </c>
      <c r="D359" s="80">
        <v>2</v>
      </c>
    </row>
    <row r="360" spans="2:4">
      <c r="B360" s="55" t="s">
        <v>357</v>
      </c>
      <c r="C360" s="55" t="s">
        <v>245</v>
      </c>
      <c r="D360" s="80">
        <v>7620</v>
      </c>
    </row>
    <row r="361" spans="2:4">
      <c r="B361" s="55" t="s">
        <v>358</v>
      </c>
      <c r="C361" s="55" t="s">
        <v>245</v>
      </c>
      <c r="D361" s="80">
        <v>1</v>
      </c>
    </row>
    <row r="362" spans="2:4">
      <c r="B362" s="55" t="s">
        <v>359</v>
      </c>
      <c r="C362" s="55" t="s">
        <v>245</v>
      </c>
      <c r="D362" s="80">
        <v>2</v>
      </c>
    </row>
    <row r="363" spans="2:4">
      <c r="B363" s="55" t="s">
        <v>234</v>
      </c>
      <c r="C363" s="55" t="s">
        <v>245</v>
      </c>
      <c r="D363" s="80">
        <v>9200</v>
      </c>
    </row>
    <row r="364" spans="2:4">
      <c r="B364" s="55" t="s">
        <v>360</v>
      </c>
      <c r="C364" s="55" t="s">
        <v>245</v>
      </c>
      <c r="D364" s="80">
        <v>2</v>
      </c>
    </row>
    <row r="365" spans="2:4">
      <c r="B365" s="55" t="s">
        <v>361</v>
      </c>
      <c r="C365" s="55" t="s">
        <v>245</v>
      </c>
      <c r="D365" s="80">
        <v>392</v>
      </c>
    </row>
    <row r="366" spans="2:4">
      <c r="B366" s="55" t="s">
        <v>235</v>
      </c>
      <c r="C366" s="55" t="s">
        <v>245</v>
      </c>
      <c r="D366" s="80">
        <v>9540</v>
      </c>
    </row>
    <row r="367" spans="2:4">
      <c r="B367" s="55" t="s">
        <v>236</v>
      </c>
      <c r="C367" s="55" t="s">
        <v>245</v>
      </c>
      <c r="D367" s="80">
        <v>7190</v>
      </c>
    </row>
    <row r="368" spans="2:4">
      <c r="B368" s="55" t="s">
        <v>362</v>
      </c>
      <c r="C368" s="55" t="s">
        <v>245</v>
      </c>
      <c r="D368" s="80">
        <v>7240</v>
      </c>
    </row>
    <row r="369" spans="2:4">
      <c r="B369" s="55" t="s">
        <v>363</v>
      </c>
      <c r="C369" s="55" t="s">
        <v>245</v>
      </c>
      <c r="D369" s="80">
        <v>6290</v>
      </c>
    </row>
    <row r="370" spans="2:4">
      <c r="B370" s="55" t="s">
        <v>364</v>
      </c>
      <c r="C370" s="55" t="s">
        <v>245</v>
      </c>
      <c r="D370" s="80">
        <v>2</v>
      </c>
    </row>
    <row r="371" spans="2:4">
      <c r="B371" s="55" t="s">
        <v>365</v>
      </c>
      <c r="C371" s="55" t="s">
        <v>245</v>
      </c>
      <c r="D371" s="80">
        <v>580</v>
      </c>
    </row>
    <row r="372" spans="2:4">
      <c r="B372" s="55" t="s">
        <v>366</v>
      </c>
      <c r="C372" s="55" t="s">
        <v>245</v>
      </c>
      <c r="D372" s="80">
        <v>7820</v>
      </c>
    </row>
    <row r="373" spans="2:4">
      <c r="B373" s="55" t="s">
        <v>237</v>
      </c>
      <c r="C373" s="55" t="s">
        <v>245</v>
      </c>
      <c r="D373" s="80">
        <v>7910</v>
      </c>
    </row>
    <row r="374" spans="2:4">
      <c r="B374" s="55" t="s">
        <v>238</v>
      </c>
      <c r="C374" s="55" t="s">
        <v>245</v>
      </c>
      <c r="D374" s="80">
        <v>8550</v>
      </c>
    </row>
    <row r="375" spans="2:4">
      <c r="B375" s="55" t="s">
        <v>239</v>
      </c>
      <c r="C375" s="55" t="s">
        <v>245</v>
      </c>
      <c r="D375" s="80">
        <v>8900</v>
      </c>
    </row>
    <row r="376" spans="2:4">
      <c r="B376" s="55" t="s">
        <v>367</v>
      </c>
      <c r="C376" s="55" t="s">
        <v>245</v>
      </c>
      <c r="D376" s="80">
        <v>2</v>
      </c>
    </row>
    <row r="377" spans="2:4">
      <c r="B377" s="55" t="s">
        <v>368</v>
      </c>
      <c r="C377" s="55" t="s">
        <v>245</v>
      </c>
      <c r="D377" s="80">
        <v>376</v>
      </c>
    </row>
    <row r="378" spans="2:4">
      <c r="B378" s="55" t="s">
        <v>369</v>
      </c>
      <c r="C378" s="55" t="s">
        <v>245</v>
      </c>
      <c r="D378" s="80">
        <v>1</v>
      </c>
    </row>
    <row r="379" spans="2:4">
      <c r="B379" s="55" t="s">
        <v>370</v>
      </c>
      <c r="C379" s="55" t="s">
        <v>245</v>
      </c>
      <c r="D379" s="80">
        <v>6490</v>
      </c>
    </row>
    <row r="380" spans="2:4">
      <c r="B380" s="55" t="s">
        <v>240</v>
      </c>
      <c r="C380" s="55" t="s">
        <v>245</v>
      </c>
      <c r="D380" s="80">
        <v>530</v>
      </c>
    </row>
    <row r="381" spans="2:4">
      <c r="B381" s="55" t="s">
        <v>371</v>
      </c>
      <c r="C381" s="55" t="s">
        <v>245</v>
      </c>
      <c r="D381" s="80">
        <v>76</v>
      </c>
    </row>
    <row r="382" spans="2:4">
      <c r="B382" s="55" t="s">
        <v>372</v>
      </c>
      <c r="C382" s="55" t="s">
        <v>245</v>
      </c>
      <c r="D382" s="80">
        <v>216</v>
      </c>
    </row>
    <row r="383" spans="2:4">
      <c r="B383" s="55" t="s">
        <v>241</v>
      </c>
      <c r="C383" s="55" t="s">
        <v>245</v>
      </c>
      <c r="D383" s="80">
        <v>23500</v>
      </c>
    </row>
    <row r="384" spans="2:4">
      <c r="B384" s="55" t="s">
        <v>373</v>
      </c>
      <c r="C384" s="55" t="s">
        <v>245</v>
      </c>
      <c r="D384" s="80">
        <v>4090</v>
      </c>
    </row>
    <row r="385" spans="2:4">
      <c r="B385" s="55" t="s">
        <v>374</v>
      </c>
      <c r="C385" s="55" t="s">
        <v>245</v>
      </c>
      <c r="D385" s="80">
        <v>1</v>
      </c>
    </row>
    <row r="386" spans="2:4">
      <c r="B386" s="55" t="s">
        <v>375</v>
      </c>
      <c r="C386" s="55" t="s">
        <v>245</v>
      </c>
      <c r="D386" s="80">
        <v>222</v>
      </c>
    </row>
    <row r="387" spans="2:4">
      <c r="B387" s="55" t="s">
        <v>376</v>
      </c>
      <c r="C387" s="55" t="s">
        <v>245</v>
      </c>
      <c r="D387" s="80">
        <v>1</v>
      </c>
    </row>
    <row r="388" spans="2:4">
      <c r="B388" s="55" t="s">
        <v>377</v>
      </c>
      <c r="C388" s="55" t="s">
        <v>245</v>
      </c>
      <c r="D388" s="80">
        <v>2</v>
      </c>
    </row>
    <row r="389" spans="2:4">
      <c r="B389" s="55" t="s">
        <v>378</v>
      </c>
      <c r="C389" s="55" t="s">
        <v>245</v>
      </c>
      <c r="D389" s="80">
        <v>588</v>
      </c>
    </row>
    <row r="390" spans="2:4">
      <c r="B390" s="55" t="s">
        <v>242</v>
      </c>
      <c r="C390" s="55" t="s">
        <v>245</v>
      </c>
      <c r="D390" s="80">
        <v>17400</v>
      </c>
    </row>
    <row r="391" spans="2:4">
      <c r="B391" s="55" t="s">
        <v>379</v>
      </c>
      <c r="C391" s="55" t="s">
        <v>245</v>
      </c>
      <c r="D391" s="80">
        <v>1</v>
      </c>
    </row>
    <row r="392" spans="2:4">
      <c r="B392" s="55" t="s">
        <v>380</v>
      </c>
      <c r="C392" s="55" t="s">
        <v>245</v>
      </c>
      <c r="D392" s="80">
        <v>1</v>
      </c>
    </row>
    <row r="393" spans="2:4">
      <c r="B393" s="55" t="s">
        <v>246</v>
      </c>
      <c r="C393" s="55" t="s">
        <v>381</v>
      </c>
      <c r="D393" s="80">
        <v>1</v>
      </c>
    </row>
    <row r="394" spans="2:4">
      <c r="B394" s="55" t="s">
        <v>247</v>
      </c>
      <c r="C394" s="55" t="s">
        <v>381</v>
      </c>
      <c r="D394" s="80">
        <v>6</v>
      </c>
    </row>
    <row r="395" spans="2:4">
      <c r="B395" s="55" t="s">
        <v>248</v>
      </c>
      <c r="C395" s="55" t="s">
        <v>381</v>
      </c>
      <c r="D395" s="80">
        <v>668</v>
      </c>
    </row>
    <row r="396" spans="2:4">
      <c r="B396" s="55" t="s">
        <v>249</v>
      </c>
      <c r="C396" s="55" t="s">
        <v>381</v>
      </c>
      <c r="D396" s="80">
        <v>1220</v>
      </c>
    </row>
    <row r="397" spans="2:4">
      <c r="B397" s="55" t="s">
        <v>181</v>
      </c>
      <c r="C397" s="55" t="s">
        <v>381</v>
      </c>
      <c r="D397" s="80">
        <v>578</v>
      </c>
    </row>
    <row r="398" spans="2:4">
      <c r="B398" s="55" t="s">
        <v>182</v>
      </c>
      <c r="C398" s="55" t="s">
        <v>381</v>
      </c>
      <c r="D398" s="80">
        <v>1110</v>
      </c>
    </row>
    <row r="399" spans="2:4">
      <c r="B399" s="55" t="s">
        <v>250</v>
      </c>
      <c r="C399" s="55" t="s">
        <v>381</v>
      </c>
      <c r="D399" s="80">
        <v>2</v>
      </c>
    </row>
    <row r="400" spans="2:4">
      <c r="B400" s="55" t="s">
        <v>251</v>
      </c>
      <c r="C400" s="55" t="s">
        <v>381</v>
      </c>
      <c r="D400" s="80">
        <v>3970</v>
      </c>
    </row>
    <row r="401" spans="2:4">
      <c r="B401" s="55" t="s">
        <v>252</v>
      </c>
      <c r="C401" s="55" t="s">
        <v>381</v>
      </c>
      <c r="D401" s="80">
        <v>7320</v>
      </c>
    </row>
    <row r="402" spans="2:4">
      <c r="B402" s="55" t="s">
        <v>253</v>
      </c>
      <c r="C402" s="55" t="s">
        <v>381</v>
      </c>
      <c r="D402" s="80">
        <v>113</v>
      </c>
    </row>
    <row r="403" spans="2:4">
      <c r="B403" s="55" t="s">
        <v>254</v>
      </c>
      <c r="C403" s="55" t="s">
        <v>381</v>
      </c>
      <c r="D403" s="80">
        <v>99</v>
      </c>
    </row>
    <row r="404" spans="2:4">
      <c r="B404" s="55" t="s">
        <v>255</v>
      </c>
      <c r="C404" s="55" t="s">
        <v>381</v>
      </c>
      <c r="D404" s="80">
        <v>1720</v>
      </c>
    </row>
    <row r="405" spans="2:4">
      <c r="B405" s="55" t="s">
        <v>183</v>
      </c>
      <c r="C405" s="55" t="s">
        <v>381</v>
      </c>
      <c r="D405" s="80">
        <v>3440</v>
      </c>
    </row>
    <row r="406" spans="2:4">
      <c r="B406" s="55" t="s">
        <v>256</v>
      </c>
      <c r="C406" s="55" t="s">
        <v>381</v>
      </c>
      <c r="D406" s="80">
        <v>3</v>
      </c>
    </row>
    <row r="407" spans="2:4">
      <c r="B407" s="55" t="s">
        <v>257</v>
      </c>
      <c r="C407" s="55" t="s">
        <v>381</v>
      </c>
      <c r="D407" s="80">
        <v>124</v>
      </c>
    </row>
    <row r="408" spans="2:4">
      <c r="B408" s="55" t="s">
        <v>257</v>
      </c>
      <c r="C408" s="55" t="s">
        <v>381</v>
      </c>
      <c r="D408" s="80">
        <v>60</v>
      </c>
    </row>
    <row r="409" spans="2:4">
      <c r="B409" s="55" t="s">
        <v>258</v>
      </c>
      <c r="C409" s="55" t="s">
        <v>381</v>
      </c>
      <c r="D409" s="80">
        <v>223</v>
      </c>
    </row>
    <row r="410" spans="2:4">
      <c r="B410" s="55" t="s">
        <v>259</v>
      </c>
      <c r="C410" s="55" t="s">
        <v>381</v>
      </c>
      <c r="D410" s="80">
        <v>86</v>
      </c>
    </row>
    <row r="411" spans="2:4">
      <c r="B411" s="55" t="s">
        <v>260</v>
      </c>
      <c r="C411" s="55" t="s">
        <v>381</v>
      </c>
      <c r="D411" s="80">
        <v>1</v>
      </c>
    </row>
    <row r="412" spans="2:4">
      <c r="B412" s="55" t="s">
        <v>261</v>
      </c>
      <c r="C412" s="55" t="s">
        <v>381</v>
      </c>
      <c r="D412" s="80">
        <v>1</v>
      </c>
    </row>
    <row r="413" spans="2:4">
      <c r="B413" s="55" t="s">
        <v>262</v>
      </c>
      <c r="C413" s="55" t="s">
        <v>381</v>
      </c>
      <c r="D413" s="80">
        <v>69</v>
      </c>
    </row>
    <row r="414" spans="2:4">
      <c r="B414" s="55" t="s">
        <v>263</v>
      </c>
      <c r="C414" s="55" t="s">
        <v>381</v>
      </c>
      <c r="D414" s="80">
        <v>48</v>
      </c>
    </row>
    <row r="415" spans="2:4">
      <c r="B415" s="55" t="s">
        <v>264</v>
      </c>
      <c r="C415" s="55" t="s">
        <v>381</v>
      </c>
      <c r="D415" s="80">
        <v>1</v>
      </c>
    </row>
    <row r="416" spans="2:4">
      <c r="B416" s="55" t="s">
        <v>265</v>
      </c>
      <c r="C416" s="55" t="s">
        <v>381</v>
      </c>
      <c r="D416" s="80">
        <v>1</v>
      </c>
    </row>
    <row r="417" spans="2:4">
      <c r="B417" s="55" t="s">
        <v>266</v>
      </c>
      <c r="C417" s="55" t="s">
        <v>381</v>
      </c>
      <c r="D417" s="80">
        <v>5</v>
      </c>
    </row>
    <row r="418" spans="2:4">
      <c r="B418" s="55" t="s">
        <v>267</v>
      </c>
      <c r="C418" s="55" t="s">
        <v>381</v>
      </c>
      <c r="D418" s="80">
        <v>1</v>
      </c>
    </row>
    <row r="419" spans="2:4">
      <c r="B419" s="55" t="s">
        <v>268</v>
      </c>
      <c r="C419" s="55" t="s">
        <v>381</v>
      </c>
      <c r="D419" s="80">
        <v>63</v>
      </c>
    </row>
    <row r="420" spans="2:4">
      <c r="B420" s="55" t="s">
        <v>269</v>
      </c>
      <c r="C420" s="55" t="s">
        <v>381</v>
      </c>
      <c r="D420" s="80">
        <v>5080</v>
      </c>
    </row>
    <row r="421" spans="2:4">
      <c r="B421" s="55" t="s">
        <v>270</v>
      </c>
      <c r="C421" s="55" t="s">
        <v>381</v>
      </c>
      <c r="D421" s="80">
        <v>73</v>
      </c>
    </row>
    <row r="422" spans="2:4">
      <c r="B422" s="55" t="s">
        <v>271</v>
      </c>
      <c r="C422" s="55" t="s">
        <v>381</v>
      </c>
      <c r="D422" s="80">
        <v>25</v>
      </c>
    </row>
    <row r="423" spans="2:4">
      <c r="B423" s="55" t="s">
        <v>272</v>
      </c>
      <c r="C423" s="55" t="s">
        <v>381</v>
      </c>
      <c r="D423" s="80">
        <v>123</v>
      </c>
    </row>
    <row r="424" spans="2:4">
      <c r="B424" s="55" t="s">
        <v>273</v>
      </c>
      <c r="C424" s="55" t="s">
        <v>381</v>
      </c>
      <c r="D424" s="80">
        <v>3350</v>
      </c>
    </row>
    <row r="425" spans="2:4">
      <c r="B425" s="55" t="s">
        <v>274</v>
      </c>
      <c r="C425" s="55" t="s">
        <v>381</v>
      </c>
      <c r="D425" s="80">
        <v>11</v>
      </c>
    </row>
    <row r="426" spans="2:4">
      <c r="B426" s="55" t="s">
        <v>275</v>
      </c>
      <c r="C426" s="55" t="s">
        <v>381</v>
      </c>
      <c r="D426" s="80">
        <v>674</v>
      </c>
    </row>
    <row r="427" spans="2:4">
      <c r="B427" s="55" t="s">
        <v>276</v>
      </c>
      <c r="C427" s="55" t="s">
        <v>381</v>
      </c>
      <c r="D427" s="80">
        <v>635</v>
      </c>
    </row>
    <row r="428" spans="2:4">
      <c r="B428" s="55" t="s">
        <v>277</v>
      </c>
      <c r="C428" s="55" t="s">
        <v>381</v>
      </c>
      <c r="D428" s="80">
        <v>449</v>
      </c>
    </row>
    <row r="429" spans="2:4">
      <c r="B429" s="55" t="s">
        <v>278</v>
      </c>
      <c r="C429" s="55" t="s">
        <v>381</v>
      </c>
      <c r="D429" s="80">
        <v>204</v>
      </c>
    </row>
    <row r="430" spans="2:4">
      <c r="B430" s="55" t="s">
        <v>279</v>
      </c>
      <c r="C430" s="55" t="s">
        <v>381</v>
      </c>
      <c r="D430" s="80">
        <v>3</v>
      </c>
    </row>
    <row r="431" spans="2:4">
      <c r="B431" s="55" t="s">
        <v>280</v>
      </c>
      <c r="C431" s="55" t="s">
        <v>381</v>
      </c>
      <c r="D431" s="80">
        <v>1</v>
      </c>
    </row>
    <row r="432" spans="2:4">
      <c r="B432" s="55" t="s">
        <v>281</v>
      </c>
      <c r="C432" s="55" t="s">
        <v>381</v>
      </c>
      <c r="D432" s="80">
        <v>1</v>
      </c>
    </row>
    <row r="433" spans="2:4">
      <c r="B433" s="55" t="s">
        <v>282</v>
      </c>
      <c r="C433" s="55" t="s">
        <v>381</v>
      </c>
      <c r="D433" s="80">
        <v>64</v>
      </c>
    </row>
    <row r="434" spans="2:4">
      <c r="B434" s="55" t="s">
        <v>283</v>
      </c>
      <c r="C434" s="55" t="s">
        <v>381</v>
      </c>
      <c r="D434" s="80">
        <v>2</v>
      </c>
    </row>
    <row r="435" spans="2:4">
      <c r="B435" s="55" t="s">
        <v>284</v>
      </c>
      <c r="C435" s="55" t="s">
        <v>381</v>
      </c>
      <c r="D435" s="80">
        <v>1</v>
      </c>
    </row>
    <row r="436" spans="2:4">
      <c r="B436" s="55" t="s">
        <v>285</v>
      </c>
      <c r="C436" s="55" t="s">
        <v>381</v>
      </c>
      <c r="D436" s="80">
        <v>1</v>
      </c>
    </row>
    <row r="437" spans="2:4">
      <c r="B437" s="55" t="s">
        <v>286</v>
      </c>
      <c r="C437" s="55" t="s">
        <v>381</v>
      </c>
      <c r="D437" s="80">
        <v>1</v>
      </c>
    </row>
    <row r="438" spans="2:4">
      <c r="B438" s="55" t="s">
        <v>287</v>
      </c>
      <c r="C438" s="55" t="s">
        <v>381</v>
      </c>
      <c r="D438" s="80">
        <v>1</v>
      </c>
    </row>
    <row r="439" spans="2:4">
      <c r="B439" s="55" t="s">
        <v>288</v>
      </c>
      <c r="C439" s="55" t="s">
        <v>381</v>
      </c>
      <c r="D439" s="80">
        <v>192</v>
      </c>
    </row>
    <row r="440" spans="2:4">
      <c r="B440" s="55" t="s">
        <v>289</v>
      </c>
      <c r="C440" s="55" t="s">
        <v>381</v>
      </c>
      <c r="D440" s="80">
        <v>1350</v>
      </c>
    </row>
    <row r="441" spans="2:4">
      <c r="B441" s="55" t="s">
        <v>184</v>
      </c>
      <c r="C441" s="55" t="s">
        <v>381</v>
      </c>
      <c r="D441" s="80">
        <v>1530</v>
      </c>
    </row>
    <row r="442" spans="2:4">
      <c r="B442" s="55" t="s">
        <v>185</v>
      </c>
      <c r="C442" s="55" t="s">
        <v>381</v>
      </c>
      <c r="D442" s="80">
        <v>6900</v>
      </c>
    </row>
    <row r="443" spans="2:4">
      <c r="B443" s="55" t="s">
        <v>186</v>
      </c>
      <c r="C443" s="55" t="s">
        <v>381</v>
      </c>
      <c r="D443" s="80">
        <v>6490</v>
      </c>
    </row>
    <row r="444" spans="2:4">
      <c r="B444" s="55" t="s">
        <v>187</v>
      </c>
      <c r="C444" s="55" t="s">
        <v>381</v>
      </c>
      <c r="D444" s="80">
        <v>7710</v>
      </c>
    </row>
    <row r="445" spans="2:4">
      <c r="B445" s="55" t="s">
        <v>188</v>
      </c>
      <c r="C445" s="55" t="s">
        <v>381</v>
      </c>
      <c r="D445" s="80">
        <v>5860</v>
      </c>
    </row>
    <row r="446" spans="2:4">
      <c r="B446" s="55" t="s">
        <v>189</v>
      </c>
      <c r="C446" s="55" t="s">
        <v>381</v>
      </c>
      <c r="D446" s="80">
        <v>10800</v>
      </c>
    </row>
    <row r="447" spans="2:4">
      <c r="B447" s="55" t="s">
        <v>190</v>
      </c>
      <c r="C447" s="55" t="s">
        <v>381</v>
      </c>
      <c r="D447" s="80">
        <v>10900</v>
      </c>
    </row>
    <row r="448" spans="2:4">
      <c r="B448" s="55" t="s">
        <v>191</v>
      </c>
      <c r="C448" s="55" t="s">
        <v>381</v>
      </c>
      <c r="D448" s="80">
        <v>1</v>
      </c>
    </row>
    <row r="449" spans="2:4">
      <c r="B449" s="55" t="s">
        <v>192</v>
      </c>
      <c r="C449" s="55" t="s">
        <v>381</v>
      </c>
      <c r="D449" s="80">
        <v>3480</v>
      </c>
    </row>
    <row r="450" spans="2:4">
      <c r="B450" s="55" t="s">
        <v>193</v>
      </c>
      <c r="C450" s="55" t="s">
        <v>381</v>
      </c>
      <c r="D450" s="80">
        <v>4880</v>
      </c>
    </row>
    <row r="451" spans="2:4">
      <c r="B451" s="55" t="s">
        <v>290</v>
      </c>
      <c r="C451" s="55" t="s">
        <v>381</v>
      </c>
      <c r="D451" s="80">
        <v>0</v>
      </c>
    </row>
    <row r="452" spans="2:4">
      <c r="B452" s="55" t="s">
        <v>291</v>
      </c>
      <c r="C452" s="55" t="s">
        <v>381</v>
      </c>
      <c r="D452" s="80">
        <v>60</v>
      </c>
    </row>
    <row r="453" spans="2:4">
      <c r="B453" s="55" t="s">
        <v>194</v>
      </c>
      <c r="C453" s="55" t="s">
        <v>381</v>
      </c>
      <c r="D453" s="80">
        <v>45</v>
      </c>
    </row>
    <row r="454" spans="2:4">
      <c r="B454" s="55" t="s">
        <v>292</v>
      </c>
      <c r="C454" s="55" t="s">
        <v>381</v>
      </c>
      <c r="D454" s="80">
        <v>848</v>
      </c>
    </row>
    <row r="455" spans="2:4">
      <c r="B455" s="55" t="s">
        <v>293</v>
      </c>
      <c r="C455" s="55" t="s">
        <v>381</v>
      </c>
      <c r="D455" s="80">
        <v>4</v>
      </c>
    </row>
    <row r="456" spans="2:4">
      <c r="B456" s="55" t="s">
        <v>294</v>
      </c>
      <c r="C456" s="55" t="s">
        <v>381</v>
      </c>
      <c r="D456" s="80">
        <v>2730</v>
      </c>
    </row>
    <row r="457" spans="2:4">
      <c r="B457" s="55" t="s">
        <v>295</v>
      </c>
      <c r="C457" s="55" t="s">
        <v>381</v>
      </c>
      <c r="D457" s="80">
        <v>528</v>
      </c>
    </row>
    <row r="458" spans="2:4">
      <c r="B458" s="55" t="s">
        <v>296</v>
      </c>
      <c r="C458" s="55" t="s">
        <v>381</v>
      </c>
      <c r="D458" s="80">
        <v>99</v>
      </c>
    </row>
    <row r="459" spans="2:4">
      <c r="B459" s="55" t="s">
        <v>297</v>
      </c>
      <c r="C459" s="55" t="s">
        <v>381</v>
      </c>
      <c r="D459" s="80">
        <v>530</v>
      </c>
    </row>
    <row r="460" spans="2:4">
      <c r="B460" s="55" t="s">
        <v>298</v>
      </c>
      <c r="C460" s="55" t="s">
        <v>381</v>
      </c>
      <c r="D460" s="80">
        <v>2120</v>
      </c>
    </row>
    <row r="461" spans="2:4">
      <c r="B461" s="55" t="s">
        <v>299</v>
      </c>
      <c r="C461" s="55" t="s">
        <v>381</v>
      </c>
      <c r="D461" s="80">
        <v>108</v>
      </c>
    </row>
    <row r="462" spans="2:4">
      <c r="B462" s="55" t="s">
        <v>196</v>
      </c>
      <c r="C462" s="55" t="s">
        <v>381</v>
      </c>
      <c r="D462" s="80">
        <v>2360</v>
      </c>
    </row>
    <row r="463" spans="2:4">
      <c r="B463" s="55" t="s">
        <v>300</v>
      </c>
      <c r="C463" s="55" t="s">
        <v>381</v>
      </c>
      <c r="D463" s="80">
        <v>8900</v>
      </c>
    </row>
    <row r="464" spans="2:4">
      <c r="B464" s="55" t="s">
        <v>301</v>
      </c>
      <c r="C464" s="55" t="s">
        <v>381</v>
      </c>
      <c r="D464" s="80">
        <v>5</v>
      </c>
    </row>
    <row r="465" spans="2:4">
      <c r="B465" s="55" t="s">
        <v>302</v>
      </c>
      <c r="C465" s="55" t="s">
        <v>381</v>
      </c>
      <c r="D465" s="80">
        <v>3080</v>
      </c>
    </row>
    <row r="466" spans="2:4">
      <c r="B466" s="55" t="s">
        <v>303</v>
      </c>
      <c r="C466" s="55" t="s">
        <v>381</v>
      </c>
      <c r="D466" s="80">
        <v>1230</v>
      </c>
    </row>
    <row r="467" spans="2:4">
      <c r="B467" s="55" t="s">
        <v>304</v>
      </c>
      <c r="C467" s="55" t="s">
        <v>381</v>
      </c>
      <c r="D467" s="80">
        <v>2900</v>
      </c>
    </row>
    <row r="468" spans="2:4">
      <c r="B468" s="55" t="s">
        <v>305</v>
      </c>
      <c r="C468" s="55" t="s">
        <v>381</v>
      </c>
      <c r="D468" s="80">
        <v>9710</v>
      </c>
    </row>
    <row r="469" spans="2:4">
      <c r="B469" s="55" t="s">
        <v>306</v>
      </c>
      <c r="C469" s="55" t="s">
        <v>381</v>
      </c>
      <c r="D469" s="80">
        <v>2260</v>
      </c>
    </row>
    <row r="470" spans="2:4">
      <c r="B470" s="55" t="s">
        <v>307</v>
      </c>
      <c r="C470" s="55" t="s">
        <v>381</v>
      </c>
      <c r="D470" s="80">
        <v>5550</v>
      </c>
    </row>
    <row r="471" spans="2:4">
      <c r="B471" s="55" t="s">
        <v>197</v>
      </c>
      <c r="C471" s="55" t="s">
        <v>381</v>
      </c>
      <c r="D471" s="80">
        <v>2910</v>
      </c>
    </row>
    <row r="472" spans="2:4">
      <c r="B472" s="55" t="s">
        <v>308</v>
      </c>
      <c r="C472" s="55" t="s">
        <v>381</v>
      </c>
      <c r="D472" s="80">
        <v>1</v>
      </c>
    </row>
    <row r="473" spans="2:4">
      <c r="B473" s="55" t="s">
        <v>198</v>
      </c>
      <c r="C473" s="55" t="s">
        <v>381</v>
      </c>
      <c r="D473" s="80">
        <v>209</v>
      </c>
    </row>
    <row r="474" spans="2:4">
      <c r="B474" s="55" t="s">
        <v>309</v>
      </c>
      <c r="C474" s="55" t="s">
        <v>381</v>
      </c>
      <c r="D474" s="80">
        <v>5</v>
      </c>
    </row>
    <row r="475" spans="2:4">
      <c r="B475" s="55" t="s">
        <v>310</v>
      </c>
      <c r="C475" s="55" t="s">
        <v>381</v>
      </c>
      <c r="D475" s="80">
        <v>2260</v>
      </c>
    </row>
    <row r="476" spans="2:4">
      <c r="B476" s="55" t="s">
        <v>311</v>
      </c>
      <c r="C476" s="55" t="s">
        <v>381</v>
      </c>
      <c r="D476" s="80">
        <v>46</v>
      </c>
    </row>
    <row r="477" spans="2:4">
      <c r="B477" s="55" t="s">
        <v>311</v>
      </c>
      <c r="C477" s="55" t="s">
        <v>381</v>
      </c>
      <c r="D477" s="80">
        <v>479</v>
      </c>
    </row>
    <row r="478" spans="2:4">
      <c r="B478" s="55" t="s">
        <v>312</v>
      </c>
      <c r="C478" s="55" t="s">
        <v>381</v>
      </c>
      <c r="D478" s="80">
        <v>218</v>
      </c>
    </row>
    <row r="479" spans="2:4">
      <c r="B479" s="55" t="s">
        <v>313</v>
      </c>
      <c r="C479" s="55" t="s">
        <v>381</v>
      </c>
      <c r="D479" s="80">
        <v>945</v>
      </c>
    </row>
    <row r="480" spans="2:4">
      <c r="B480" s="55" t="s">
        <v>199</v>
      </c>
      <c r="C480" s="55" t="s">
        <v>381</v>
      </c>
      <c r="D480" s="80">
        <v>292</v>
      </c>
    </row>
    <row r="481" spans="2:4">
      <c r="B481" s="55" t="s">
        <v>314</v>
      </c>
      <c r="C481" s="55" t="s">
        <v>381</v>
      </c>
      <c r="D481" s="80">
        <v>1350</v>
      </c>
    </row>
    <row r="482" spans="2:4">
      <c r="B482" s="55" t="s">
        <v>200</v>
      </c>
      <c r="C482" s="55" t="s">
        <v>381</v>
      </c>
      <c r="D482" s="80">
        <v>1870</v>
      </c>
    </row>
    <row r="483" spans="2:4">
      <c r="B483" s="55" t="s">
        <v>201</v>
      </c>
      <c r="C483" s="55" t="s">
        <v>381</v>
      </c>
      <c r="D483" s="80">
        <v>2550</v>
      </c>
    </row>
    <row r="484" spans="2:4">
      <c r="B484" s="55" t="s">
        <v>202</v>
      </c>
      <c r="C484" s="55" t="s">
        <v>381</v>
      </c>
      <c r="D484" s="80">
        <v>5020</v>
      </c>
    </row>
    <row r="485" spans="2:4">
      <c r="B485" s="55" t="s">
        <v>315</v>
      </c>
      <c r="C485" s="55" t="s">
        <v>381</v>
      </c>
      <c r="D485" s="80">
        <v>543</v>
      </c>
    </row>
    <row r="486" spans="2:4">
      <c r="B486" s="55" t="s">
        <v>203</v>
      </c>
      <c r="C486" s="55" t="s">
        <v>381</v>
      </c>
      <c r="D486" s="80">
        <v>5280</v>
      </c>
    </row>
    <row r="487" spans="2:4">
      <c r="B487" s="55" t="s">
        <v>204</v>
      </c>
      <c r="C487" s="55" t="s">
        <v>381</v>
      </c>
      <c r="D487" s="80">
        <v>469</v>
      </c>
    </row>
    <row r="488" spans="2:4">
      <c r="B488" s="55" t="s">
        <v>205</v>
      </c>
      <c r="C488" s="55" t="s">
        <v>381</v>
      </c>
      <c r="D488" s="80">
        <v>1860</v>
      </c>
    </row>
    <row r="489" spans="2:4">
      <c r="B489" s="55" t="s">
        <v>316</v>
      </c>
      <c r="C489" s="55" t="s">
        <v>381</v>
      </c>
      <c r="D489" s="80">
        <v>4</v>
      </c>
    </row>
    <row r="490" spans="2:4">
      <c r="B490" s="55" t="s">
        <v>206</v>
      </c>
      <c r="C490" s="55" t="s">
        <v>381</v>
      </c>
      <c r="D490" s="80">
        <v>6090</v>
      </c>
    </row>
    <row r="491" spans="2:4">
      <c r="B491" s="55" t="s">
        <v>317</v>
      </c>
      <c r="C491" s="55" t="s">
        <v>381</v>
      </c>
      <c r="D491" s="80">
        <v>3580</v>
      </c>
    </row>
    <row r="492" spans="2:4">
      <c r="B492" s="55" t="s">
        <v>318</v>
      </c>
      <c r="C492" s="55" t="s">
        <v>381</v>
      </c>
      <c r="D492" s="80">
        <v>1</v>
      </c>
    </row>
    <row r="493" spans="2:4">
      <c r="B493" s="55" t="s">
        <v>207</v>
      </c>
      <c r="C493" s="55" t="s">
        <v>381</v>
      </c>
      <c r="D493" s="80">
        <v>3710</v>
      </c>
    </row>
    <row r="494" spans="2:4">
      <c r="B494" s="55" t="s">
        <v>319</v>
      </c>
      <c r="C494" s="55" t="s">
        <v>381</v>
      </c>
      <c r="D494" s="80">
        <v>1200</v>
      </c>
    </row>
    <row r="495" spans="2:4">
      <c r="B495" s="55" t="s">
        <v>208</v>
      </c>
      <c r="C495" s="55" t="s">
        <v>381</v>
      </c>
      <c r="D495" s="80">
        <v>6940</v>
      </c>
    </row>
    <row r="496" spans="2:4">
      <c r="B496" s="55" t="s">
        <v>320</v>
      </c>
      <c r="C496" s="55" t="s">
        <v>381</v>
      </c>
      <c r="D496" s="80">
        <v>60</v>
      </c>
    </row>
    <row r="497" spans="2:4">
      <c r="B497" s="55" t="s">
        <v>209</v>
      </c>
      <c r="C497" s="55" t="s">
        <v>381</v>
      </c>
      <c r="D497" s="80">
        <v>506</v>
      </c>
    </row>
    <row r="498" spans="2:4">
      <c r="B498" s="55" t="s">
        <v>321</v>
      </c>
      <c r="C498" s="55" t="s">
        <v>381</v>
      </c>
      <c r="D498" s="80">
        <v>13</v>
      </c>
    </row>
    <row r="499" spans="2:4">
      <c r="B499" s="55" t="s">
        <v>210</v>
      </c>
      <c r="C499" s="55" t="s">
        <v>381</v>
      </c>
      <c r="D499" s="80">
        <v>5360</v>
      </c>
    </row>
    <row r="500" spans="2:4">
      <c r="B500" s="55" t="s">
        <v>211</v>
      </c>
      <c r="C500" s="55" t="s">
        <v>381</v>
      </c>
      <c r="D500" s="80">
        <v>10800</v>
      </c>
    </row>
    <row r="501" spans="2:4">
      <c r="B501" s="55" t="s">
        <v>322</v>
      </c>
      <c r="C501" s="55" t="s">
        <v>381</v>
      </c>
      <c r="D501" s="80">
        <v>3480</v>
      </c>
    </row>
    <row r="502" spans="2:4">
      <c r="B502" s="55" t="s">
        <v>323</v>
      </c>
      <c r="C502" s="55" t="s">
        <v>381</v>
      </c>
      <c r="D502" s="80">
        <v>4110</v>
      </c>
    </row>
    <row r="503" spans="2:4">
      <c r="B503" s="55" t="s">
        <v>212</v>
      </c>
      <c r="C503" s="55" t="s">
        <v>381</v>
      </c>
      <c r="D503" s="80">
        <v>6940</v>
      </c>
    </row>
    <row r="504" spans="2:4">
      <c r="B504" s="55" t="s">
        <v>324</v>
      </c>
      <c r="C504" s="55" t="s">
        <v>381</v>
      </c>
      <c r="D504" s="80">
        <v>2510</v>
      </c>
    </row>
    <row r="505" spans="2:4">
      <c r="B505" s="55" t="s">
        <v>325</v>
      </c>
      <c r="C505" s="55" t="s">
        <v>381</v>
      </c>
      <c r="D505" s="80">
        <v>6680</v>
      </c>
    </row>
    <row r="506" spans="2:4">
      <c r="B506" s="55" t="s">
        <v>326</v>
      </c>
      <c r="C506" s="55" t="s">
        <v>381</v>
      </c>
      <c r="D506" s="80">
        <v>863</v>
      </c>
    </row>
    <row r="507" spans="2:4">
      <c r="B507" s="55" t="s">
        <v>327</v>
      </c>
      <c r="C507" s="55" t="s">
        <v>381</v>
      </c>
      <c r="D507" s="80">
        <v>1070</v>
      </c>
    </row>
    <row r="508" spans="2:4">
      <c r="B508" s="55" t="s">
        <v>213</v>
      </c>
      <c r="C508" s="55" t="s">
        <v>381</v>
      </c>
      <c r="D508" s="80">
        <v>2920</v>
      </c>
    </row>
    <row r="509" spans="2:4">
      <c r="B509" s="55" t="s">
        <v>214</v>
      </c>
      <c r="C509" s="55" t="s">
        <v>381</v>
      </c>
      <c r="D509" s="80">
        <v>2430</v>
      </c>
    </row>
    <row r="510" spans="2:4">
      <c r="B510" s="55" t="s">
        <v>328</v>
      </c>
      <c r="C510" s="55" t="s">
        <v>381</v>
      </c>
      <c r="D510" s="80">
        <v>4510</v>
      </c>
    </row>
    <row r="511" spans="2:4">
      <c r="B511" s="55" t="s">
        <v>215</v>
      </c>
      <c r="C511" s="55" t="s">
        <v>381</v>
      </c>
      <c r="D511" s="80">
        <v>2660</v>
      </c>
    </row>
    <row r="512" spans="2:4">
      <c r="B512" s="55" t="s">
        <v>329</v>
      </c>
      <c r="C512" s="55" t="s">
        <v>381</v>
      </c>
      <c r="D512" s="80">
        <v>427</v>
      </c>
    </row>
    <row r="513" spans="2:4">
      <c r="B513" s="55" t="s">
        <v>216</v>
      </c>
      <c r="C513" s="55" t="s">
        <v>381</v>
      </c>
      <c r="D513" s="80">
        <v>4310</v>
      </c>
    </row>
    <row r="514" spans="2:4">
      <c r="B514" s="55" t="s">
        <v>330</v>
      </c>
      <c r="C514" s="55" t="s">
        <v>381</v>
      </c>
      <c r="D514" s="80">
        <v>6720</v>
      </c>
    </row>
    <row r="515" spans="2:4">
      <c r="B515" s="55" t="s">
        <v>331</v>
      </c>
      <c r="C515" s="55" t="s">
        <v>381</v>
      </c>
      <c r="D515" s="80">
        <v>7170</v>
      </c>
    </row>
    <row r="516" spans="2:4">
      <c r="B516" s="55" t="s">
        <v>332</v>
      </c>
      <c r="C516" s="55" t="s">
        <v>381</v>
      </c>
      <c r="D516" s="80">
        <v>3180</v>
      </c>
    </row>
    <row r="517" spans="2:4">
      <c r="B517" s="55" t="s">
        <v>333</v>
      </c>
      <c r="C517" s="55" t="s">
        <v>381</v>
      </c>
      <c r="D517" s="80">
        <v>5940</v>
      </c>
    </row>
    <row r="518" spans="2:4">
      <c r="B518" s="55" t="s">
        <v>217</v>
      </c>
      <c r="C518" s="55" t="s">
        <v>381</v>
      </c>
      <c r="D518" s="80">
        <v>8430</v>
      </c>
    </row>
    <row r="519" spans="2:4">
      <c r="B519" s="55" t="s">
        <v>334</v>
      </c>
      <c r="C519" s="55" t="s">
        <v>381</v>
      </c>
      <c r="D519" s="80">
        <v>2990</v>
      </c>
    </row>
    <row r="520" spans="2:4">
      <c r="B520" s="55" t="s">
        <v>335</v>
      </c>
      <c r="C520" s="55" t="s">
        <v>381</v>
      </c>
      <c r="D520" s="80">
        <v>1330</v>
      </c>
    </row>
    <row r="521" spans="2:4">
      <c r="B521" s="55" t="s">
        <v>218</v>
      </c>
      <c r="C521" s="55" t="s">
        <v>381</v>
      </c>
      <c r="D521" s="80">
        <v>3150</v>
      </c>
    </row>
    <row r="522" spans="2:4">
      <c r="B522" s="55" t="s">
        <v>336</v>
      </c>
      <c r="C522" s="55" t="s">
        <v>381</v>
      </c>
      <c r="D522" s="80">
        <v>1410</v>
      </c>
    </row>
    <row r="523" spans="2:4">
      <c r="B523" s="55" t="s">
        <v>337</v>
      </c>
      <c r="C523" s="55" t="s">
        <v>381</v>
      </c>
      <c r="D523" s="80">
        <v>62</v>
      </c>
    </row>
    <row r="524" spans="2:4">
      <c r="B524" s="55" t="s">
        <v>338</v>
      </c>
      <c r="C524" s="55" t="s">
        <v>381</v>
      </c>
      <c r="D524" s="80">
        <v>50</v>
      </c>
    </row>
    <row r="525" spans="2:4">
      <c r="B525" s="55" t="s">
        <v>219</v>
      </c>
      <c r="C525" s="55" t="s">
        <v>381</v>
      </c>
      <c r="D525" s="80">
        <v>1510</v>
      </c>
    </row>
    <row r="526" spans="2:4">
      <c r="B526" s="55" t="s">
        <v>339</v>
      </c>
      <c r="C526" s="55" t="s">
        <v>381</v>
      </c>
      <c r="D526" s="80">
        <v>2560</v>
      </c>
    </row>
    <row r="527" spans="2:4">
      <c r="B527" s="55" t="s">
        <v>340</v>
      </c>
      <c r="C527" s="55" t="s">
        <v>381</v>
      </c>
      <c r="D527" s="80">
        <v>1640</v>
      </c>
    </row>
    <row r="528" spans="2:4">
      <c r="B528" s="55" t="s">
        <v>341</v>
      </c>
      <c r="C528" s="55" t="s">
        <v>381</v>
      </c>
      <c r="D528" s="80">
        <v>215</v>
      </c>
    </row>
    <row r="529" spans="2:4">
      <c r="B529" s="55" t="s">
        <v>342</v>
      </c>
      <c r="C529" s="55" t="s">
        <v>381</v>
      </c>
      <c r="D529" s="80">
        <v>3</v>
      </c>
    </row>
    <row r="530" spans="2:4">
      <c r="B530" s="55" t="s">
        <v>343</v>
      </c>
      <c r="C530" s="55" t="s">
        <v>381</v>
      </c>
      <c r="D530" s="80">
        <v>868</v>
      </c>
    </row>
    <row r="531" spans="2:4">
      <c r="B531" s="55" t="s">
        <v>344</v>
      </c>
      <c r="C531" s="55" t="s">
        <v>381</v>
      </c>
      <c r="D531" s="80">
        <v>812</v>
      </c>
    </row>
    <row r="532" spans="2:4">
      <c r="B532" s="55" t="s">
        <v>345</v>
      </c>
      <c r="C532" s="55" t="s">
        <v>381</v>
      </c>
      <c r="D532" s="80">
        <v>7900</v>
      </c>
    </row>
    <row r="533" spans="2:4">
      <c r="B533" s="55" t="s">
        <v>345</v>
      </c>
      <c r="C533" s="55" t="s">
        <v>381</v>
      </c>
      <c r="D533" s="80">
        <v>9910</v>
      </c>
    </row>
    <row r="534" spans="2:4">
      <c r="B534" s="55" t="s">
        <v>346</v>
      </c>
      <c r="C534" s="55" t="s">
        <v>381</v>
      </c>
      <c r="D534" s="80">
        <v>8270</v>
      </c>
    </row>
    <row r="535" spans="2:4">
      <c r="B535" s="55" t="s">
        <v>346</v>
      </c>
      <c r="C535" s="55" t="s">
        <v>381</v>
      </c>
      <c r="D535" s="80">
        <v>9050</v>
      </c>
    </row>
    <row r="536" spans="2:4">
      <c r="B536" s="55" t="s">
        <v>347</v>
      </c>
      <c r="C536" s="55" t="s">
        <v>381</v>
      </c>
      <c r="D536" s="80">
        <v>10900</v>
      </c>
    </row>
    <row r="537" spans="2:4">
      <c r="B537" s="55" t="s">
        <v>348</v>
      </c>
      <c r="C537" s="55" t="s">
        <v>381</v>
      </c>
      <c r="D537" s="80">
        <v>11100</v>
      </c>
    </row>
    <row r="538" spans="2:4">
      <c r="B538" s="55" t="s">
        <v>220</v>
      </c>
      <c r="C538" s="55" t="s">
        <v>381</v>
      </c>
      <c r="D538" s="80">
        <v>8010</v>
      </c>
    </row>
    <row r="539" spans="2:4">
      <c r="B539" s="55" t="s">
        <v>220</v>
      </c>
      <c r="C539" s="55" t="s">
        <v>381</v>
      </c>
      <c r="D539" s="80">
        <v>15100</v>
      </c>
    </row>
    <row r="540" spans="2:4">
      <c r="B540" s="55" t="s">
        <v>221</v>
      </c>
      <c r="C540" s="55" t="s">
        <v>381</v>
      </c>
      <c r="D540" s="80">
        <v>4590</v>
      </c>
    </row>
    <row r="541" spans="2:4">
      <c r="B541" s="55" t="s">
        <v>222</v>
      </c>
      <c r="C541" s="55" t="s">
        <v>381</v>
      </c>
      <c r="D541" s="80">
        <v>7800</v>
      </c>
    </row>
    <row r="542" spans="2:4">
      <c r="B542" s="55" t="s">
        <v>349</v>
      </c>
      <c r="C542" s="55" t="s">
        <v>381</v>
      </c>
      <c r="D542" s="80">
        <v>151</v>
      </c>
    </row>
    <row r="543" spans="2:4">
      <c r="B543" s="55" t="s">
        <v>350</v>
      </c>
      <c r="C543" s="55" t="s">
        <v>381</v>
      </c>
      <c r="D543" s="80">
        <v>1</v>
      </c>
    </row>
    <row r="544" spans="2:4">
      <c r="B544" s="55" t="s">
        <v>223</v>
      </c>
      <c r="C544" s="55" t="s">
        <v>381</v>
      </c>
      <c r="D544" s="80">
        <v>8210</v>
      </c>
    </row>
    <row r="545" spans="2:4">
      <c r="B545" s="55" t="s">
        <v>351</v>
      </c>
      <c r="C545" s="55" t="s">
        <v>381</v>
      </c>
      <c r="D545" s="80">
        <v>1</v>
      </c>
    </row>
    <row r="546" spans="2:4">
      <c r="B546" s="55" t="s">
        <v>352</v>
      </c>
      <c r="C546" s="55" t="s">
        <v>381</v>
      </c>
      <c r="D546" s="80">
        <v>0</v>
      </c>
    </row>
    <row r="547" spans="2:4">
      <c r="B547" s="55" t="s">
        <v>353</v>
      </c>
      <c r="C547" s="55" t="s">
        <v>381</v>
      </c>
      <c r="D547" s="80">
        <v>0</v>
      </c>
    </row>
    <row r="548" spans="2:4">
      <c r="B548" s="55" t="s">
        <v>224</v>
      </c>
      <c r="C548" s="55" t="s">
        <v>381</v>
      </c>
      <c r="D548" s="80">
        <v>1800</v>
      </c>
    </row>
    <row r="549" spans="2:4">
      <c r="B549" s="55" t="s">
        <v>225</v>
      </c>
      <c r="C549" s="55" t="s">
        <v>381</v>
      </c>
      <c r="D549" s="80">
        <v>84</v>
      </c>
    </row>
    <row r="550" spans="2:4">
      <c r="B550" s="55" t="s">
        <v>226</v>
      </c>
      <c r="C550" s="55" t="s">
        <v>381</v>
      </c>
      <c r="D550" s="80">
        <v>12400</v>
      </c>
    </row>
    <row r="551" spans="2:4">
      <c r="B551" s="55" t="s">
        <v>227</v>
      </c>
      <c r="C551" s="55" t="s">
        <v>381</v>
      </c>
      <c r="D551" s="80">
        <v>11000</v>
      </c>
    </row>
    <row r="552" spans="2:4">
      <c r="B552" s="55" t="s">
        <v>228</v>
      </c>
      <c r="C552" s="55" t="s">
        <v>381</v>
      </c>
      <c r="D552" s="80">
        <v>11600</v>
      </c>
    </row>
    <row r="553" spans="2:4">
      <c r="B553" s="55" t="s">
        <v>229</v>
      </c>
      <c r="C553" s="55" t="s">
        <v>381</v>
      </c>
      <c r="D553" s="80">
        <v>1890</v>
      </c>
    </row>
    <row r="554" spans="2:4">
      <c r="B554" s="55" t="s">
        <v>354</v>
      </c>
      <c r="C554" s="55" t="s">
        <v>381</v>
      </c>
      <c r="D554" s="80">
        <v>12</v>
      </c>
    </row>
    <row r="555" spans="2:4">
      <c r="B555" s="55" t="s">
        <v>230</v>
      </c>
      <c r="C555" s="55" t="s">
        <v>381</v>
      </c>
      <c r="D555" s="80">
        <v>9</v>
      </c>
    </row>
    <row r="556" spans="2:4">
      <c r="B556" s="55" t="s">
        <v>355</v>
      </c>
      <c r="C556" s="55" t="s">
        <v>381</v>
      </c>
      <c r="D556" s="80">
        <v>350</v>
      </c>
    </row>
    <row r="557" spans="2:4">
      <c r="B557" s="55" t="s">
        <v>231</v>
      </c>
      <c r="C557" s="55" t="s">
        <v>381</v>
      </c>
      <c r="D557" s="80">
        <v>33</v>
      </c>
    </row>
    <row r="558" spans="2:4">
      <c r="B558" s="55" t="s">
        <v>232</v>
      </c>
      <c r="C558" s="55" t="s">
        <v>381</v>
      </c>
      <c r="D558" s="80">
        <v>12800</v>
      </c>
    </row>
    <row r="559" spans="2:4">
      <c r="B559" s="55" t="s">
        <v>233</v>
      </c>
      <c r="C559" s="55" t="s">
        <v>381</v>
      </c>
      <c r="D559" s="80">
        <v>264</v>
      </c>
    </row>
    <row r="560" spans="2:4">
      <c r="B560" s="55" t="s">
        <v>356</v>
      </c>
      <c r="C560" s="55" t="s">
        <v>381</v>
      </c>
      <c r="D560" s="80">
        <v>7</v>
      </c>
    </row>
    <row r="561" spans="2:4">
      <c r="B561" s="55" t="s">
        <v>357</v>
      </c>
      <c r="C561" s="55" t="s">
        <v>381</v>
      </c>
      <c r="D561" s="80">
        <v>5680</v>
      </c>
    </row>
    <row r="562" spans="2:4">
      <c r="B562" s="55" t="s">
        <v>358</v>
      </c>
      <c r="C562" s="55" t="s">
        <v>381</v>
      </c>
      <c r="D562" s="80">
        <v>1</v>
      </c>
    </row>
    <row r="563" spans="2:4">
      <c r="B563" s="55" t="s">
        <v>359</v>
      </c>
      <c r="C563" s="55" t="s">
        <v>381</v>
      </c>
      <c r="D563" s="80">
        <v>6</v>
      </c>
    </row>
    <row r="564" spans="2:4">
      <c r="B564" s="55" t="s">
        <v>234</v>
      </c>
      <c r="C564" s="55" t="s">
        <v>381</v>
      </c>
      <c r="D564" s="80">
        <v>6870</v>
      </c>
    </row>
    <row r="565" spans="2:4">
      <c r="B565" s="55" t="s">
        <v>360</v>
      </c>
      <c r="C565" s="55" t="s">
        <v>381</v>
      </c>
      <c r="D565" s="80">
        <v>6</v>
      </c>
    </row>
    <row r="566" spans="2:4">
      <c r="B566" s="55" t="s">
        <v>361</v>
      </c>
      <c r="C566" s="55" t="s">
        <v>381</v>
      </c>
      <c r="D566" s="80">
        <v>1440</v>
      </c>
    </row>
    <row r="567" spans="2:4">
      <c r="B567" s="55" t="s">
        <v>235</v>
      </c>
      <c r="C567" s="55" t="s">
        <v>381</v>
      </c>
      <c r="D567" s="80">
        <v>7110</v>
      </c>
    </row>
    <row r="568" spans="2:4">
      <c r="B568" s="55" t="s">
        <v>236</v>
      </c>
      <c r="C568" s="55" t="s">
        <v>381</v>
      </c>
      <c r="D568" s="80">
        <v>5390</v>
      </c>
    </row>
    <row r="569" spans="2:4">
      <c r="B569" s="55" t="s">
        <v>362</v>
      </c>
      <c r="C569" s="55" t="s">
        <v>381</v>
      </c>
      <c r="D569" s="80">
        <v>5430</v>
      </c>
    </row>
    <row r="570" spans="2:4">
      <c r="B570" s="55" t="s">
        <v>363</v>
      </c>
      <c r="C570" s="55" t="s">
        <v>381</v>
      </c>
      <c r="D570" s="80">
        <v>4720</v>
      </c>
    </row>
    <row r="571" spans="2:4">
      <c r="B571" s="55" t="s">
        <v>364</v>
      </c>
      <c r="C571" s="55" t="s">
        <v>381</v>
      </c>
      <c r="D571" s="80">
        <v>8</v>
      </c>
    </row>
    <row r="572" spans="2:4">
      <c r="B572" s="55" t="s">
        <v>365</v>
      </c>
      <c r="C572" s="55" t="s">
        <v>381</v>
      </c>
      <c r="D572" s="80">
        <v>2130</v>
      </c>
    </row>
    <row r="573" spans="2:4">
      <c r="B573" s="55" t="s">
        <v>366</v>
      </c>
      <c r="C573" s="55" t="s">
        <v>381</v>
      </c>
      <c r="D573" s="80">
        <v>5830</v>
      </c>
    </row>
    <row r="574" spans="2:4">
      <c r="B574" s="55" t="s">
        <v>237</v>
      </c>
      <c r="C574" s="55" t="s">
        <v>381</v>
      </c>
      <c r="D574" s="80">
        <v>5890</v>
      </c>
    </row>
    <row r="575" spans="2:4">
      <c r="B575" s="55" t="s">
        <v>238</v>
      </c>
      <c r="C575" s="55" t="s">
        <v>381</v>
      </c>
      <c r="D575" s="80">
        <v>6350</v>
      </c>
    </row>
    <row r="576" spans="2:4">
      <c r="B576" s="55" t="s">
        <v>239</v>
      </c>
      <c r="C576" s="55" t="s">
        <v>381</v>
      </c>
      <c r="D576" s="80">
        <v>6640</v>
      </c>
    </row>
    <row r="577" spans="2:4">
      <c r="B577" s="55" t="s">
        <v>367</v>
      </c>
      <c r="C577" s="55" t="s">
        <v>381</v>
      </c>
      <c r="D577" s="80">
        <v>6</v>
      </c>
    </row>
    <row r="578" spans="2:4">
      <c r="B578" s="55" t="s">
        <v>368</v>
      </c>
      <c r="C578" s="55" t="s">
        <v>381</v>
      </c>
      <c r="D578" s="80">
        <v>1380</v>
      </c>
    </row>
    <row r="579" spans="2:4">
      <c r="B579" s="55" t="s">
        <v>369</v>
      </c>
      <c r="C579" s="55" t="s">
        <v>381</v>
      </c>
      <c r="D579" s="80">
        <v>1</v>
      </c>
    </row>
    <row r="580" spans="2:4">
      <c r="B580" s="55" t="s">
        <v>370</v>
      </c>
      <c r="C580" s="55" t="s">
        <v>381</v>
      </c>
      <c r="D580" s="80">
        <v>7940</v>
      </c>
    </row>
    <row r="581" spans="2:4">
      <c r="B581" s="55" t="s">
        <v>240</v>
      </c>
      <c r="C581" s="55" t="s">
        <v>381</v>
      </c>
      <c r="D581" s="80">
        <v>1910</v>
      </c>
    </row>
    <row r="582" spans="2:4">
      <c r="B582" s="55" t="s">
        <v>371</v>
      </c>
      <c r="C582" s="55" t="s">
        <v>381</v>
      </c>
      <c r="D582" s="80">
        <v>278</v>
      </c>
    </row>
    <row r="583" spans="2:4">
      <c r="B583" s="55" t="s">
        <v>372</v>
      </c>
      <c r="C583" s="55" t="s">
        <v>381</v>
      </c>
      <c r="D583" s="80">
        <v>795</v>
      </c>
    </row>
    <row r="584" spans="2:4">
      <c r="B584" s="55" t="s">
        <v>241</v>
      </c>
      <c r="C584" s="55" t="s">
        <v>381</v>
      </c>
      <c r="D584" s="80">
        <v>17500</v>
      </c>
    </row>
    <row r="585" spans="2:4">
      <c r="B585" s="55" t="s">
        <v>373</v>
      </c>
      <c r="C585" s="55" t="s">
        <v>381</v>
      </c>
      <c r="D585" s="80">
        <v>6840</v>
      </c>
    </row>
    <row r="586" spans="2:4">
      <c r="B586" s="55" t="s">
        <v>374</v>
      </c>
      <c r="C586" s="55" t="s">
        <v>381</v>
      </c>
      <c r="D586" s="80">
        <v>1</v>
      </c>
    </row>
    <row r="587" spans="2:4">
      <c r="B587" s="55" t="s">
        <v>375</v>
      </c>
      <c r="C587" s="55" t="s">
        <v>381</v>
      </c>
      <c r="D587" s="80">
        <v>815</v>
      </c>
    </row>
    <row r="588" spans="2:4">
      <c r="B588" s="55" t="s">
        <v>376</v>
      </c>
      <c r="C588" s="55" t="s">
        <v>381</v>
      </c>
      <c r="D588" s="80">
        <v>1</v>
      </c>
    </row>
    <row r="589" spans="2:4">
      <c r="B589" s="55" t="s">
        <v>377</v>
      </c>
      <c r="C589" s="55" t="s">
        <v>381</v>
      </c>
      <c r="D589" s="80">
        <v>8</v>
      </c>
    </row>
    <row r="590" spans="2:4">
      <c r="B590" s="55" t="s">
        <v>378</v>
      </c>
      <c r="C590" s="55" t="s">
        <v>381</v>
      </c>
      <c r="D590" s="80">
        <v>2150</v>
      </c>
    </row>
    <row r="591" spans="2:4">
      <c r="B591" s="55" t="s">
        <v>242</v>
      </c>
      <c r="C591" s="55" t="s">
        <v>381</v>
      </c>
      <c r="D591" s="80">
        <v>13500</v>
      </c>
    </row>
    <row r="592" spans="2:4">
      <c r="B592" s="55" t="s">
        <v>379</v>
      </c>
      <c r="C592" s="55" t="s">
        <v>381</v>
      </c>
      <c r="D592" s="80">
        <v>1</v>
      </c>
    </row>
    <row r="593" spans="2:4">
      <c r="B593" s="55" t="s">
        <v>380</v>
      </c>
      <c r="C593" s="55" t="s">
        <v>381</v>
      </c>
      <c r="D593" s="80">
        <v>1</v>
      </c>
    </row>
    <row r="594" spans="2:4">
      <c r="B594" s="55" t="s">
        <v>247</v>
      </c>
      <c r="C594" s="55" t="s">
        <v>382</v>
      </c>
      <c r="D594" s="80">
        <v>2.08</v>
      </c>
    </row>
    <row r="595" spans="2:4">
      <c r="B595" s="55" t="s">
        <v>248</v>
      </c>
      <c r="C595" s="55" t="s">
        <v>382</v>
      </c>
      <c r="D595" s="80">
        <v>206</v>
      </c>
    </row>
    <row r="596" spans="2:4">
      <c r="B596" s="55" t="s">
        <v>249</v>
      </c>
      <c r="C596" s="55" t="s">
        <v>382</v>
      </c>
      <c r="D596" s="80">
        <v>269</v>
      </c>
    </row>
    <row r="597" spans="2:4">
      <c r="B597" s="55" t="s">
        <v>181</v>
      </c>
      <c r="C597" s="55" t="s">
        <v>382</v>
      </c>
      <c r="D597" s="80">
        <v>161</v>
      </c>
    </row>
    <row r="598" spans="2:4">
      <c r="B598" s="55" t="s">
        <v>182</v>
      </c>
      <c r="C598" s="55" t="s">
        <v>382</v>
      </c>
      <c r="D598" s="80">
        <v>328</v>
      </c>
    </row>
    <row r="599" spans="2:4">
      <c r="B599" s="55" t="s">
        <v>182</v>
      </c>
      <c r="C599" s="55" t="s">
        <v>382</v>
      </c>
      <c r="D599" s="80">
        <v>229</v>
      </c>
    </row>
    <row r="600" spans="2:4">
      <c r="B600" s="55" t="s">
        <v>250</v>
      </c>
      <c r="C600" s="55" t="s">
        <v>382</v>
      </c>
      <c r="D600" s="80">
        <v>1.68</v>
      </c>
    </row>
    <row r="601" spans="2:4">
      <c r="B601" s="55" t="s">
        <v>251</v>
      </c>
      <c r="C601" s="55" t="s">
        <v>382</v>
      </c>
      <c r="D601" s="80">
        <v>1260</v>
      </c>
    </row>
    <row r="602" spans="2:4">
      <c r="B602" s="55" t="s">
        <v>183</v>
      </c>
      <c r="C602" s="55" t="s">
        <v>382</v>
      </c>
      <c r="D602" s="80">
        <v>2170</v>
      </c>
    </row>
    <row r="603" spans="2:4">
      <c r="B603" s="55" t="s">
        <v>256</v>
      </c>
      <c r="C603" s="55" t="s">
        <v>382</v>
      </c>
      <c r="D603" s="80">
        <v>1.3</v>
      </c>
    </row>
    <row r="604" spans="2:4">
      <c r="B604" s="55" t="s">
        <v>383</v>
      </c>
      <c r="C604" s="55" t="s">
        <v>382</v>
      </c>
      <c r="D604" s="80">
        <v>5.1999999999999998E-2</v>
      </c>
    </row>
    <row r="605" spans="2:4">
      <c r="B605" s="55" t="s">
        <v>257</v>
      </c>
      <c r="C605" s="55" t="s">
        <v>382</v>
      </c>
      <c r="D605" s="80">
        <v>36.5</v>
      </c>
    </row>
    <row r="606" spans="2:4">
      <c r="B606" s="55" t="s">
        <v>384</v>
      </c>
      <c r="C606" s="55" t="s">
        <v>382</v>
      </c>
      <c r="D606" s="80">
        <v>7.0000000000000001E-3</v>
      </c>
    </row>
    <row r="607" spans="2:4">
      <c r="B607" s="55" t="s">
        <v>259</v>
      </c>
      <c r="C607" s="55" t="s">
        <v>382</v>
      </c>
      <c r="D607" s="80">
        <v>26.4</v>
      </c>
    </row>
    <row r="608" spans="2:4">
      <c r="B608" s="55" t="s">
        <v>260</v>
      </c>
      <c r="C608" s="55" t="s">
        <v>382</v>
      </c>
      <c r="D608" s="80">
        <v>0.20399999999999999</v>
      </c>
    </row>
    <row r="609" spans="2:4">
      <c r="B609" s="55" t="s">
        <v>261</v>
      </c>
      <c r="C609" s="55" t="s">
        <v>382</v>
      </c>
      <c r="D609" s="80">
        <v>0.16200000000000001</v>
      </c>
    </row>
    <row r="610" spans="2:4">
      <c r="B610" s="55" t="s">
        <v>262</v>
      </c>
      <c r="C610" s="55" t="s">
        <v>382</v>
      </c>
      <c r="D610" s="80">
        <v>34.299999999999997</v>
      </c>
    </row>
    <row r="611" spans="2:4">
      <c r="B611" s="55" t="s">
        <v>263</v>
      </c>
      <c r="C611" s="55" t="s">
        <v>382</v>
      </c>
      <c r="D611" s="80">
        <v>14.4</v>
      </c>
    </row>
    <row r="612" spans="2:4">
      <c r="B612" s="55" t="s">
        <v>264</v>
      </c>
      <c r="C612" s="55" t="s">
        <v>382</v>
      </c>
      <c r="D612" s="80">
        <v>0.34399999999999997</v>
      </c>
    </row>
    <row r="613" spans="2:4">
      <c r="B613" s="55" t="s">
        <v>265</v>
      </c>
      <c r="C613" s="55" t="s">
        <v>382</v>
      </c>
      <c r="D613" s="80">
        <v>0.315</v>
      </c>
    </row>
    <row r="614" spans="2:4">
      <c r="B614" s="55" t="s">
        <v>266</v>
      </c>
      <c r="C614" s="55" t="s">
        <v>382</v>
      </c>
      <c r="D614" s="80">
        <v>3.88</v>
      </c>
    </row>
    <row r="615" spans="2:4">
      <c r="B615" s="55" t="s">
        <v>267</v>
      </c>
      <c r="C615" s="55" t="s">
        <v>382</v>
      </c>
      <c r="D615" s="80">
        <v>0.501</v>
      </c>
    </row>
    <row r="616" spans="2:4">
      <c r="B616" s="55" t="s">
        <v>268</v>
      </c>
      <c r="C616" s="55" t="s">
        <v>382</v>
      </c>
      <c r="D616" s="80">
        <v>30.5</v>
      </c>
    </row>
    <row r="617" spans="2:4">
      <c r="B617" s="55" t="s">
        <v>269</v>
      </c>
      <c r="C617" s="55" t="s">
        <v>382</v>
      </c>
      <c r="D617" s="80">
        <v>2980</v>
      </c>
    </row>
    <row r="618" spans="2:4">
      <c r="B618" s="55" t="s">
        <v>270</v>
      </c>
      <c r="C618" s="55" t="s">
        <v>382</v>
      </c>
      <c r="D618" s="80">
        <v>35.700000000000003</v>
      </c>
    </row>
    <row r="619" spans="2:4">
      <c r="B619" s="55" t="s">
        <v>272</v>
      </c>
      <c r="C619" s="55" t="s">
        <v>382</v>
      </c>
      <c r="D619" s="80">
        <v>54.8</v>
      </c>
    </row>
    <row r="620" spans="2:4">
      <c r="B620" s="55" t="s">
        <v>273</v>
      </c>
      <c r="C620" s="55" t="s">
        <v>382</v>
      </c>
      <c r="D620" s="80">
        <v>1100</v>
      </c>
    </row>
    <row r="621" spans="2:4">
      <c r="B621" s="55" t="s">
        <v>274</v>
      </c>
      <c r="C621" s="55" t="s">
        <v>382</v>
      </c>
      <c r="D621" s="80">
        <v>6.18</v>
      </c>
    </row>
    <row r="622" spans="2:4">
      <c r="B622" s="55" t="s">
        <v>275</v>
      </c>
      <c r="C622" s="55" t="s">
        <v>382</v>
      </c>
      <c r="D622" s="80">
        <v>201</v>
      </c>
    </row>
    <row r="623" spans="2:4">
      <c r="B623" s="55" t="s">
        <v>276</v>
      </c>
      <c r="C623" s="55" t="s">
        <v>382</v>
      </c>
      <c r="D623" s="80">
        <v>177</v>
      </c>
    </row>
    <row r="624" spans="2:4">
      <c r="B624" s="55" t="s">
        <v>277</v>
      </c>
      <c r="C624" s="55" t="s">
        <v>382</v>
      </c>
      <c r="D624" s="80">
        <v>136</v>
      </c>
    </row>
    <row r="625" spans="2:4">
      <c r="B625" s="55" t="s">
        <v>385</v>
      </c>
      <c r="C625" s="55" t="s">
        <v>382</v>
      </c>
      <c r="D625" s="80">
        <v>0</v>
      </c>
    </row>
    <row r="626" spans="2:4">
      <c r="B626" s="55" t="s">
        <v>386</v>
      </c>
      <c r="C626" s="55" t="s">
        <v>382</v>
      </c>
      <c r="D626" s="80">
        <v>0.18099999999999999</v>
      </c>
    </row>
    <row r="627" spans="2:4">
      <c r="B627" s="55" t="s">
        <v>278</v>
      </c>
      <c r="C627" s="55" t="s">
        <v>382</v>
      </c>
      <c r="D627" s="80">
        <v>48.7</v>
      </c>
    </row>
    <row r="628" spans="2:4">
      <c r="B628" s="55" t="s">
        <v>279</v>
      </c>
      <c r="C628" s="55" t="s">
        <v>382</v>
      </c>
      <c r="D628" s="80">
        <v>0.53</v>
      </c>
    </row>
    <row r="629" spans="2:4">
      <c r="B629" s="55" t="s">
        <v>280</v>
      </c>
      <c r="C629" s="55" t="s">
        <v>382</v>
      </c>
      <c r="D629" s="80">
        <v>0.26100000000000001</v>
      </c>
    </row>
    <row r="630" spans="2:4">
      <c r="B630" s="55" t="s">
        <v>281</v>
      </c>
      <c r="C630" s="55" t="s">
        <v>382</v>
      </c>
      <c r="D630" s="80">
        <v>0.62</v>
      </c>
    </row>
    <row r="631" spans="2:4">
      <c r="B631" s="55" t="s">
        <v>283</v>
      </c>
      <c r="C631" s="55" t="s">
        <v>382</v>
      </c>
      <c r="D631" s="80">
        <v>0.53300000000000003</v>
      </c>
    </row>
    <row r="632" spans="2:4">
      <c r="B632" s="55" t="s">
        <v>284</v>
      </c>
      <c r="C632" s="55" t="s">
        <v>382</v>
      </c>
      <c r="D632" s="80">
        <v>0.27300000000000002</v>
      </c>
    </row>
    <row r="633" spans="2:4">
      <c r="B633" s="55" t="s">
        <v>285</v>
      </c>
      <c r="C633" s="55" t="s">
        <v>382</v>
      </c>
      <c r="D633" s="80">
        <v>0.44900000000000001</v>
      </c>
    </row>
    <row r="634" spans="2:4">
      <c r="B634" s="55" t="s">
        <v>387</v>
      </c>
      <c r="C634" s="55" t="s">
        <v>382</v>
      </c>
      <c r="D634" s="80">
        <v>2E-3</v>
      </c>
    </row>
    <row r="635" spans="2:4">
      <c r="B635" s="55" t="s">
        <v>286</v>
      </c>
      <c r="C635" s="55" t="s">
        <v>382</v>
      </c>
      <c r="D635" s="80">
        <v>0.114</v>
      </c>
    </row>
    <row r="636" spans="2:4">
      <c r="B636" s="55" t="s">
        <v>287</v>
      </c>
      <c r="C636" s="55" t="s">
        <v>382</v>
      </c>
      <c r="D636" s="80">
        <v>4.9000000000000002E-2</v>
      </c>
    </row>
    <row r="637" spans="2:4">
      <c r="B637" s="55" t="s">
        <v>288</v>
      </c>
      <c r="C637" s="55" t="s">
        <v>382</v>
      </c>
      <c r="D637" s="80">
        <v>82.3</v>
      </c>
    </row>
    <row r="638" spans="2:4">
      <c r="B638" s="55" t="s">
        <v>289</v>
      </c>
      <c r="C638" s="55" t="s">
        <v>382</v>
      </c>
      <c r="D638" s="80">
        <v>380</v>
      </c>
    </row>
    <row r="639" spans="2:4">
      <c r="B639" s="55" t="s">
        <v>388</v>
      </c>
      <c r="C639" s="55" t="s">
        <v>382</v>
      </c>
      <c r="D639" s="80">
        <v>0.48699999999999999</v>
      </c>
    </row>
    <row r="640" spans="2:4">
      <c r="B640" s="55" t="s">
        <v>389</v>
      </c>
      <c r="C640" s="55" t="s">
        <v>382</v>
      </c>
      <c r="D640" s="80">
        <v>6.0000000000000001E-3</v>
      </c>
    </row>
    <row r="641" spans="2:4">
      <c r="B641" s="55" t="s">
        <v>184</v>
      </c>
      <c r="C641" s="55" t="s">
        <v>382</v>
      </c>
      <c r="D641" s="80">
        <v>460</v>
      </c>
    </row>
    <row r="642" spans="2:4">
      <c r="B642" s="55" t="s">
        <v>184</v>
      </c>
      <c r="C642" s="55" t="s">
        <v>382</v>
      </c>
      <c r="D642" s="80">
        <v>544</v>
      </c>
    </row>
    <row r="643" spans="2:4">
      <c r="B643" s="55" t="s">
        <v>185</v>
      </c>
      <c r="C643" s="55" t="s">
        <v>382</v>
      </c>
      <c r="D643" s="80">
        <v>6230</v>
      </c>
    </row>
    <row r="644" spans="2:4">
      <c r="B644" s="55" t="s">
        <v>390</v>
      </c>
      <c r="C644" s="55" t="s">
        <v>382</v>
      </c>
      <c r="D644" s="80">
        <v>4620</v>
      </c>
    </row>
    <row r="645" spans="2:4">
      <c r="B645" s="55" t="s">
        <v>186</v>
      </c>
      <c r="C645" s="55" t="s">
        <v>382</v>
      </c>
      <c r="D645" s="80">
        <v>6520</v>
      </c>
    </row>
    <row r="646" spans="2:4">
      <c r="B646" s="55" t="s">
        <v>391</v>
      </c>
      <c r="C646" s="55" t="s">
        <v>382</v>
      </c>
      <c r="D646" s="80">
        <v>3930</v>
      </c>
    </row>
    <row r="647" spans="2:4">
      <c r="B647" s="55" t="s">
        <v>187</v>
      </c>
      <c r="C647" s="55" t="s">
        <v>382</v>
      </c>
      <c r="D647" s="80">
        <v>9430</v>
      </c>
    </row>
    <row r="648" spans="2:4">
      <c r="B648" s="55" t="s">
        <v>392</v>
      </c>
      <c r="C648" s="55" t="s">
        <v>382</v>
      </c>
      <c r="D648" s="80">
        <v>7420</v>
      </c>
    </row>
    <row r="649" spans="2:4">
      <c r="B649" s="55" t="s">
        <v>188</v>
      </c>
      <c r="C649" s="55" t="s">
        <v>382</v>
      </c>
      <c r="D649" s="80">
        <v>9600</v>
      </c>
    </row>
    <row r="650" spans="2:4">
      <c r="B650" s="55" t="s">
        <v>189</v>
      </c>
      <c r="C650" s="55" t="s">
        <v>382</v>
      </c>
      <c r="D650" s="80">
        <v>12500</v>
      </c>
    </row>
    <row r="651" spans="2:4">
      <c r="B651" s="55" t="s">
        <v>190</v>
      </c>
      <c r="C651" s="55" t="s">
        <v>382</v>
      </c>
      <c r="D651" s="80">
        <v>16200</v>
      </c>
    </row>
    <row r="652" spans="2:4">
      <c r="B652" s="55" t="s">
        <v>191</v>
      </c>
      <c r="C652" s="55" t="s">
        <v>382</v>
      </c>
      <c r="D652" s="80">
        <v>1</v>
      </c>
    </row>
    <row r="653" spans="2:4">
      <c r="B653" s="55" t="s">
        <v>192</v>
      </c>
      <c r="C653" s="55" t="s">
        <v>382</v>
      </c>
      <c r="D653" s="80">
        <v>2200</v>
      </c>
    </row>
    <row r="654" spans="2:4">
      <c r="B654" s="55" t="s">
        <v>193</v>
      </c>
      <c r="C654" s="55" t="s">
        <v>382</v>
      </c>
      <c r="D654" s="80">
        <v>7380</v>
      </c>
    </row>
    <row r="655" spans="2:4">
      <c r="B655" s="55" t="s">
        <v>393</v>
      </c>
      <c r="C655" s="55" t="s">
        <v>382</v>
      </c>
      <c r="D655" s="80">
        <v>0.48099999999999998</v>
      </c>
    </row>
    <row r="656" spans="2:4">
      <c r="B656" s="55" t="s">
        <v>291</v>
      </c>
      <c r="C656" s="55" t="s">
        <v>382</v>
      </c>
      <c r="D656" s="80">
        <v>20.6</v>
      </c>
    </row>
    <row r="657" spans="2:4">
      <c r="B657" s="55" t="s">
        <v>194</v>
      </c>
      <c r="C657" s="55" t="s">
        <v>382</v>
      </c>
      <c r="D657" s="80">
        <v>5.54</v>
      </c>
    </row>
    <row r="658" spans="2:4">
      <c r="B658" s="55" t="s">
        <v>394</v>
      </c>
      <c r="C658" s="55" t="s">
        <v>382</v>
      </c>
      <c r="D658" s="80">
        <v>0</v>
      </c>
    </row>
    <row r="659" spans="2:4">
      <c r="B659" s="55" t="s">
        <v>292</v>
      </c>
      <c r="C659" s="55" t="s">
        <v>382</v>
      </c>
      <c r="D659" s="80">
        <v>216</v>
      </c>
    </row>
    <row r="660" spans="2:4">
      <c r="B660" s="55" t="s">
        <v>293</v>
      </c>
      <c r="C660" s="55" t="s">
        <v>382</v>
      </c>
      <c r="D660" s="80">
        <v>1.51</v>
      </c>
    </row>
    <row r="661" spans="2:4">
      <c r="B661" s="55" t="s">
        <v>295</v>
      </c>
      <c r="C661" s="55" t="s">
        <v>382</v>
      </c>
      <c r="D661" s="80">
        <v>136</v>
      </c>
    </row>
    <row r="662" spans="2:4">
      <c r="B662" s="55" t="s">
        <v>297</v>
      </c>
      <c r="C662" s="55" t="s">
        <v>382</v>
      </c>
      <c r="D662" s="80">
        <v>599</v>
      </c>
    </row>
    <row r="663" spans="2:4">
      <c r="B663" s="55" t="s">
        <v>298</v>
      </c>
      <c r="C663" s="55" t="s">
        <v>382</v>
      </c>
      <c r="D663" s="80">
        <v>654</v>
      </c>
    </row>
    <row r="664" spans="2:4">
      <c r="B664" s="55" t="s">
        <v>395</v>
      </c>
      <c r="C664" s="55" t="s">
        <v>382</v>
      </c>
      <c r="D664" s="80">
        <v>0.437</v>
      </c>
    </row>
    <row r="665" spans="2:4">
      <c r="B665" s="55" t="s">
        <v>299</v>
      </c>
      <c r="C665" s="55" t="s">
        <v>382</v>
      </c>
      <c r="D665" s="80">
        <v>29.2</v>
      </c>
    </row>
    <row r="666" spans="2:4">
      <c r="B666" s="55" t="s">
        <v>196</v>
      </c>
      <c r="C666" s="55" t="s">
        <v>382</v>
      </c>
      <c r="D666" s="80">
        <v>747</v>
      </c>
    </row>
    <row r="667" spans="2:4">
      <c r="B667" s="55" t="s">
        <v>300</v>
      </c>
      <c r="C667" s="55" t="s">
        <v>382</v>
      </c>
      <c r="D667" s="80">
        <v>7520</v>
      </c>
    </row>
    <row r="668" spans="2:4">
      <c r="B668" s="55" t="s">
        <v>301</v>
      </c>
      <c r="C668" s="55" t="s">
        <v>382</v>
      </c>
      <c r="D668" s="80">
        <v>2.06</v>
      </c>
    </row>
    <row r="669" spans="2:4">
      <c r="B669" s="55" t="s">
        <v>303</v>
      </c>
      <c r="C669" s="55" t="s">
        <v>382</v>
      </c>
      <c r="D669" s="80">
        <v>342</v>
      </c>
    </row>
    <row r="670" spans="2:4">
      <c r="B670" s="55" t="s">
        <v>304</v>
      </c>
      <c r="C670" s="55" t="s">
        <v>382</v>
      </c>
      <c r="D670" s="80">
        <v>934</v>
      </c>
    </row>
    <row r="671" spans="2:4">
      <c r="B671" s="55" t="s">
        <v>396</v>
      </c>
      <c r="C671" s="55" t="s">
        <v>382</v>
      </c>
      <c r="D671" s="80">
        <v>46.6</v>
      </c>
    </row>
    <row r="672" spans="2:4">
      <c r="B672" s="55" t="s">
        <v>306</v>
      </c>
      <c r="C672" s="55" t="s">
        <v>382</v>
      </c>
      <c r="D672" s="80">
        <v>12.5</v>
      </c>
    </row>
    <row r="673" spans="2:4">
      <c r="B673" s="55" t="s">
        <v>307</v>
      </c>
      <c r="C673" s="55" t="s">
        <v>382</v>
      </c>
      <c r="D673" s="80">
        <v>2590</v>
      </c>
    </row>
    <row r="674" spans="2:4">
      <c r="B674" s="55" t="s">
        <v>197</v>
      </c>
      <c r="C674" s="55" t="s">
        <v>382</v>
      </c>
      <c r="D674" s="80">
        <v>878</v>
      </c>
    </row>
    <row r="675" spans="2:4">
      <c r="B675" s="55" t="s">
        <v>308</v>
      </c>
      <c r="C675" s="55" t="s">
        <v>382</v>
      </c>
      <c r="D675" s="80">
        <v>5.8000000000000003E-2</v>
      </c>
    </row>
    <row r="676" spans="2:4">
      <c r="B676" s="55" t="s">
        <v>198</v>
      </c>
      <c r="C676" s="55" t="s">
        <v>382</v>
      </c>
      <c r="D676" s="80">
        <v>60.7</v>
      </c>
    </row>
    <row r="677" spans="2:4">
      <c r="B677" s="55" t="s">
        <v>309</v>
      </c>
      <c r="C677" s="55" t="s">
        <v>382</v>
      </c>
      <c r="D677" s="80">
        <v>1.58</v>
      </c>
    </row>
    <row r="678" spans="2:4">
      <c r="B678" s="55" t="s">
        <v>397</v>
      </c>
      <c r="C678" s="55" t="s">
        <v>382</v>
      </c>
      <c r="D678" s="80">
        <v>1.02</v>
      </c>
    </row>
    <row r="679" spans="2:4">
      <c r="B679" s="55" t="s">
        <v>398</v>
      </c>
      <c r="C679" s="55" t="s">
        <v>382</v>
      </c>
      <c r="D679" s="80">
        <v>58.3</v>
      </c>
    </row>
    <row r="680" spans="2:4">
      <c r="B680" s="55" t="s">
        <v>312</v>
      </c>
      <c r="C680" s="55" t="s">
        <v>382</v>
      </c>
      <c r="D680" s="80">
        <v>56.4</v>
      </c>
    </row>
    <row r="681" spans="2:4">
      <c r="B681" s="55" t="s">
        <v>313</v>
      </c>
      <c r="C681" s="55" t="s">
        <v>382</v>
      </c>
      <c r="D681" s="80">
        <v>245</v>
      </c>
    </row>
    <row r="682" spans="2:4">
      <c r="B682" s="55" t="s">
        <v>199</v>
      </c>
      <c r="C682" s="55" t="s">
        <v>382</v>
      </c>
      <c r="D682" s="80">
        <v>90.4</v>
      </c>
    </row>
    <row r="683" spans="2:4">
      <c r="B683" s="55" t="s">
        <v>314</v>
      </c>
      <c r="C683" s="55" t="s">
        <v>382</v>
      </c>
      <c r="D683" s="80">
        <v>395</v>
      </c>
    </row>
    <row r="684" spans="2:4">
      <c r="B684" s="55" t="s">
        <v>200</v>
      </c>
      <c r="C684" s="55" t="s">
        <v>382</v>
      </c>
      <c r="D684" s="80">
        <v>597</v>
      </c>
    </row>
    <row r="685" spans="2:4">
      <c r="B685" s="55" t="s">
        <v>399</v>
      </c>
      <c r="C685" s="55" t="s">
        <v>382</v>
      </c>
      <c r="D685" s="80">
        <v>2070</v>
      </c>
    </row>
    <row r="686" spans="2:4">
      <c r="B686" s="55" t="s">
        <v>400</v>
      </c>
      <c r="C686" s="55" t="s">
        <v>382</v>
      </c>
      <c r="D686" s="80">
        <v>122</v>
      </c>
    </row>
    <row r="687" spans="2:4">
      <c r="B687" s="55" t="s">
        <v>401</v>
      </c>
      <c r="C687" s="55" t="s">
        <v>382</v>
      </c>
      <c r="D687" s="80">
        <v>388</v>
      </c>
    </row>
    <row r="688" spans="2:4">
      <c r="B688" s="55" t="s">
        <v>201</v>
      </c>
      <c r="C688" s="55" t="s">
        <v>382</v>
      </c>
      <c r="D688" s="80">
        <v>860</v>
      </c>
    </row>
    <row r="689" spans="2:4">
      <c r="B689" s="55" t="s">
        <v>202</v>
      </c>
      <c r="C689" s="55" t="s">
        <v>382</v>
      </c>
      <c r="D689" s="80">
        <v>2300</v>
      </c>
    </row>
    <row r="690" spans="2:4">
      <c r="B690" s="55" t="s">
        <v>315</v>
      </c>
      <c r="C690" s="55" t="s">
        <v>382</v>
      </c>
      <c r="D690" s="80">
        <v>160</v>
      </c>
    </row>
    <row r="691" spans="2:4">
      <c r="B691" s="55" t="s">
        <v>203</v>
      </c>
      <c r="C691" s="55" t="s">
        <v>382</v>
      </c>
      <c r="D691" s="80">
        <v>1960</v>
      </c>
    </row>
    <row r="692" spans="2:4">
      <c r="B692" s="55" t="s">
        <v>204</v>
      </c>
      <c r="C692" s="55" t="s">
        <v>382</v>
      </c>
      <c r="D692" s="80">
        <v>137</v>
      </c>
    </row>
    <row r="693" spans="2:4">
      <c r="B693" s="55" t="s">
        <v>205</v>
      </c>
      <c r="C693" s="55" t="s">
        <v>382</v>
      </c>
      <c r="D693" s="80">
        <v>568</v>
      </c>
    </row>
    <row r="694" spans="2:4">
      <c r="B694" s="55" t="s">
        <v>402</v>
      </c>
      <c r="C694" s="55" t="s">
        <v>382</v>
      </c>
      <c r="D694" s="80">
        <v>79.400000000000006</v>
      </c>
    </row>
    <row r="695" spans="2:4">
      <c r="B695" s="55" t="s">
        <v>206</v>
      </c>
      <c r="C695" s="55" t="s">
        <v>382</v>
      </c>
      <c r="D695" s="80">
        <v>3740</v>
      </c>
    </row>
    <row r="696" spans="2:4">
      <c r="B696" s="55" t="s">
        <v>317</v>
      </c>
      <c r="C696" s="55" t="s">
        <v>382</v>
      </c>
      <c r="D696" s="80">
        <v>1260</v>
      </c>
    </row>
    <row r="697" spans="2:4">
      <c r="B697" s="55" t="s">
        <v>318</v>
      </c>
      <c r="C697" s="55" t="s">
        <v>382</v>
      </c>
      <c r="D697" s="80">
        <v>0.182</v>
      </c>
    </row>
    <row r="698" spans="2:4">
      <c r="B698" s="55" t="s">
        <v>207</v>
      </c>
      <c r="C698" s="55" t="s">
        <v>382</v>
      </c>
      <c r="D698" s="80">
        <v>1530</v>
      </c>
    </row>
    <row r="699" spans="2:4">
      <c r="B699" s="55" t="s">
        <v>319</v>
      </c>
      <c r="C699" s="55" t="s">
        <v>382</v>
      </c>
      <c r="D699" s="80">
        <v>364</v>
      </c>
    </row>
    <row r="700" spans="2:4">
      <c r="B700" s="55" t="s">
        <v>208</v>
      </c>
      <c r="C700" s="55" t="s">
        <v>382</v>
      </c>
      <c r="D700" s="80">
        <v>5810</v>
      </c>
    </row>
    <row r="701" spans="2:4">
      <c r="B701" s="55" t="s">
        <v>320</v>
      </c>
      <c r="C701" s="55" t="s">
        <v>382</v>
      </c>
      <c r="D701" s="80">
        <v>21.5</v>
      </c>
    </row>
    <row r="702" spans="2:4">
      <c r="B702" s="55" t="s">
        <v>209</v>
      </c>
      <c r="C702" s="55" t="s">
        <v>382</v>
      </c>
      <c r="D702" s="80">
        <v>164</v>
      </c>
    </row>
    <row r="703" spans="2:4">
      <c r="B703" s="55" t="s">
        <v>321</v>
      </c>
      <c r="C703" s="55" t="s">
        <v>382</v>
      </c>
      <c r="D703" s="80">
        <v>4.84</v>
      </c>
    </row>
    <row r="704" spans="2:4">
      <c r="B704" s="55" t="s">
        <v>210</v>
      </c>
      <c r="C704" s="55" t="s">
        <v>382</v>
      </c>
      <c r="D704" s="80">
        <v>3600</v>
      </c>
    </row>
    <row r="705" spans="2:4">
      <c r="B705" s="55" t="s">
        <v>211</v>
      </c>
      <c r="C705" s="55" t="s">
        <v>382</v>
      </c>
      <c r="D705" s="80">
        <v>14600</v>
      </c>
    </row>
    <row r="706" spans="2:4">
      <c r="B706" s="55" t="s">
        <v>322</v>
      </c>
      <c r="C706" s="55" t="s">
        <v>382</v>
      </c>
      <c r="D706" s="80">
        <v>1350</v>
      </c>
    </row>
    <row r="707" spans="2:4">
      <c r="B707" s="55" t="s">
        <v>323</v>
      </c>
      <c r="C707" s="55" t="s">
        <v>382</v>
      </c>
      <c r="D707" s="80">
        <v>1500</v>
      </c>
    </row>
    <row r="708" spans="2:4">
      <c r="B708" s="55" t="s">
        <v>212</v>
      </c>
      <c r="C708" s="55" t="s">
        <v>382</v>
      </c>
      <c r="D708" s="80">
        <v>8690</v>
      </c>
    </row>
    <row r="709" spans="2:4">
      <c r="B709" s="55" t="s">
        <v>324</v>
      </c>
      <c r="C709" s="55" t="s">
        <v>382</v>
      </c>
      <c r="D709" s="80">
        <v>787</v>
      </c>
    </row>
    <row r="710" spans="2:4">
      <c r="B710" s="55" t="s">
        <v>325</v>
      </c>
      <c r="C710" s="55" t="s">
        <v>382</v>
      </c>
      <c r="D710" s="80">
        <v>4550</v>
      </c>
    </row>
    <row r="711" spans="2:4">
      <c r="B711" s="55" t="s">
        <v>326</v>
      </c>
      <c r="C711" s="55" t="s">
        <v>382</v>
      </c>
      <c r="D711" s="80">
        <v>255</v>
      </c>
    </row>
    <row r="712" spans="2:4">
      <c r="B712" s="55" t="s">
        <v>327</v>
      </c>
      <c r="C712" s="55" t="s">
        <v>382</v>
      </c>
      <c r="D712" s="80">
        <v>325</v>
      </c>
    </row>
    <row r="713" spans="2:4">
      <c r="B713" s="55" t="s">
        <v>213</v>
      </c>
      <c r="C713" s="55" t="s">
        <v>382</v>
      </c>
      <c r="D713" s="80">
        <v>962</v>
      </c>
    </row>
    <row r="714" spans="2:4">
      <c r="B714" s="55" t="s">
        <v>214</v>
      </c>
      <c r="C714" s="55" t="s">
        <v>382</v>
      </c>
      <c r="D714" s="80">
        <v>771</v>
      </c>
    </row>
    <row r="715" spans="2:4">
      <c r="B715" s="55" t="s">
        <v>328</v>
      </c>
      <c r="C715" s="55" t="s">
        <v>382</v>
      </c>
      <c r="D715" s="80">
        <v>2890</v>
      </c>
    </row>
    <row r="716" spans="2:4">
      <c r="B716" s="55" t="s">
        <v>215</v>
      </c>
      <c r="C716" s="55" t="s">
        <v>382</v>
      </c>
      <c r="D716" s="80">
        <v>914</v>
      </c>
    </row>
    <row r="717" spans="2:4">
      <c r="B717" s="55" t="s">
        <v>329</v>
      </c>
      <c r="C717" s="55" t="s">
        <v>382</v>
      </c>
      <c r="D717" s="80">
        <v>135</v>
      </c>
    </row>
    <row r="718" spans="2:4">
      <c r="B718" s="55" t="s">
        <v>216</v>
      </c>
      <c r="C718" s="55" t="s">
        <v>382</v>
      </c>
      <c r="D718" s="80">
        <v>1600</v>
      </c>
    </row>
    <row r="719" spans="2:4">
      <c r="B719" s="55" t="s">
        <v>403</v>
      </c>
      <c r="C719" s="55" t="s">
        <v>382</v>
      </c>
      <c r="D719" s="80">
        <v>460</v>
      </c>
    </row>
    <row r="720" spans="2:4">
      <c r="B720" s="55" t="s">
        <v>403</v>
      </c>
      <c r="C720" s="55" t="s">
        <v>382</v>
      </c>
      <c r="D720" s="80">
        <v>544</v>
      </c>
    </row>
    <row r="721" spans="2:4">
      <c r="B721" s="55" t="s">
        <v>330</v>
      </c>
      <c r="C721" s="55" t="s">
        <v>382</v>
      </c>
      <c r="D721" s="80">
        <v>3770</v>
      </c>
    </row>
    <row r="722" spans="2:4">
      <c r="B722" s="55" t="s">
        <v>331</v>
      </c>
      <c r="C722" s="55" t="s">
        <v>382</v>
      </c>
      <c r="D722" s="80">
        <v>4390</v>
      </c>
    </row>
    <row r="723" spans="2:4">
      <c r="B723" s="55" t="s">
        <v>332</v>
      </c>
      <c r="C723" s="55" t="s">
        <v>382</v>
      </c>
      <c r="D723" s="80">
        <v>1040</v>
      </c>
    </row>
    <row r="724" spans="2:4">
      <c r="B724" s="55" t="s">
        <v>333</v>
      </c>
      <c r="C724" s="55" t="s">
        <v>382</v>
      </c>
      <c r="D724" s="80">
        <v>3040</v>
      </c>
    </row>
    <row r="725" spans="2:4">
      <c r="B725" s="55" t="s">
        <v>217</v>
      </c>
      <c r="C725" s="55" t="s">
        <v>382</v>
      </c>
      <c r="D725" s="80">
        <v>3320</v>
      </c>
    </row>
    <row r="726" spans="2:4">
      <c r="B726" s="55" t="s">
        <v>334</v>
      </c>
      <c r="C726" s="55" t="s">
        <v>382</v>
      </c>
      <c r="D726" s="80">
        <v>963</v>
      </c>
    </row>
    <row r="727" spans="2:4">
      <c r="B727" s="55" t="s">
        <v>335</v>
      </c>
      <c r="C727" s="55" t="s">
        <v>382</v>
      </c>
      <c r="D727" s="80">
        <v>392</v>
      </c>
    </row>
    <row r="728" spans="2:4">
      <c r="B728" s="55" t="s">
        <v>218</v>
      </c>
      <c r="C728" s="55" t="s">
        <v>382</v>
      </c>
      <c r="D728" s="80">
        <v>980</v>
      </c>
    </row>
    <row r="729" spans="2:4">
      <c r="B729" s="55" t="s">
        <v>336</v>
      </c>
      <c r="C729" s="55" t="s">
        <v>382</v>
      </c>
      <c r="D729" s="80">
        <v>264</v>
      </c>
    </row>
    <row r="730" spans="2:4">
      <c r="B730" s="55" t="s">
        <v>337</v>
      </c>
      <c r="C730" s="55" t="s">
        <v>382</v>
      </c>
      <c r="D730" s="80">
        <v>24.4</v>
      </c>
    </row>
    <row r="731" spans="2:4">
      <c r="B731" s="55" t="s">
        <v>338</v>
      </c>
      <c r="C731" s="55" t="s">
        <v>382</v>
      </c>
      <c r="D731" s="80">
        <v>8.1300000000000008</v>
      </c>
    </row>
    <row r="732" spans="2:4">
      <c r="B732" s="55" t="s">
        <v>219</v>
      </c>
      <c r="C732" s="55" t="s">
        <v>382</v>
      </c>
      <c r="D732" s="80">
        <v>277</v>
      </c>
    </row>
    <row r="733" spans="2:4">
      <c r="B733" s="55" t="s">
        <v>339</v>
      </c>
      <c r="C733" s="55" t="s">
        <v>382</v>
      </c>
      <c r="D733" s="80">
        <v>831</v>
      </c>
    </row>
    <row r="734" spans="2:4">
      <c r="B734" s="55" t="s">
        <v>340</v>
      </c>
      <c r="C734" s="55" t="s">
        <v>382</v>
      </c>
      <c r="D734" s="80">
        <v>484</v>
      </c>
    </row>
    <row r="735" spans="2:4">
      <c r="B735" s="55" t="s">
        <v>342</v>
      </c>
      <c r="C735" s="55" t="s">
        <v>382</v>
      </c>
      <c r="D735" s="80">
        <v>1.6</v>
      </c>
    </row>
    <row r="736" spans="2:4">
      <c r="B736" s="55" t="s">
        <v>404</v>
      </c>
      <c r="C736" s="55" t="s">
        <v>382</v>
      </c>
      <c r="D736" s="80">
        <v>202</v>
      </c>
    </row>
    <row r="737" spans="2:4">
      <c r="B737" s="55" t="s">
        <v>343</v>
      </c>
      <c r="C737" s="55" t="s">
        <v>382</v>
      </c>
      <c r="D737" s="80">
        <v>328</v>
      </c>
    </row>
    <row r="738" spans="2:4">
      <c r="B738" s="55" t="s">
        <v>343</v>
      </c>
      <c r="C738" s="55" t="s">
        <v>382</v>
      </c>
      <c r="D738" s="80">
        <v>229</v>
      </c>
    </row>
    <row r="739" spans="2:4">
      <c r="B739" s="55" t="s">
        <v>344</v>
      </c>
      <c r="C739" s="55" t="s">
        <v>382</v>
      </c>
      <c r="D739" s="80">
        <v>219</v>
      </c>
    </row>
    <row r="740" spans="2:4">
      <c r="B740" s="55" t="s">
        <v>345</v>
      </c>
      <c r="C740" s="55" t="s">
        <v>382</v>
      </c>
      <c r="D740" s="80">
        <v>5730</v>
      </c>
    </row>
    <row r="741" spans="2:4">
      <c r="B741" s="55" t="s">
        <v>346</v>
      </c>
      <c r="C741" s="55" t="s">
        <v>382</v>
      </c>
      <c r="D741" s="80">
        <v>5350</v>
      </c>
    </row>
    <row r="742" spans="2:4">
      <c r="B742" s="55" t="s">
        <v>220</v>
      </c>
      <c r="C742" s="55" t="s">
        <v>382</v>
      </c>
      <c r="D742" s="80">
        <v>3220</v>
      </c>
    </row>
    <row r="743" spans="2:4">
      <c r="B743" s="55" t="s">
        <v>405</v>
      </c>
      <c r="C743" s="55" t="s">
        <v>382</v>
      </c>
      <c r="D743" s="80">
        <v>4.74</v>
      </c>
    </row>
    <row r="744" spans="2:4">
      <c r="B744" s="55" t="s">
        <v>221</v>
      </c>
      <c r="C744" s="55" t="s">
        <v>382</v>
      </c>
      <c r="D744" s="80">
        <v>1930</v>
      </c>
    </row>
    <row r="745" spans="2:4">
      <c r="B745" s="55" t="s">
        <v>222</v>
      </c>
      <c r="C745" s="55" t="s">
        <v>382</v>
      </c>
      <c r="D745" s="80">
        <v>7200</v>
      </c>
    </row>
    <row r="746" spans="2:4">
      <c r="B746" s="55" t="s">
        <v>349</v>
      </c>
      <c r="C746" s="55" t="s">
        <v>382</v>
      </c>
      <c r="D746" s="80">
        <v>45</v>
      </c>
    </row>
    <row r="747" spans="2:4">
      <c r="B747" s="55" t="s">
        <v>350</v>
      </c>
      <c r="C747" s="55" t="s">
        <v>382</v>
      </c>
      <c r="D747" s="80">
        <v>4.0000000000000001E-3</v>
      </c>
    </row>
    <row r="748" spans="2:4">
      <c r="B748" s="55" t="s">
        <v>223</v>
      </c>
      <c r="C748" s="55" t="s">
        <v>382</v>
      </c>
      <c r="D748" s="80">
        <v>12400</v>
      </c>
    </row>
    <row r="749" spans="2:4">
      <c r="B749" s="55" t="s">
        <v>351</v>
      </c>
      <c r="C749" s="55" t="s">
        <v>382</v>
      </c>
      <c r="D749" s="80">
        <v>0.09</v>
      </c>
    </row>
    <row r="750" spans="2:4">
      <c r="B750" s="55" t="s">
        <v>224</v>
      </c>
      <c r="C750" s="55" t="s">
        <v>382</v>
      </c>
      <c r="D750" s="80">
        <v>539</v>
      </c>
    </row>
    <row r="751" spans="2:4">
      <c r="B751" s="55" t="s">
        <v>225</v>
      </c>
      <c r="C751" s="55" t="s">
        <v>382</v>
      </c>
      <c r="D751" s="80">
        <v>27.9</v>
      </c>
    </row>
    <row r="752" spans="2:4">
      <c r="B752" s="55" t="s">
        <v>226</v>
      </c>
      <c r="C752" s="55" t="s">
        <v>382</v>
      </c>
      <c r="D752" s="80">
        <v>14300</v>
      </c>
    </row>
    <row r="753" spans="2:4">
      <c r="B753" s="55" t="s">
        <v>227</v>
      </c>
      <c r="C753" s="55" t="s">
        <v>382</v>
      </c>
      <c r="D753" s="80">
        <v>6060</v>
      </c>
    </row>
    <row r="754" spans="2:4">
      <c r="B754" s="55" t="s">
        <v>228</v>
      </c>
      <c r="C754" s="55" t="s">
        <v>382</v>
      </c>
      <c r="D754" s="80">
        <v>6630</v>
      </c>
    </row>
    <row r="755" spans="2:4">
      <c r="B755" s="55" t="s">
        <v>229</v>
      </c>
      <c r="C755" s="55" t="s">
        <v>382</v>
      </c>
      <c r="D755" s="80">
        <v>616</v>
      </c>
    </row>
    <row r="756" spans="2:4">
      <c r="B756" s="55" t="s">
        <v>230</v>
      </c>
      <c r="C756" s="55" t="s">
        <v>382</v>
      </c>
      <c r="D756" s="80">
        <v>2.4300000000000002</v>
      </c>
    </row>
    <row r="757" spans="2:4">
      <c r="B757" s="55" t="s">
        <v>406</v>
      </c>
      <c r="C757" s="55" t="s">
        <v>382</v>
      </c>
      <c r="D757" s="80">
        <v>0</v>
      </c>
    </row>
    <row r="758" spans="2:4">
      <c r="B758" s="55" t="s">
        <v>231</v>
      </c>
      <c r="C758" s="55" t="s">
        <v>382</v>
      </c>
      <c r="D758" s="80">
        <v>11.2</v>
      </c>
    </row>
    <row r="759" spans="2:4">
      <c r="B759" s="55" t="s">
        <v>232</v>
      </c>
      <c r="C759" s="55" t="s">
        <v>382</v>
      </c>
      <c r="D759" s="80">
        <v>17400</v>
      </c>
    </row>
    <row r="760" spans="2:4">
      <c r="B760" s="55" t="s">
        <v>233</v>
      </c>
      <c r="C760" s="55" t="s">
        <v>382</v>
      </c>
      <c r="D760" s="80">
        <v>273</v>
      </c>
    </row>
    <row r="761" spans="2:4">
      <c r="B761" s="55" t="s">
        <v>356</v>
      </c>
      <c r="C761" s="55" t="s">
        <v>382</v>
      </c>
      <c r="D761" s="80">
        <v>78.099999999999994</v>
      </c>
    </row>
    <row r="762" spans="2:4">
      <c r="B762" s="55" t="s">
        <v>407</v>
      </c>
      <c r="C762" s="55" t="s">
        <v>382</v>
      </c>
      <c r="D762" s="80">
        <v>0.73899999999999999</v>
      </c>
    </row>
    <row r="763" spans="2:4">
      <c r="B763" s="55" t="s">
        <v>357</v>
      </c>
      <c r="C763" s="55" t="s">
        <v>382</v>
      </c>
      <c r="D763" s="80">
        <v>8260</v>
      </c>
    </row>
    <row r="764" spans="2:4">
      <c r="B764" s="55" t="s">
        <v>358</v>
      </c>
      <c r="C764" s="55" t="s">
        <v>382</v>
      </c>
      <c r="D764" s="80">
        <v>0.10199999999999999</v>
      </c>
    </row>
    <row r="765" spans="2:4">
      <c r="B765" s="55" t="s">
        <v>359</v>
      </c>
      <c r="C765" s="55" t="s">
        <v>382</v>
      </c>
      <c r="D765" s="80">
        <v>1.97</v>
      </c>
    </row>
    <row r="766" spans="2:4">
      <c r="B766" s="55" t="s">
        <v>234</v>
      </c>
      <c r="C766" s="55" t="s">
        <v>382</v>
      </c>
      <c r="D766" s="80">
        <v>10000</v>
      </c>
    </row>
    <row r="767" spans="2:4">
      <c r="B767" s="55" t="s">
        <v>235</v>
      </c>
      <c r="C767" s="55" t="s">
        <v>382</v>
      </c>
      <c r="D767" s="80">
        <v>10200</v>
      </c>
    </row>
    <row r="768" spans="2:4">
      <c r="B768" s="55" t="s">
        <v>236</v>
      </c>
      <c r="C768" s="55" t="s">
        <v>382</v>
      </c>
      <c r="D768" s="80">
        <v>7480</v>
      </c>
    </row>
    <row r="769" spans="2:4">
      <c r="B769" s="55" t="s">
        <v>236</v>
      </c>
      <c r="C769" s="55" t="s">
        <v>382</v>
      </c>
      <c r="D769" s="80">
        <v>7800</v>
      </c>
    </row>
    <row r="770" spans="2:4">
      <c r="B770" s="55" t="s">
        <v>236</v>
      </c>
      <c r="C770" s="55" t="s">
        <v>382</v>
      </c>
      <c r="D770" s="80">
        <v>7120</v>
      </c>
    </row>
    <row r="771" spans="2:4">
      <c r="B771" s="55" t="s">
        <v>362</v>
      </c>
      <c r="C771" s="55" t="s">
        <v>382</v>
      </c>
      <c r="D771" s="80">
        <v>7480</v>
      </c>
    </row>
    <row r="772" spans="2:4">
      <c r="B772" s="55" t="s">
        <v>362</v>
      </c>
      <c r="C772" s="55" t="s">
        <v>382</v>
      </c>
      <c r="D772" s="80">
        <v>7800</v>
      </c>
    </row>
    <row r="773" spans="2:4">
      <c r="B773" s="55" t="s">
        <v>362</v>
      </c>
      <c r="C773" s="55" t="s">
        <v>382</v>
      </c>
      <c r="D773" s="80">
        <v>7120</v>
      </c>
    </row>
    <row r="774" spans="2:4">
      <c r="B774" s="55" t="s">
        <v>363</v>
      </c>
      <c r="C774" s="55" t="s">
        <v>382</v>
      </c>
      <c r="D774" s="80">
        <v>7480</v>
      </c>
    </row>
    <row r="775" spans="2:4">
      <c r="B775" s="55" t="s">
        <v>363</v>
      </c>
      <c r="C775" s="55" t="s">
        <v>382</v>
      </c>
      <c r="D775" s="80">
        <v>7800</v>
      </c>
    </row>
    <row r="776" spans="2:4">
      <c r="B776" s="55" t="s">
        <v>363</v>
      </c>
      <c r="C776" s="55" t="s">
        <v>382</v>
      </c>
      <c r="D776" s="80">
        <v>7120</v>
      </c>
    </row>
    <row r="777" spans="2:4">
      <c r="B777" s="55" t="s">
        <v>365</v>
      </c>
      <c r="C777" s="55" t="s">
        <v>382</v>
      </c>
      <c r="D777" s="80">
        <v>597</v>
      </c>
    </row>
    <row r="778" spans="2:4">
      <c r="B778" s="55" t="s">
        <v>366</v>
      </c>
      <c r="C778" s="55" t="s">
        <v>382</v>
      </c>
      <c r="D778" s="80">
        <v>8410</v>
      </c>
    </row>
    <row r="779" spans="2:4">
      <c r="B779" s="55" t="s">
        <v>237</v>
      </c>
      <c r="C779" s="55" t="s">
        <v>382</v>
      </c>
      <c r="D779" s="80">
        <v>8620</v>
      </c>
    </row>
    <row r="780" spans="2:4">
      <c r="B780" s="55" t="s">
        <v>408</v>
      </c>
      <c r="C780" s="55" t="s">
        <v>382</v>
      </c>
      <c r="D780" s="80">
        <v>0.14099999999999999</v>
      </c>
    </row>
    <row r="781" spans="2:4">
      <c r="B781" s="55" t="s">
        <v>238</v>
      </c>
      <c r="C781" s="55" t="s">
        <v>382</v>
      </c>
      <c r="D781" s="80">
        <v>9220</v>
      </c>
    </row>
    <row r="782" spans="2:4">
      <c r="B782" s="55" t="s">
        <v>239</v>
      </c>
      <c r="C782" s="55" t="s">
        <v>382</v>
      </c>
      <c r="D782" s="80">
        <v>9290</v>
      </c>
    </row>
    <row r="783" spans="2:4">
      <c r="B783" s="55" t="s">
        <v>369</v>
      </c>
      <c r="C783" s="55" t="s">
        <v>382</v>
      </c>
      <c r="D783" s="80">
        <v>2.5000000000000001E-2</v>
      </c>
    </row>
    <row r="784" spans="2:4">
      <c r="B784" s="55" t="s">
        <v>409</v>
      </c>
      <c r="C784" s="55" t="s">
        <v>382</v>
      </c>
      <c r="D784" s="80">
        <v>0.02</v>
      </c>
    </row>
    <row r="785" spans="2:4">
      <c r="B785" s="55" t="s">
        <v>370</v>
      </c>
      <c r="C785" s="55" t="s">
        <v>382</v>
      </c>
      <c r="D785" s="80">
        <v>6630</v>
      </c>
    </row>
    <row r="786" spans="2:4">
      <c r="B786" s="55" t="s">
        <v>240</v>
      </c>
      <c r="C786" s="55" t="s">
        <v>382</v>
      </c>
      <c r="D786" s="80">
        <v>576</v>
      </c>
    </row>
    <row r="787" spans="2:4">
      <c r="B787" s="55" t="s">
        <v>371</v>
      </c>
      <c r="C787" s="55" t="s">
        <v>382</v>
      </c>
      <c r="D787" s="80">
        <v>74.8</v>
      </c>
    </row>
    <row r="788" spans="2:4">
      <c r="B788" s="55" t="s">
        <v>410</v>
      </c>
      <c r="C788" s="55" t="s">
        <v>382</v>
      </c>
      <c r="D788" s="80">
        <v>437</v>
      </c>
    </row>
    <row r="789" spans="2:4">
      <c r="B789" s="55" t="s">
        <v>411</v>
      </c>
      <c r="C789" s="55" t="s">
        <v>382</v>
      </c>
      <c r="D789" s="80">
        <v>34.299999999999997</v>
      </c>
    </row>
    <row r="790" spans="2:4">
      <c r="B790" s="55" t="s">
        <v>372</v>
      </c>
      <c r="C790" s="55" t="s">
        <v>382</v>
      </c>
      <c r="D790" s="80">
        <v>195</v>
      </c>
    </row>
    <row r="791" spans="2:4">
      <c r="B791" s="55" t="s">
        <v>241</v>
      </c>
      <c r="C791" s="55" t="s">
        <v>382</v>
      </c>
      <c r="D791" s="80">
        <v>25200</v>
      </c>
    </row>
    <row r="792" spans="2:4">
      <c r="B792" s="55" t="s">
        <v>373</v>
      </c>
      <c r="C792" s="55" t="s">
        <v>382</v>
      </c>
      <c r="D792" s="80">
        <v>4630</v>
      </c>
    </row>
    <row r="793" spans="2:4">
      <c r="B793" s="55" t="s">
        <v>412</v>
      </c>
      <c r="C793" s="55" t="s">
        <v>382</v>
      </c>
      <c r="D793" s="80">
        <v>6.34</v>
      </c>
    </row>
    <row r="794" spans="2:4">
      <c r="B794" s="55" t="s">
        <v>374</v>
      </c>
      <c r="C794" s="55" t="s">
        <v>382</v>
      </c>
      <c r="D794" s="80">
        <v>4.0000000000000001E-3</v>
      </c>
    </row>
    <row r="795" spans="2:4">
      <c r="B795" s="55" t="s">
        <v>413</v>
      </c>
      <c r="C795" s="55" t="s">
        <v>382</v>
      </c>
      <c r="D795" s="80">
        <v>0.25</v>
      </c>
    </row>
    <row r="796" spans="2:4">
      <c r="B796" s="55" t="s">
        <v>414</v>
      </c>
      <c r="C796" s="55" t="s">
        <v>382</v>
      </c>
      <c r="D796" s="80">
        <v>4.3999999999999997E-2</v>
      </c>
    </row>
    <row r="797" spans="2:4">
      <c r="B797" s="55" t="s">
        <v>376</v>
      </c>
      <c r="C797" s="55" t="s">
        <v>382</v>
      </c>
      <c r="D797" s="80">
        <v>0.01</v>
      </c>
    </row>
    <row r="798" spans="2:4">
      <c r="B798" s="55" t="s">
        <v>242</v>
      </c>
      <c r="C798" s="55" t="s">
        <v>382</v>
      </c>
      <c r="D798" s="80">
        <v>18500</v>
      </c>
    </row>
    <row r="799" spans="2:4">
      <c r="B799" s="55" t="s">
        <v>379</v>
      </c>
      <c r="C799" s="55" t="s">
        <v>382</v>
      </c>
      <c r="D799" s="80">
        <v>2.4E-2</v>
      </c>
    </row>
    <row r="800" spans="2:4">
      <c r="B800" s="55" t="s">
        <v>380</v>
      </c>
      <c r="C800" s="55" t="s">
        <v>382</v>
      </c>
      <c r="D800" s="80">
        <v>5.1999999999999998E-2</v>
      </c>
    </row>
    <row r="801" spans="2:4">
      <c r="B801" s="55" t="s">
        <v>247</v>
      </c>
      <c r="C801" s="55" t="s">
        <v>415</v>
      </c>
      <c r="D801" s="80">
        <v>7.48</v>
      </c>
    </row>
    <row r="802" spans="2:4">
      <c r="B802" s="55" t="s">
        <v>248</v>
      </c>
      <c r="C802" s="55" t="s">
        <v>415</v>
      </c>
      <c r="D802" s="80">
        <v>742</v>
      </c>
    </row>
    <row r="803" spans="2:4">
      <c r="B803" s="55" t="s">
        <v>249</v>
      </c>
      <c r="C803" s="55" t="s">
        <v>415</v>
      </c>
      <c r="D803" s="80">
        <v>964</v>
      </c>
    </row>
    <row r="804" spans="2:4">
      <c r="B804" s="55" t="s">
        <v>181</v>
      </c>
      <c r="C804" s="55" t="s">
        <v>415</v>
      </c>
      <c r="D804" s="80">
        <v>567</v>
      </c>
    </row>
    <row r="805" spans="2:4">
      <c r="B805" s="55" t="s">
        <v>182</v>
      </c>
      <c r="C805" s="55" t="s">
        <v>415</v>
      </c>
      <c r="D805" s="80">
        <v>1180</v>
      </c>
    </row>
    <row r="806" spans="2:4">
      <c r="B806" s="55" t="s">
        <v>182</v>
      </c>
      <c r="C806" s="55" t="s">
        <v>415</v>
      </c>
      <c r="D806" s="80">
        <v>823</v>
      </c>
    </row>
    <row r="807" spans="2:4">
      <c r="B807" s="55" t="s">
        <v>250</v>
      </c>
      <c r="C807" s="55" t="s">
        <v>415</v>
      </c>
      <c r="D807" s="80">
        <v>6.03</v>
      </c>
    </row>
    <row r="808" spans="2:4">
      <c r="B808" s="55" t="s">
        <v>251</v>
      </c>
      <c r="C808" s="55" t="s">
        <v>415</v>
      </c>
      <c r="D808" s="80">
        <v>4010</v>
      </c>
    </row>
    <row r="809" spans="2:4">
      <c r="B809" s="55" t="s">
        <v>183</v>
      </c>
      <c r="C809" s="55" t="s">
        <v>415</v>
      </c>
      <c r="D809" s="80">
        <v>4070</v>
      </c>
    </row>
    <row r="810" spans="2:4">
      <c r="B810" s="55" t="s">
        <v>256</v>
      </c>
      <c r="C810" s="55" t="s">
        <v>415</v>
      </c>
      <c r="D810" s="80">
        <v>4.68</v>
      </c>
    </row>
    <row r="811" spans="2:4">
      <c r="B811" s="55" t="s">
        <v>383</v>
      </c>
      <c r="C811" s="55" t="s">
        <v>415</v>
      </c>
      <c r="D811" s="80">
        <v>0.188</v>
      </c>
    </row>
    <row r="812" spans="2:4">
      <c r="B812" s="55" t="s">
        <v>257</v>
      </c>
      <c r="C812" s="55" t="s">
        <v>415</v>
      </c>
      <c r="D812" s="80">
        <v>131</v>
      </c>
    </row>
    <row r="813" spans="2:4">
      <c r="B813" s="55" t="s">
        <v>384</v>
      </c>
      <c r="C813" s="55" t="s">
        <v>415</v>
      </c>
      <c r="D813" s="80">
        <v>2.4E-2</v>
      </c>
    </row>
    <row r="814" spans="2:4">
      <c r="B814" s="55" t="s">
        <v>259</v>
      </c>
      <c r="C814" s="55" t="s">
        <v>415</v>
      </c>
      <c r="D814" s="80">
        <v>95.2</v>
      </c>
    </row>
    <row r="815" spans="2:4">
      <c r="B815" s="55" t="s">
        <v>260</v>
      </c>
      <c r="C815" s="55" t="s">
        <v>415</v>
      </c>
      <c r="D815" s="80">
        <v>0.73399999999999999</v>
      </c>
    </row>
    <row r="816" spans="2:4">
      <c r="B816" s="55" t="s">
        <v>261</v>
      </c>
      <c r="C816" s="55" t="s">
        <v>415</v>
      </c>
      <c r="D816" s="80">
        <v>0.58399999999999996</v>
      </c>
    </row>
    <row r="817" spans="2:4">
      <c r="B817" s="55" t="s">
        <v>262</v>
      </c>
      <c r="C817" s="55" t="s">
        <v>415</v>
      </c>
      <c r="D817" s="80">
        <v>123</v>
      </c>
    </row>
    <row r="818" spans="2:4">
      <c r="B818" s="55" t="s">
        <v>263</v>
      </c>
      <c r="C818" s="55" t="s">
        <v>415</v>
      </c>
      <c r="D818" s="80">
        <v>52</v>
      </c>
    </row>
    <row r="819" spans="2:4">
      <c r="B819" s="55" t="s">
        <v>264</v>
      </c>
      <c r="C819" s="55" t="s">
        <v>415</v>
      </c>
      <c r="D819" s="80">
        <v>1.24</v>
      </c>
    </row>
    <row r="820" spans="2:4">
      <c r="B820" s="55" t="s">
        <v>265</v>
      </c>
      <c r="C820" s="55" t="s">
        <v>415</v>
      </c>
      <c r="D820" s="80">
        <v>1.1299999999999999</v>
      </c>
    </row>
    <row r="821" spans="2:4">
      <c r="B821" s="55" t="s">
        <v>266</v>
      </c>
      <c r="C821" s="55" t="s">
        <v>415</v>
      </c>
      <c r="D821" s="80">
        <v>14</v>
      </c>
    </row>
    <row r="822" spans="2:4">
      <c r="B822" s="55" t="s">
        <v>267</v>
      </c>
      <c r="C822" s="55" t="s">
        <v>415</v>
      </c>
      <c r="D822" s="80">
        <v>1.81</v>
      </c>
    </row>
    <row r="823" spans="2:4">
      <c r="B823" s="55" t="s">
        <v>268</v>
      </c>
      <c r="C823" s="55" t="s">
        <v>415</v>
      </c>
      <c r="D823" s="80">
        <v>110</v>
      </c>
    </row>
    <row r="824" spans="2:4">
      <c r="B824" s="55" t="s">
        <v>269</v>
      </c>
      <c r="C824" s="55" t="s">
        <v>415</v>
      </c>
      <c r="D824" s="80">
        <v>5370</v>
      </c>
    </row>
    <row r="825" spans="2:4">
      <c r="B825" s="55" t="s">
        <v>270</v>
      </c>
      <c r="C825" s="55" t="s">
        <v>415</v>
      </c>
      <c r="D825" s="80">
        <v>129</v>
      </c>
    </row>
    <row r="826" spans="2:4">
      <c r="B826" s="55" t="s">
        <v>272</v>
      </c>
      <c r="C826" s="55" t="s">
        <v>415</v>
      </c>
      <c r="D826" s="80">
        <v>197</v>
      </c>
    </row>
    <row r="827" spans="2:4">
      <c r="B827" s="55" t="s">
        <v>273</v>
      </c>
      <c r="C827" s="55" t="s">
        <v>415</v>
      </c>
      <c r="D827" s="80">
        <v>3670</v>
      </c>
    </row>
    <row r="828" spans="2:4">
      <c r="B828" s="55" t="s">
        <v>274</v>
      </c>
      <c r="C828" s="55" t="s">
        <v>415</v>
      </c>
      <c r="D828" s="80">
        <v>22.3</v>
      </c>
    </row>
    <row r="829" spans="2:4">
      <c r="B829" s="55" t="s">
        <v>275</v>
      </c>
      <c r="C829" s="55" t="s">
        <v>415</v>
      </c>
      <c r="D829" s="80">
        <v>723</v>
      </c>
    </row>
    <row r="830" spans="2:4">
      <c r="B830" s="55" t="s">
        <v>276</v>
      </c>
      <c r="C830" s="55" t="s">
        <v>415</v>
      </c>
      <c r="D830" s="80">
        <v>635</v>
      </c>
    </row>
    <row r="831" spans="2:4">
      <c r="B831" s="55" t="s">
        <v>277</v>
      </c>
      <c r="C831" s="55" t="s">
        <v>415</v>
      </c>
      <c r="D831" s="80">
        <v>488</v>
      </c>
    </row>
    <row r="832" spans="2:4">
      <c r="B832" s="55" t="s">
        <v>385</v>
      </c>
      <c r="C832" s="55" t="s">
        <v>415</v>
      </c>
      <c r="D832" s="80">
        <v>1E-3</v>
      </c>
    </row>
    <row r="833" spans="2:4">
      <c r="B833" s="55" t="s">
        <v>386</v>
      </c>
      <c r="C833" s="55" t="s">
        <v>415</v>
      </c>
      <c r="D833" s="80">
        <v>0.65100000000000002</v>
      </c>
    </row>
    <row r="834" spans="2:4">
      <c r="B834" s="55" t="s">
        <v>278</v>
      </c>
      <c r="C834" s="55" t="s">
        <v>415</v>
      </c>
      <c r="D834" s="80">
        <v>175</v>
      </c>
    </row>
    <row r="835" spans="2:4">
      <c r="B835" s="55" t="s">
        <v>279</v>
      </c>
      <c r="C835" s="55" t="s">
        <v>415</v>
      </c>
      <c r="D835" s="80">
        <v>1.91</v>
      </c>
    </row>
    <row r="836" spans="2:4">
      <c r="B836" s="55" t="s">
        <v>280</v>
      </c>
      <c r="C836" s="55" t="s">
        <v>415</v>
      </c>
      <c r="D836" s="80">
        <v>0.94</v>
      </c>
    </row>
    <row r="837" spans="2:4">
      <c r="B837" s="55" t="s">
        <v>281</v>
      </c>
      <c r="C837" s="55" t="s">
        <v>415</v>
      </c>
      <c r="D837" s="80">
        <v>2.23</v>
      </c>
    </row>
    <row r="838" spans="2:4">
      <c r="B838" s="55" t="s">
        <v>283</v>
      </c>
      <c r="C838" s="55" t="s">
        <v>415</v>
      </c>
      <c r="D838" s="80">
        <v>1.92</v>
      </c>
    </row>
    <row r="839" spans="2:4">
      <c r="B839" s="55" t="s">
        <v>284</v>
      </c>
      <c r="C839" s="55" t="s">
        <v>415</v>
      </c>
      <c r="D839" s="80">
        <v>0.98499999999999999</v>
      </c>
    </row>
    <row r="840" spans="2:4">
      <c r="B840" s="55" t="s">
        <v>285</v>
      </c>
      <c r="C840" s="55" t="s">
        <v>415</v>
      </c>
      <c r="D840" s="80">
        <v>1.62</v>
      </c>
    </row>
    <row r="841" spans="2:4">
      <c r="B841" s="55" t="s">
        <v>387</v>
      </c>
      <c r="C841" s="55" t="s">
        <v>415</v>
      </c>
      <c r="D841" s="80">
        <v>8.9999999999999993E-3</v>
      </c>
    </row>
    <row r="842" spans="2:4">
      <c r="B842" s="55" t="s">
        <v>286</v>
      </c>
      <c r="C842" s="55" t="s">
        <v>415</v>
      </c>
      <c r="D842" s="80">
        <v>0.41099999999999998</v>
      </c>
    </row>
    <row r="843" spans="2:4">
      <c r="B843" s="55" t="s">
        <v>287</v>
      </c>
      <c r="C843" s="55" t="s">
        <v>415</v>
      </c>
      <c r="D843" s="80">
        <v>0.17799999999999999</v>
      </c>
    </row>
    <row r="844" spans="2:4">
      <c r="B844" s="55" t="s">
        <v>288</v>
      </c>
      <c r="C844" s="55" t="s">
        <v>415</v>
      </c>
      <c r="D844" s="80">
        <v>296</v>
      </c>
    </row>
    <row r="845" spans="2:4">
      <c r="B845" s="55" t="s">
        <v>289</v>
      </c>
      <c r="C845" s="55" t="s">
        <v>415</v>
      </c>
      <c r="D845" s="80">
        <v>1340</v>
      </c>
    </row>
    <row r="846" spans="2:4">
      <c r="B846" s="55" t="s">
        <v>388</v>
      </c>
      <c r="C846" s="55" t="s">
        <v>415</v>
      </c>
      <c r="D846" s="80">
        <v>1.75</v>
      </c>
    </row>
    <row r="847" spans="2:4">
      <c r="B847" s="55" t="s">
        <v>389</v>
      </c>
      <c r="C847" s="55" t="s">
        <v>415</v>
      </c>
      <c r="D847" s="80">
        <v>2.1999999999999999E-2</v>
      </c>
    </row>
    <row r="848" spans="2:4">
      <c r="B848" s="55" t="s">
        <v>184</v>
      </c>
      <c r="C848" s="55" t="s">
        <v>415</v>
      </c>
      <c r="D848" s="80">
        <v>1620</v>
      </c>
    </row>
    <row r="849" spans="2:4">
      <c r="B849" s="55" t="s">
        <v>184</v>
      </c>
      <c r="C849" s="55" t="s">
        <v>415</v>
      </c>
      <c r="D849" s="80">
        <v>1920</v>
      </c>
    </row>
    <row r="850" spans="2:4">
      <c r="B850" s="55" t="s">
        <v>185</v>
      </c>
      <c r="C850" s="55" t="s">
        <v>415</v>
      </c>
      <c r="D850" s="80">
        <v>8320</v>
      </c>
    </row>
    <row r="851" spans="2:4">
      <c r="B851" s="55" t="s">
        <v>390</v>
      </c>
      <c r="C851" s="55" t="s">
        <v>415</v>
      </c>
      <c r="D851" s="80">
        <v>5620</v>
      </c>
    </row>
    <row r="852" spans="2:4">
      <c r="B852" s="55" t="s">
        <v>186</v>
      </c>
      <c r="C852" s="55" t="s">
        <v>415</v>
      </c>
      <c r="D852" s="80">
        <v>6860</v>
      </c>
    </row>
    <row r="853" spans="2:4">
      <c r="B853" s="55" t="s">
        <v>391</v>
      </c>
      <c r="C853" s="55" t="s">
        <v>415</v>
      </c>
      <c r="D853" s="80">
        <v>5110</v>
      </c>
    </row>
    <row r="854" spans="2:4">
      <c r="B854" s="55" t="s">
        <v>187</v>
      </c>
      <c r="C854" s="55" t="s">
        <v>415</v>
      </c>
      <c r="D854" s="80">
        <v>8260</v>
      </c>
    </row>
    <row r="855" spans="2:4">
      <c r="B855" s="55" t="s">
        <v>392</v>
      </c>
      <c r="C855" s="55" t="s">
        <v>415</v>
      </c>
      <c r="D855" s="80">
        <v>7510</v>
      </c>
    </row>
    <row r="856" spans="2:4">
      <c r="B856" s="55" t="s">
        <v>188</v>
      </c>
      <c r="C856" s="55" t="s">
        <v>415</v>
      </c>
      <c r="D856" s="80">
        <v>7410</v>
      </c>
    </row>
    <row r="857" spans="2:4">
      <c r="B857" s="55" t="s">
        <v>189</v>
      </c>
      <c r="C857" s="55" t="s">
        <v>415</v>
      </c>
      <c r="D857" s="80">
        <v>12700</v>
      </c>
    </row>
    <row r="858" spans="2:4">
      <c r="B858" s="55" t="s">
        <v>190</v>
      </c>
      <c r="C858" s="55" t="s">
        <v>415</v>
      </c>
      <c r="D858" s="80">
        <v>12400</v>
      </c>
    </row>
    <row r="859" spans="2:4">
      <c r="B859" s="55" t="s">
        <v>191</v>
      </c>
      <c r="C859" s="55" t="s">
        <v>415</v>
      </c>
      <c r="D859" s="80">
        <v>1</v>
      </c>
    </row>
    <row r="860" spans="2:4">
      <c r="B860" s="55" t="s">
        <v>192</v>
      </c>
      <c r="C860" s="55" t="s">
        <v>415</v>
      </c>
      <c r="D860" s="80">
        <v>3810</v>
      </c>
    </row>
    <row r="861" spans="2:4">
      <c r="B861" s="55" t="s">
        <v>193</v>
      </c>
      <c r="C861" s="55" t="s">
        <v>415</v>
      </c>
      <c r="D861" s="80">
        <v>5300</v>
      </c>
    </row>
    <row r="862" spans="2:4">
      <c r="B862" s="55" t="s">
        <v>393</v>
      </c>
      <c r="C862" s="55" t="s">
        <v>415</v>
      </c>
      <c r="D862" s="80">
        <v>1.73</v>
      </c>
    </row>
    <row r="863" spans="2:4">
      <c r="B863" s="55" t="s">
        <v>291</v>
      </c>
      <c r="C863" s="55" t="s">
        <v>415</v>
      </c>
      <c r="D863" s="80">
        <v>74.2</v>
      </c>
    </row>
    <row r="864" spans="2:4">
      <c r="B864" s="55" t="s">
        <v>194</v>
      </c>
      <c r="C864" s="55" t="s">
        <v>415</v>
      </c>
      <c r="D864" s="80">
        <v>19.899999999999999</v>
      </c>
    </row>
    <row r="865" spans="2:4">
      <c r="B865" s="55" t="s">
        <v>394</v>
      </c>
      <c r="C865" s="55" t="s">
        <v>415</v>
      </c>
      <c r="D865" s="80">
        <v>0</v>
      </c>
    </row>
    <row r="866" spans="2:4">
      <c r="B866" s="55" t="s">
        <v>292</v>
      </c>
      <c r="C866" s="55" t="s">
        <v>415</v>
      </c>
      <c r="D866" s="80">
        <v>775</v>
      </c>
    </row>
    <row r="867" spans="2:4">
      <c r="B867" s="55" t="s">
        <v>293</v>
      </c>
      <c r="C867" s="55" t="s">
        <v>415</v>
      </c>
      <c r="D867" s="80">
        <v>5.45</v>
      </c>
    </row>
    <row r="868" spans="2:4">
      <c r="B868" s="55" t="s">
        <v>295</v>
      </c>
      <c r="C868" s="55" t="s">
        <v>415</v>
      </c>
      <c r="D868" s="80">
        <v>491</v>
      </c>
    </row>
    <row r="869" spans="2:4">
      <c r="B869" s="55" t="s">
        <v>297</v>
      </c>
      <c r="C869" s="55" t="s">
        <v>415</v>
      </c>
      <c r="D869" s="80">
        <v>1910</v>
      </c>
    </row>
    <row r="870" spans="2:4">
      <c r="B870" s="55" t="s">
        <v>298</v>
      </c>
      <c r="C870" s="55" t="s">
        <v>415</v>
      </c>
      <c r="D870" s="80">
        <v>2320</v>
      </c>
    </row>
    <row r="871" spans="2:4">
      <c r="B871" s="55" t="s">
        <v>395</v>
      </c>
      <c r="C871" s="55" t="s">
        <v>415</v>
      </c>
      <c r="D871" s="80">
        <v>1.57</v>
      </c>
    </row>
    <row r="872" spans="2:4">
      <c r="B872" s="55" t="s">
        <v>299</v>
      </c>
      <c r="C872" s="55" t="s">
        <v>415</v>
      </c>
      <c r="D872" s="80">
        <v>105</v>
      </c>
    </row>
    <row r="873" spans="2:4">
      <c r="B873" s="55" t="s">
        <v>196</v>
      </c>
      <c r="C873" s="55" t="s">
        <v>415</v>
      </c>
      <c r="D873" s="80">
        <v>2630</v>
      </c>
    </row>
    <row r="874" spans="2:4">
      <c r="B874" s="55" t="s">
        <v>300</v>
      </c>
      <c r="C874" s="55" t="s">
        <v>415</v>
      </c>
      <c r="D874" s="80">
        <v>9800</v>
      </c>
    </row>
    <row r="875" spans="2:4">
      <c r="B875" s="55" t="s">
        <v>301</v>
      </c>
      <c r="C875" s="55" t="s">
        <v>415</v>
      </c>
      <c r="D875" s="80">
        <v>7.43</v>
      </c>
    </row>
    <row r="876" spans="2:4">
      <c r="B876" s="55" t="s">
        <v>303</v>
      </c>
      <c r="C876" s="55" t="s">
        <v>415</v>
      </c>
      <c r="D876" s="80">
        <v>1220</v>
      </c>
    </row>
    <row r="877" spans="2:4">
      <c r="B877" s="55" t="s">
        <v>304</v>
      </c>
      <c r="C877" s="55" t="s">
        <v>415</v>
      </c>
      <c r="D877" s="80">
        <v>3170</v>
      </c>
    </row>
    <row r="878" spans="2:4">
      <c r="B878" s="55" t="s">
        <v>396</v>
      </c>
      <c r="C878" s="55" t="s">
        <v>415</v>
      </c>
      <c r="D878" s="80">
        <v>168</v>
      </c>
    </row>
    <row r="879" spans="2:4">
      <c r="B879" s="55" t="s">
        <v>306</v>
      </c>
      <c r="C879" s="55" t="s">
        <v>415</v>
      </c>
      <c r="D879" s="80">
        <v>45</v>
      </c>
    </row>
    <row r="880" spans="2:4">
      <c r="B880" s="55" t="s">
        <v>307</v>
      </c>
      <c r="C880" s="55" t="s">
        <v>415</v>
      </c>
      <c r="D880" s="80">
        <v>7020</v>
      </c>
    </row>
    <row r="881" spans="2:4">
      <c r="B881" s="55" t="s">
        <v>197</v>
      </c>
      <c r="C881" s="55" t="s">
        <v>415</v>
      </c>
      <c r="D881" s="80">
        <v>3060</v>
      </c>
    </row>
    <row r="882" spans="2:4">
      <c r="B882" s="55" t="s">
        <v>308</v>
      </c>
      <c r="C882" s="55" t="s">
        <v>415</v>
      </c>
      <c r="D882" s="80">
        <v>0.20699999999999999</v>
      </c>
    </row>
    <row r="883" spans="2:4">
      <c r="B883" s="55" t="s">
        <v>198</v>
      </c>
      <c r="C883" s="55" t="s">
        <v>415</v>
      </c>
      <c r="D883" s="80">
        <v>219</v>
      </c>
    </row>
    <row r="884" spans="2:4">
      <c r="B884" s="55" t="s">
        <v>309</v>
      </c>
      <c r="C884" s="55" t="s">
        <v>415</v>
      </c>
      <c r="D884" s="80">
        <v>5.7</v>
      </c>
    </row>
    <row r="885" spans="2:4">
      <c r="B885" s="55" t="s">
        <v>397</v>
      </c>
      <c r="C885" s="55" t="s">
        <v>415</v>
      </c>
      <c r="D885" s="80">
        <v>3.67</v>
      </c>
    </row>
    <row r="886" spans="2:4">
      <c r="B886" s="55" t="s">
        <v>398</v>
      </c>
      <c r="C886" s="55" t="s">
        <v>415</v>
      </c>
      <c r="D886" s="80">
        <v>210</v>
      </c>
    </row>
    <row r="887" spans="2:4">
      <c r="B887" s="55" t="s">
        <v>312</v>
      </c>
      <c r="C887" s="55" t="s">
        <v>415</v>
      </c>
      <c r="D887" s="80">
        <v>203</v>
      </c>
    </row>
    <row r="888" spans="2:4">
      <c r="B888" s="55" t="s">
        <v>313</v>
      </c>
      <c r="C888" s="55" t="s">
        <v>415</v>
      </c>
      <c r="D888" s="80">
        <v>879</v>
      </c>
    </row>
    <row r="889" spans="2:4">
      <c r="B889" s="55" t="s">
        <v>199</v>
      </c>
      <c r="C889" s="55" t="s">
        <v>415</v>
      </c>
      <c r="D889" s="80">
        <v>325</v>
      </c>
    </row>
    <row r="890" spans="2:4">
      <c r="B890" s="55" t="s">
        <v>314</v>
      </c>
      <c r="C890" s="55" t="s">
        <v>415</v>
      </c>
      <c r="D890" s="80">
        <v>1410</v>
      </c>
    </row>
    <row r="891" spans="2:4">
      <c r="B891" s="55" t="s">
        <v>200</v>
      </c>
      <c r="C891" s="55" t="s">
        <v>415</v>
      </c>
      <c r="D891" s="80">
        <v>2070</v>
      </c>
    </row>
    <row r="892" spans="2:4">
      <c r="B892" s="55" t="s">
        <v>399</v>
      </c>
      <c r="C892" s="55" t="s">
        <v>415</v>
      </c>
      <c r="D892" s="80">
        <v>5110</v>
      </c>
    </row>
    <row r="893" spans="2:4">
      <c r="B893" s="55" t="s">
        <v>400</v>
      </c>
      <c r="C893" s="55" t="s">
        <v>415</v>
      </c>
      <c r="D893" s="80">
        <v>440</v>
      </c>
    </row>
    <row r="894" spans="2:4">
      <c r="B894" s="55" t="s">
        <v>401</v>
      </c>
      <c r="C894" s="55" t="s">
        <v>415</v>
      </c>
      <c r="D894" s="80">
        <v>1370</v>
      </c>
    </row>
    <row r="895" spans="2:4">
      <c r="B895" s="55" t="s">
        <v>201</v>
      </c>
      <c r="C895" s="55" t="s">
        <v>415</v>
      </c>
      <c r="D895" s="80">
        <v>2710</v>
      </c>
    </row>
    <row r="896" spans="2:4">
      <c r="B896" s="55" t="s">
        <v>202</v>
      </c>
      <c r="C896" s="55" t="s">
        <v>415</v>
      </c>
      <c r="D896" s="80">
        <v>5510</v>
      </c>
    </row>
    <row r="897" spans="2:4">
      <c r="B897" s="55" t="s">
        <v>315</v>
      </c>
      <c r="C897" s="55" t="s">
        <v>415</v>
      </c>
      <c r="D897" s="80">
        <v>575</v>
      </c>
    </row>
    <row r="898" spans="2:4">
      <c r="B898" s="55" t="s">
        <v>203</v>
      </c>
      <c r="C898" s="55" t="s">
        <v>415</v>
      </c>
      <c r="D898" s="80">
        <v>5690</v>
      </c>
    </row>
    <row r="899" spans="2:4">
      <c r="B899" s="55" t="s">
        <v>204</v>
      </c>
      <c r="C899" s="55" t="s">
        <v>415</v>
      </c>
      <c r="D899" s="80">
        <v>491</v>
      </c>
    </row>
    <row r="900" spans="2:4">
      <c r="B900" s="55" t="s">
        <v>205</v>
      </c>
      <c r="C900" s="55" t="s">
        <v>415</v>
      </c>
      <c r="D900" s="80">
        <v>1960</v>
      </c>
    </row>
    <row r="901" spans="2:4">
      <c r="B901" s="55" t="s">
        <v>402</v>
      </c>
      <c r="C901" s="55" t="s">
        <v>415</v>
      </c>
      <c r="D901" s="80">
        <v>286</v>
      </c>
    </row>
    <row r="902" spans="2:4">
      <c r="B902" s="55" t="s">
        <v>206</v>
      </c>
      <c r="C902" s="55" t="s">
        <v>415</v>
      </c>
      <c r="D902" s="80">
        <v>6740</v>
      </c>
    </row>
    <row r="903" spans="2:4">
      <c r="B903" s="55" t="s">
        <v>317</v>
      </c>
      <c r="C903" s="55" t="s">
        <v>415</v>
      </c>
      <c r="D903" s="80">
        <v>3900</v>
      </c>
    </row>
    <row r="904" spans="2:4">
      <c r="B904" s="55" t="s">
        <v>318</v>
      </c>
      <c r="C904" s="55" t="s">
        <v>415</v>
      </c>
      <c r="D904" s="80">
        <v>0.65600000000000003</v>
      </c>
    </row>
    <row r="905" spans="2:4">
      <c r="B905" s="55" t="s">
        <v>207</v>
      </c>
      <c r="C905" s="55" t="s">
        <v>415</v>
      </c>
      <c r="D905" s="80">
        <v>4140</v>
      </c>
    </row>
    <row r="906" spans="2:4">
      <c r="B906" s="55" t="s">
        <v>319</v>
      </c>
      <c r="C906" s="55" t="s">
        <v>415</v>
      </c>
      <c r="D906" s="80">
        <v>1300</v>
      </c>
    </row>
    <row r="907" spans="2:4">
      <c r="B907" s="55" t="s">
        <v>208</v>
      </c>
      <c r="C907" s="55" t="s">
        <v>415</v>
      </c>
      <c r="D907" s="80">
        <v>7840</v>
      </c>
    </row>
    <row r="908" spans="2:4">
      <c r="B908" s="55" t="s">
        <v>320</v>
      </c>
      <c r="C908" s="55" t="s">
        <v>415</v>
      </c>
      <c r="D908" s="80">
        <v>77.599999999999994</v>
      </c>
    </row>
    <row r="909" spans="2:4">
      <c r="B909" s="55" t="s">
        <v>209</v>
      </c>
      <c r="C909" s="55" t="s">
        <v>415</v>
      </c>
      <c r="D909" s="80">
        <v>591</v>
      </c>
    </row>
    <row r="910" spans="2:4">
      <c r="B910" s="55" t="s">
        <v>321</v>
      </c>
      <c r="C910" s="55" t="s">
        <v>415</v>
      </c>
      <c r="D910" s="80">
        <v>17.399999999999999</v>
      </c>
    </row>
    <row r="911" spans="2:4">
      <c r="B911" s="55" t="s">
        <v>210</v>
      </c>
      <c r="C911" s="55" t="s">
        <v>415</v>
      </c>
      <c r="D911" s="80">
        <v>5850</v>
      </c>
    </row>
    <row r="912" spans="2:4">
      <c r="B912" s="55" t="s">
        <v>211</v>
      </c>
      <c r="C912" s="55" t="s">
        <v>415</v>
      </c>
      <c r="D912" s="80">
        <v>12400</v>
      </c>
    </row>
    <row r="913" spans="2:4">
      <c r="B913" s="55" t="s">
        <v>322</v>
      </c>
      <c r="C913" s="55" t="s">
        <v>415</v>
      </c>
      <c r="D913" s="80">
        <v>3750</v>
      </c>
    </row>
    <row r="914" spans="2:4">
      <c r="B914" s="55" t="s">
        <v>323</v>
      </c>
      <c r="C914" s="55" t="s">
        <v>415</v>
      </c>
      <c r="D914" s="80">
        <v>4420</v>
      </c>
    </row>
    <row r="915" spans="2:4">
      <c r="B915" s="55" t="s">
        <v>212</v>
      </c>
      <c r="C915" s="55" t="s">
        <v>415</v>
      </c>
      <c r="D915" s="80">
        <v>7450</v>
      </c>
    </row>
    <row r="916" spans="2:4">
      <c r="B916" s="55" t="s">
        <v>324</v>
      </c>
      <c r="C916" s="55" t="s">
        <v>415</v>
      </c>
      <c r="D916" s="80">
        <v>2680</v>
      </c>
    </row>
    <row r="917" spans="2:4">
      <c r="B917" s="55" t="s">
        <v>325</v>
      </c>
      <c r="C917" s="55" t="s">
        <v>415</v>
      </c>
      <c r="D917" s="80">
        <v>6970</v>
      </c>
    </row>
    <row r="918" spans="2:4">
      <c r="B918" s="55" t="s">
        <v>326</v>
      </c>
      <c r="C918" s="55" t="s">
        <v>415</v>
      </c>
      <c r="D918" s="80">
        <v>912</v>
      </c>
    </row>
    <row r="919" spans="2:4">
      <c r="B919" s="55" t="s">
        <v>327</v>
      </c>
      <c r="C919" s="55" t="s">
        <v>415</v>
      </c>
      <c r="D919" s="80">
        <v>1160</v>
      </c>
    </row>
    <row r="920" spans="2:4">
      <c r="B920" s="55" t="s">
        <v>213</v>
      </c>
      <c r="C920" s="55" t="s">
        <v>415</v>
      </c>
      <c r="D920" s="80">
        <v>3170</v>
      </c>
    </row>
    <row r="921" spans="2:4">
      <c r="B921" s="55" t="s">
        <v>214</v>
      </c>
      <c r="C921" s="55" t="s">
        <v>415</v>
      </c>
      <c r="D921" s="80">
        <v>2690</v>
      </c>
    </row>
    <row r="922" spans="2:4">
      <c r="B922" s="55" t="s">
        <v>328</v>
      </c>
      <c r="C922" s="55" t="s">
        <v>415</v>
      </c>
      <c r="D922" s="80">
        <v>5010</v>
      </c>
    </row>
    <row r="923" spans="2:4">
      <c r="B923" s="55" t="s">
        <v>215</v>
      </c>
      <c r="C923" s="55" t="s">
        <v>415</v>
      </c>
      <c r="D923" s="80">
        <v>2920</v>
      </c>
    </row>
    <row r="924" spans="2:4">
      <c r="B924" s="55" t="s">
        <v>329</v>
      </c>
      <c r="C924" s="55" t="s">
        <v>415</v>
      </c>
      <c r="D924" s="80">
        <v>485</v>
      </c>
    </row>
    <row r="925" spans="2:4">
      <c r="B925" s="55" t="s">
        <v>216</v>
      </c>
      <c r="C925" s="55" t="s">
        <v>415</v>
      </c>
      <c r="D925" s="80">
        <v>3960</v>
      </c>
    </row>
    <row r="926" spans="2:4">
      <c r="B926" s="55" t="s">
        <v>403</v>
      </c>
      <c r="C926" s="55" t="s">
        <v>415</v>
      </c>
      <c r="D926" s="80">
        <v>1620</v>
      </c>
    </row>
    <row r="927" spans="2:4">
      <c r="B927" s="55" t="s">
        <v>403</v>
      </c>
      <c r="C927" s="55" t="s">
        <v>415</v>
      </c>
      <c r="D927" s="80">
        <v>1920</v>
      </c>
    </row>
    <row r="928" spans="2:4">
      <c r="B928" s="55" t="s">
        <v>330</v>
      </c>
      <c r="C928" s="55" t="s">
        <v>415</v>
      </c>
      <c r="D928" s="80">
        <v>7550</v>
      </c>
    </row>
    <row r="929" spans="2:4">
      <c r="B929" s="55" t="s">
        <v>331</v>
      </c>
      <c r="C929" s="55" t="s">
        <v>415</v>
      </c>
      <c r="D929" s="80">
        <v>7410</v>
      </c>
    </row>
    <row r="930" spans="2:4">
      <c r="B930" s="55" t="s">
        <v>332</v>
      </c>
      <c r="C930" s="55" t="s">
        <v>415</v>
      </c>
      <c r="D930" s="80">
        <v>3460</v>
      </c>
    </row>
    <row r="931" spans="2:4">
      <c r="B931" s="55" t="s">
        <v>333</v>
      </c>
      <c r="C931" s="55" t="s">
        <v>415</v>
      </c>
      <c r="D931" s="80">
        <v>6500</v>
      </c>
    </row>
    <row r="932" spans="2:4">
      <c r="B932" s="55" t="s">
        <v>217</v>
      </c>
      <c r="C932" s="55" t="s">
        <v>415</v>
      </c>
      <c r="D932" s="80">
        <v>9180</v>
      </c>
    </row>
    <row r="933" spans="2:4">
      <c r="B933" s="55" t="s">
        <v>334</v>
      </c>
      <c r="C933" s="55" t="s">
        <v>415</v>
      </c>
      <c r="D933" s="80">
        <v>3270</v>
      </c>
    </row>
    <row r="934" spans="2:4">
      <c r="B934" s="55" t="s">
        <v>335</v>
      </c>
      <c r="C934" s="55" t="s">
        <v>415</v>
      </c>
      <c r="D934" s="80">
        <v>1400</v>
      </c>
    </row>
    <row r="935" spans="2:4">
      <c r="B935" s="55" t="s">
        <v>218</v>
      </c>
      <c r="C935" s="55" t="s">
        <v>415</v>
      </c>
      <c r="D935" s="80">
        <v>3370</v>
      </c>
    </row>
    <row r="936" spans="2:4">
      <c r="B936" s="55" t="s">
        <v>336</v>
      </c>
      <c r="C936" s="55" t="s">
        <v>415</v>
      </c>
      <c r="D936" s="80">
        <v>949</v>
      </c>
    </row>
    <row r="937" spans="2:4">
      <c r="B937" s="55" t="s">
        <v>337</v>
      </c>
      <c r="C937" s="55" t="s">
        <v>415</v>
      </c>
      <c r="D937" s="80">
        <v>88</v>
      </c>
    </row>
    <row r="938" spans="2:4">
      <c r="B938" s="55" t="s">
        <v>338</v>
      </c>
      <c r="C938" s="55" t="s">
        <v>415</v>
      </c>
      <c r="D938" s="80">
        <v>29.3</v>
      </c>
    </row>
    <row r="939" spans="2:4">
      <c r="B939" s="55" t="s">
        <v>219</v>
      </c>
      <c r="C939" s="55" t="s">
        <v>415</v>
      </c>
      <c r="D939" s="80">
        <v>995</v>
      </c>
    </row>
    <row r="940" spans="2:4">
      <c r="B940" s="55" t="s">
        <v>339</v>
      </c>
      <c r="C940" s="55" t="s">
        <v>415</v>
      </c>
      <c r="D940" s="80">
        <v>2870</v>
      </c>
    </row>
    <row r="941" spans="2:4">
      <c r="B941" s="55" t="s">
        <v>340</v>
      </c>
      <c r="C941" s="55" t="s">
        <v>415</v>
      </c>
      <c r="D941" s="80">
        <v>1730</v>
      </c>
    </row>
    <row r="942" spans="2:4">
      <c r="B942" s="55" t="s">
        <v>342</v>
      </c>
      <c r="C942" s="55" t="s">
        <v>415</v>
      </c>
      <c r="D942" s="80">
        <v>5.77</v>
      </c>
    </row>
    <row r="943" spans="2:4">
      <c r="B943" s="55" t="s">
        <v>404</v>
      </c>
      <c r="C943" s="55" t="s">
        <v>415</v>
      </c>
      <c r="D943" s="80">
        <v>727</v>
      </c>
    </row>
    <row r="944" spans="2:4">
      <c r="B944" s="55" t="s">
        <v>343</v>
      </c>
      <c r="C944" s="55" t="s">
        <v>415</v>
      </c>
      <c r="D944" s="80">
        <v>1180</v>
      </c>
    </row>
    <row r="945" spans="2:4">
      <c r="B945" s="55" t="s">
        <v>343</v>
      </c>
      <c r="C945" s="55" t="s">
        <v>415</v>
      </c>
      <c r="D945" s="80">
        <v>823</v>
      </c>
    </row>
    <row r="946" spans="2:4">
      <c r="B946" s="55" t="s">
        <v>344</v>
      </c>
      <c r="C946" s="55" t="s">
        <v>415</v>
      </c>
      <c r="D946" s="80">
        <v>789</v>
      </c>
    </row>
    <row r="947" spans="2:4">
      <c r="B947" s="55" t="s">
        <v>345</v>
      </c>
      <c r="C947" s="55" t="s">
        <v>415</v>
      </c>
      <c r="D947" s="80">
        <v>11000</v>
      </c>
    </row>
    <row r="948" spans="2:4">
      <c r="B948" s="55" t="s">
        <v>346</v>
      </c>
      <c r="C948" s="55" t="s">
        <v>415</v>
      </c>
      <c r="D948" s="80">
        <v>10300</v>
      </c>
    </row>
    <row r="949" spans="2:4">
      <c r="B949" s="55" t="s">
        <v>220</v>
      </c>
      <c r="C949" s="55" t="s">
        <v>415</v>
      </c>
      <c r="D949" s="80">
        <v>8720</v>
      </c>
    </row>
    <row r="950" spans="2:4">
      <c r="B950" s="55" t="s">
        <v>405</v>
      </c>
      <c r="C950" s="55" t="s">
        <v>415</v>
      </c>
      <c r="D950" s="80">
        <v>17.100000000000001</v>
      </c>
    </row>
    <row r="951" spans="2:4">
      <c r="B951" s="55" t="s">
        <v>221</v>
      </c>
      <c r="C951" s="55" t="s">
        <v>415</v>
      </c>
      <c r="D951" s="80">
        <v>4920</v>
      </c>
    </row>
    <row r="952" spans="2:4">
      <c r="B952" s="55" t="s">
        <v>222</v>
      </c>
      <c r="C952" s="55" t="s">
        <v>415</v>
      </c>
      <c r="D952" s="80">
        <v>8320</v>
      </c>
    </row>
    <row r="953" spans="2:4">
      <c r="B953" s="55" t="s">
        <v>349</v>
      </c>
      <c r="C953" s="55" t="s">
        <v>415</v>
      </c>
      <c r="D953" s="80">
        <v>162</v>
      </c>
    </row>
    <row r="954" spans="2:4">
      <c r="B954" s="55" t="s">
        <v>350</v>
      </c>
      <c r="C954" s="55" t="s">
        <v>415</v>
      </c>
      <c r="D954" s="80">
        <v>1.4E-2</v>
      </c>
    </row>
    <row r="955" spans="2:4">
      <c r="B955" s="55" t="s">
        <v>223</v>
      </c>
      <c r="C955" s="55" t="s">
        <v>415</v>
      </c>
      <c r="D955" s="80">
        <v>8940</v>
      </c>
    </row>
    <row r="956" spans="2:4">
      <c r="B956" s="55" t="s">
        <v>351</v>
      </c>
      <c r="C956" s="55" t="s">
        <v>415</v>
      </c>
      <c r="D956" s="80">
        <v>0.32400000000000001</v>
      </c>
    </row>
    <row r="957" spans="2:4">
      <c r="B957" s="55" t="s">
        <v>224</v>
      </c>
      <c r="C957" s="55" t="s">
        <v>415</v>
      </c>
      <c r="D957" s="80">
        <v>1930</v>
      </c>
    </row>
    <row r="958" spans="2:4">
      <c r="B958" s="55" t="s">
        <v>225</v>
      </c>
      <c r="C958" s="55" t="s">
        <v>415</v>
      </c>
      <c r="D958" s="80">
        <v>81.2</v>
      </c>
    </row>
    <row r="959" spans="2:4">
      <c r="B959" s="55" t="s">
        <v>226</v>
      </c>
      <c r="C959" s="55" t="s">
        <v>415</v>
      </c>
      <c r="D959" s="80">
        <v>13500</v>
      </c>
    </row>
    <row r="960" spans="2:4">
      <c r="B960" s="55" t="s">
        <v>227</v>
      </c>
      <c r="C960" s="55" t="s">
        <v>415</v>
      </c>
      <c r="D960" s="80">
        <v>11700</v>
      </c>
    </row>
    <row r="961" spans="2:4">
      <c r="B961" s="55" t="s">
        <v>228</v>
      </c>
      <c r="C961" s="55" t="s">
        <v>415</v>
      </c>
      <c r="D961" s="80">
        <v>12700</v>
      </c>
    </row>
    <row r="962" spans="2:4">
      <c r="B962" s="55" t="s">
        <v>229</v>
      </c>
      <c r="C962" s="55" t="s">
        <v>415</v>
      </c>
      <c r="D962" s="80">
        <v>2170</v>
      </c>
    </row>
    <row r="963" spans="2:4">
      <c r="B963" s="55" t="s">
        <v>230</v>
      </c>
      <c r="C963" s="55" t="s">
        <v>415</v>
      </c>
      <c r="D963" s="80">
        <v>8.74</v>
      </c>
    </row>
    <row r="964" spans="2:4">
      <c r="B964" s="55" t="s">
        <v>406</v>
      </c>
      <c r="C964" s="55" t="s">
        <v>415</v>
      </c>
      <c r="D964" s="80">
        <v>1E-3</v>
      </c>
    </row>
    <row r="965" spans="2:4">
      <c r="B965" s="55" t="s">
        <v>231</v>
      </c>
      <c r="C965" s="55" t="s">
        <v>415</v>
      </c>
      <c r="D965" s="80">
        <v>40.200000000000003</v>
      </c>
    </row>
    <row r="966" spans="2:4">
      <c r="B966" s="55" t="s">
        <v>232</v>
      </c>
      <c r="C966" s="55" t="s">
        <v>415</v>
      </c>
      <c r="D966" s="80">
        <v>13400</v>
      </c>
    </row>
    <row r="967" spans="2:4">
      <c r="B967" s="55" t="s">
        <v>233</v>
      </c>
      <c r="C967" s="55" t="s">
        <v>415</v>
      </c>
      <c r="D967" s="80">
        <v>273</v>
      </c>
    </row>
    <row r="968" spans="2:4">
      <c r="B968" s="55" t="s">
        <v>356</v>
      </c>
      <c r="C968" s="55" t="s">
        <v>415</v>
      </c>
      <c r="D968" s="80">
        <v>281</v>
      </c>
    </row>
    <row r="969" spans="2:4">
      <c r="B969" s="55" t="s">
        <v>407</v>
      </c>
      <c r="C969" s="55" t="s">
        <v>415</v>
      </c>
      <c r="D969" s="80">
        <v>2.66</v>
      </c>
    </row>
    <row r="970" spans="2:4">
      <c r="B970" s="55" t="s">
        <v>357</v>
      </c>
      <c r="C970" s="55" t="s">
        <v>415</v>
      </c>
      <c r="D970" s="80">
        <v>6010</v>
      </c>
    </row>
    <row r="971" spans="2:4">
      <c r="B971" s="55" t="s">
        <v>358</v>
      </c>
      <c r="C971" s="55" t="s">
        <v>415</v>
      </c>
      <c r="D971" s="80">
        <v>0.36599999999999999</v>
      </c>
    </row>
    <row r="972" spans="2:4">
      <c r="B972" s="55" t="s">
        <v>359</v>
      </c>
      <c r="C972" s="55" t="s">
        <v>415</v>
      </c>
      <c r="D972" s="80">
        <v>7.1</v>
      </c>
    </row>
    <row r="973" spans="2:4">
      <c r="B973" s="55" t="s">
        <v>234</v>
      </c>
      <c r="C973" s="55" t="s">
        <v>415</v>
      </c>
      <c r="D973" s="80">
        <v>7300</v>
      </c>
    </row>
    <row r="974" spans="2:4">
      <c r="B974" s="55" t="s">
        <v>235</v>
      </c>
      <c r="C974" s="55" t="s">
        <v>415</v>
      </c>
      <c r="D974" s="80">
        <v>7400</v>
      </c>
    </row>
    <row r="975" spans="2:4">
      <c r="B975" s="55" t="s">
        <v>236</v>
      </c>
      <c r="C975" s="55" t="s">
        <v>415</v>
      </c>
      <c r="D975" s="80">
        <v>5480</v>
      </c>
    </row>
    <row r="976" spans="2:4">
      <c r="B976" s="55" t="s">
        <v>236</v>
      </c>
      <c r="C976" s="55" t="s">
        <v>415</v>
      </c>
      <c r="D976" s="80">
        <v>5710</v>
      </c>
    </row>
    <row r="977" spans="2:4">
      <c r="B977" s="55" t="s">
        <v>236</v>
      </c>
      <c r="C977" s="55" t="s">
        <v>415</v>
      </c>
      <c r="D977" s="80">
        <v>5220</v>
      </c>
    </row>
    <row r="978" spans="2:4">
      <c r="B978" s="55" t="s">
        <v>362</v>
      </c>
      <c r="C978" s="55" t="s">
        <v>415</v>
      </c>
      <c r="D978" s="80">
        <v>5480</v>
      </c>
    </row>
    <row r="979" spans="2:4">
      <c r="B979" s="55" t="s">
        <v>362</v>
      </c>
      <c r="C979" s="55" t="s">
        <v>415</v>
      </c>
      <c r="D979" s="80">
        <v>5710</v>
      </c>
    </row>
    <row r="980" spans="2:4">
      <c r="B980" s="55" t="s">
        <v>362</v>
      </c>
      <c r="C980" s="55" t="s">
        <v>415</v>
      </c>
      <c r="D980" s="80">
        <v>5220</v>
      </c>
    </row>
    <row r="981" spans="2:4">
      <c r="B981" s="55" t="s">
        <v>363</v>
      </c>
      <c r="C981" s="55" t="s">
        <v>415</v>
      </c>
      <c r="D981" s="80">
        <v>5480</v>
      </c>
    </row>
    <row r="982" spans="2:4">
      <c r="B982" s="55" t="s">
        <v>363</v>
      </c>
      <c r="C982" s="55" t="s">
        <v>415</v>
      </c>
      <c r="D982" s="80">
        <v>5710</v>
      </c>
    </row>
    <row r="983" spans="2:4">
      <c r="B983" s="55" t="s">
        <v>363</v>
      </c>
      <c r="C983" s="55" t="s">
        <v>415</v>
      </c>
      <c r="D983" s="80">
        <v>5220</v>
      </c>
    </row>
    <row r="984" spans="2:4">
      <c r="B984" s="55" t="s">
        <v>365</v>
      </c>
      <c r="C984" s="55" t="s">
        <v>415</v>
      </c>
      <c r="D984" s="80">
        <v>2130</v>
      </c>
    </row>
    <row r="985" spans="2:4">
      <c r="B985" s="55" t="s">
        <v>366</v>
      </c>
      <c r="C985" s="55" t="s">
        <v>415</v>
      </c>
      <c r="D985" s="80">
        <v>6120</v>
      </c>
    </row>
    <row r="986" spans="2:4">
      <c r="B986" s="55" t="s">
        <v>237</v>
      </c>
      <c r="C986" s="55" t="s">
        <v>415</v>
      </c>
      <c r="D986" s="80">
        <v>6260</v>
      </c>
    </row>
    <row r="987" spans="2:4">
      <c r="B987" s="55" t="s">
        <v>408</v>
      </c>
      <c r="C987" s="55" t="s">
        <v>415</v>
      </c>
      <c r="D987" s="80">
        <v>0.50800000000000001</v>
      </c>
    </row>
    <row r="988" spans="2:4">
      <c r="B988" s="55" t="s">
        <v>238</v>
      </c>
      <c r="C988" s="55" t="s">
        <v>415</v>
      </c>
      <c r="D988" s="80">
        <v>6680</v>
      </c>
    </row>
    <row r="989" spans="2:4">
      <c r="B989" s="55" t="s">
        <v>239</v>
      </c>
      <c r="C989" s="55" t="s">
        <v>415</v>
      </c>
      <c r="D989" s="80">
        <v>6770</v>
      </c>
    </row>
    <row r="990" spans="2:4">
      <c r="B990" s="55" t="s">
        <v>369</v>
      </c>
      <c r="C990" s="55" t="s">
        <v>415</v>
      </c>
      <c r="D990" s="80">
        <v>9.0999999999999998E-2</v>
      </c>
    </row>
    <row r="991" spans="2:4">
      <c r="B991" s="55" t="s">
        <v>409</v>
      </c>
      <c r="C991" s="55" t="s">
        <v>415</v>
      </c>
      <c r="D991" s="80">
        <v>7.1999999999999995E-2</v>
      </c>
    </row>
    <row r="992" spans="2:4">
      <c r="B992" s="55" t="s">
        <v>370</v>
      </c>
      <c r="C992" s="55" t="s">
        <v>415</v>
      </c>
      <c r="D992" s="80">
        <v>8320</v>
      </c>
    </row>
    <row r="993" spans="2:4">
      <c r="B993" s="55" t="s">
        <v>240</v>
      </c>
      <c r="C993" s="55" t="s">
        <v>415</v>
      </c>
      <c r="D993" s="80">
        <v>2020</v>
      </c>
    </row>
    <row r="994" spans="2:4">
      <c r="B994" s="55" t="s">
        <v>371</v>
      </c>
      <c r="C994" s="55" t="s">
        <v>415</v>
      </c>
      <c r="D994" s="80">
        <v>269</v>
      </c>
    </row>
    <row r="995" spans="2:4">
      <c r="B995" s="55" t="s">
        <v>410</v>
      </c>
      <c r="C995" s="55" t="s">
        <v>415</v>
      </c>
      <c r="D995" s="80">
        <v>1540</v>
      </c>
    </row>
    <row r="996" spans="2:4">
      <c r="B996" s="55" t="s">
        <v>411</v>
      </c>
      <c r="C996" s="55" t="s">
        <v>415</v>
      </c>
      <c r="D996" s="80">
        <v>124</v>
      </c>
    </row>
    <row r="997" spans="2:4">
      <c r="B997" s="55" t="s">
        <v>372</v>
      </c>
      <c r="C997" s="55" t="s">
        <v>415</v>
      </c>
      <c r="D997" s="80">
        <v>702</v>
      </c>
    </row>
    <row r="998" spans="2:4">
      <c r="B998" s="55" t="s">
        <v>241</v>
      </c>
      <c r="C998" s="55" t="s">
        <v>415</v>
      </c>
      <c r="D998" s="80">
        <v>18300</v>
      </c>
    </row>
    <row r="999" spans="2:4">
      <c r="B999" s="55" t="s">
        <v>373</v>
      </c>
      <c r="C999" s="55" t="s">
        <v>415</v>
      </c>
      <c r="D999" s="80">
        <v>7510</v>
      </c>
    </row>
    <row r="1000" spans="2:4">
      <c r="B1000" s="55" t="s">
        <v>412</v>
      </c>
      <c r="C1000" s="55" t="s">
        <v>415</v>
      </c>
      <c r="D1000" s="80">
        <v>22.8</v>
      </c>
    </row>
    <row r="1001" spans="2:4">
      <c r="B1001" s="55" t="s">
        <v>374</v>
      </c>
      <c r="C1001" s="55" t="s">
        <v>415</v>
      </c>
      <c r="D1001" s="80">
        <v>1.4E-2</v>
      </c>
    </row>
    <row r="1002" spans="2:4">
      <c r="B1002" s="55" t="s">
        <v>413</v>
      </c>
      <c r="C1002" s="55" t="s">
        <v>415</v>
      </c>
      <c r="D1002" s="80">
        <v>0.90100000000000002</v>
      </c>
    </row>
    <row r="1003" spans="2:4">
      <c r="B1003" s="55" t="s">
        <v>414</v>
      </c>
      <c r="C1003" s="55" t="s">
        <v>415</v>
      </c>
      <c r="D1003" s="80">
        <v>0.158</v>
      </c>
    </row>
    <row r="1004" spans="2:4">
      <c r="B1004" s="55" t="s">
        <v>376</v>
      </c>
      <c r="C1004" s="55" t="s">
        <v>415</v>
      </c>
      <c r="D1004" s="80">
        <v>3.6999999999999998E-2</v>
      </c>
    </row>
    <row r="1005" spans="2:4">
      <c r="B1005" s="55" t="s">
        <v>242</v>
      </c>
      <c r="C1005" s="55" t="s">
        <v>415</v>
      </c>
      <c r="D1005" s="80">
        <v>13900</v>
      </c>
    </row>
    <row r="1006" spans="2:4">
      <c r="B1006" s="55" t="s">
        <v>379</v>
      </c>
      <c r="C1006" s="55" t="s">
        <v>415</v>
      </c>
      <c r="D1006" s="80">
        <v>8.7999999999999995E-2</v>
      </c>
    </row>
    <row r="1007" spans="2:4">
      <c r="B1007" s="55" t="s">
        <v>380</v>
      </c>
      <c r="C1007" s="55" t="s">
        <v>415</v>
      </c>
      <c r="D1007" s="80">
        <v>0.189</v>
      </c>
    </row>
    <row r="1008" spans="2:4">
      <c r="B1008" s="55" t="s">
        <v>247</v>
      </c>
      <c r="C1008" s="55" t="s">
        <v>416</v>
      </c>
      <c r="D1008" s="80">
        <v>0.59199999999999997</v>
      </c>
    </row>
    <row r="1009" spans="2:4">
      <c r="B1009" s="55" t="s">
        <v>248</v>
      </c>
      <c r="C1009" s="55" t="s">
        <v>416</v>
      </c>
      <c r="D1009" s="80">
        <v>58.8</v>
      </c>
    </row>
    <row r="1010" spans="2:4">
      <c r="B1010" s="55" t="s">
        <v>249</v>
      </c>
      <c r="C1010" s="55" t="s">
        <v>416</v>
      </c>
      <c r="D1010" s="80">
        <v>76.7</v>
      </c>
    </row>
    <row r="1011" spans="2:4">
      <c r="B1011" s="55" t="s">
        <v>181</v>
      </c>
      <c r="C1011" s="55" t="s">
        <v>416</v>
      </c>
      <c r="D1011" s="80">
        <v>46</v>
      </c>
    </row>
    <row r="1012" spans="2:4">
      <c r="B1012" s="55" t="s">
        <v>182</v>
      </c>
      <c r="C1012" s="55" t="s">
        <v>416</v>
      </c>
      <c r="D1012" s="80">
        <v>93.5</v>
      </c>
    </row>
    <row r="1013" spans="2:4">
      <c r="B1013" s="55" t="s">
        <v>182</v>
      </c>
      <c r="C1013" s="55" t="s">
        <v>416</v>
      </c>
      <c r="D1013" s="80">
        <v>65.3</v>
      </c>
    </row>
    <row r="1014" spans="2:4">
      <c r="B1014" s="55" t="s">
        <v>250</v>
      </c>
      <c r="C1014" s="55" t="s">
        <v>416</v>
      </c>
      <c r="D1014" s="80">
        <v>0.47799999999999998</v>
      </c>
    </row>
    <row r="1015" spans="2:4">
      <c r="B1015" s="55" t="s">
        <v>251</v>
      </c>
      <c r="C1015" s="55" t="s">
        <v>416</v>
      </c>
      <c r="D1015" s="80">
        <v>359</v>
      </c>
    </row>
    <row r="1016" spans="2:4">
      <c r="B1016" s="55" t="s">
        <v>183</v>
      </c>
      <c r="C1016" s="55" t="s">
        <v>416</v>
      </c>
      <c r="D1016" s="80">
        <v>639</v>
      </c>
    </row>
    <row r="1017" spans="2:4">
      <c r="B1017" s="55" t="s">
        <v>256</v>
      </c>
      <c r="C1017" s="55" t="s">
        <v>416</v>
      </c>
      <c r="D1017" s="80">
        <v>0.371</v>
      </c>
    </row>
    <row r="1018" spans="2:4">
      <c r="B1018" s="55" t="s">
        <v>383</v>
      </c>
      <c r="C1018" s="55" t="s">
        <v>416</v>
      </c>
      <c r="D1018" s="80">
        <v>1.4999999999999999E-2</v>
      </c>
    </row>
    <row r="1019" spans="2:4">
      <c r="B1019" s="55" t="s">
        <v>257</v>
      </c>
      <c r="C1019" s="55" t="s">
        <v>416</v>
      </c>
      <c r="D1019" s="80">
        <v>10.4</v>
      </c>
    </row>
    <row r="1020" spans="2:4">
      <c r="B1020" s="55" t="s">
        <v>384</v>
      </c>
      <c r="C1020" s="55" t="s">
        <v>416</v>
      </c>
      <c r="D1020" s="80">
        <v>2E-3</v>
      </c>
    </row>
    <row r="1021" spans="2:4">
      <c r="B1021" s="55" t="s">
        <v>259</v>
      </c>
      <c r="C1021" s="55" t="s">
        <v>416</v>
      </c>
      <c r="D1021" s="80">
        <v>7.54</v>
      </c>
    </row>
    <row r="1022" spans="2:4">
      <c r="B1022" s="55" t="s">
        <v>260</v>
      </c>
      <c r="C1022" s="55" t="s">
        <v>416</v>
      </c>
      <c r="D1022" s="80">
        <v>5.8000000000000003E-2</v>
      </c>
    </row>
    <row r="1023" spans="2:4">
      <c r="B1023" s="55" t="s">
        <v>261</v>
      </c>
      <c r="C1023" s="55" t="s">
        <v>416</v>
      </c>
      <c r="D1023" s="80">
        <v>4.5999999999999999E-2</v>
      </c>
    </row>
    <row r="1024" spans="2:4">
      <c r="B1024" s="55" t="s">
        <v>262</v>
      </c>
      <c r="C1024" s="55" t="s">
        <v>416</v>
      </c>
      <c r="D1024" s="80">
        <v>9.7799999999999994</v>
      </c>
    </row>
    <row r="1025" spans="2:4">
      <c r="B1025" s="55" t="s">
        <v>263</v>
      </c>
      <c r="C1025" s="55" t="s">
        <v>416</v>
      </c>
      <c r="D1025" s="80">
        <v>4.12</v>
      </c>
    </row>
    <row r="1026" spans="2:4">
      <c r="B1026" s="55" t="s">
        <v>264</v>
      </c>
      <c r="C1026" s="55" t="s">
        <v>416</v>
      </c>
      <c r="D1026" s="80">
        <v>9.8000000000000004E-2</v>
      </c>
    </row>
    <row r="1027" spans="2:4">
      <c r="B1027" s="55" t="s">
        <v>265</v>
      </c>
      <c r="C1027" s="55" t="s">
        <v>416</v>
      </c>
      <c r="D1027" s="80">
        <v>0.09</v>
      </c>
    </row>
    <row r="1028" spans="2:4">
      <c r="B1028" s="55" t="s">
        <v>266</v>
      </c>
      <c r="C1028" s="55" t="s">
        <v>416</v>
      </c>
      <c r="D1028" s="80">
        <v>1.1100000000000001</v>
      </c>
    </row>
    <row r="1029" spans="2:4">
      <c r="B1029" s="55" t="s">
        <v>267</v>
      </c>
      <c r="C1029" s="55" t="s">
        <v>416</v>
      </c>
      <c r="D1029" s="80">
        <v>0.14299999999999999</v>
      </c>
    </row>
    <row r="1030" spans="2:4">
      <c r="B1030" s="55" t="s">
        <v>268</v>
      </c>
      <c r="C1030" s="55" t="s">
        <v>416</v>
      </c>
      <c r="D1030" s="80">
        <v>8.69</v>
      </c>
    </row>
    <row r="1031" spans="2:4">
      <c r="B1031" s="55" t="s">
        <v>269</v>
      </c>
      <c r="C1031" s="55" t="s">
        <v>416</v>
      </c>
      <c r="D1031" s="80">
        <v>885</v>
      </c>
    </row>
    <row r="1032" spans="2:4">
      <c r="B1032" s="55" t="s">
        <v>270</v>
      </c>
      <c r="C1032" s="55" t="s">
        <v>416</v>
      </c>
      <c r="D1032" s="80">
        <v>10.199999999999999</v>
      </c>
    </row>
    <row r="1033" spans="2:4">
      <c r="B1033" s="55" t="s">
        <v>272</v>
      </c>
      <c r="C1033" s="55" t="s">
        <v>416</v>
      </c>
      <c r="D1033" s="80">
        <v>15.6</v>
      </c>
    </row>
    <row r="1034" spans="2:4">
      <c r="B1034" s="55" t="s">
        <v>273</v>
      </c>
      <c r="C1034" s="55" t="s">
        <v>416</v>
      </c>
      <c r="D1034" s="80">
        <v>315</v>
      </c>
    </row>
    <row r="1035" spans="2:4">
      <c r="B1035" s="55" t="s">
        <v>274</v>
      </c>
      <c r="C1035" s="55" t="s">
        <v>416</v>
      </c>
      <c r="D1035" s="80">
        <v>1.76</v>
      </c>
    </row>
    <row r="1036" spans="2:4">
      <c r="B1036" s="55" t="s">
        <v>275</v>
      </c>
      <c r="C1036" s="55" t="s">
        <v>416</v>
      </c>
      <c r="D1036" s="80">
        <v>57.5</v>
      </c>
    </row>
    <row r="1037" spans="2:4">
      <c r="B1037" s="55" t="s">
        <v>276</v>
      </c>
      <c r="C1037" s="55" t="s">
        <v>416</v>
      </c>
      <c r="D1037" s="80">
        <v>50.6</v>
      </c>
    </row>
    <row r="1038" spans="2:4">
      <c r="B1038" s="55" t="s">
        <v>277</v>
      </c>
      <c r="C1038" s="55" t="s">
        <v>416</v>
      </c>
      <c r="D1038" s="80">
        <v>38.700000000000003</v>
      </c>
    </row>
    <row r="1039" spans="2:4">
      <c r="B1039" s="55" t="s">
        <v>385</v>
      </c>
      <c r="C1039" s="55" t="s">
        <v>416</v>
      </c>
      <c r="D1039" s="80">
        <v>0</v>
      </c>
    </row>
    <row r="1040" spans="2:4">
      <c r="B1040" s="55" t="s">
        <v>386</v>
      </c>
      <c r="C1040" s="55" t="s">
        <v>416</v>
      </c>
      <c r="D1040" s="80">
        <v>5.1999999999999998E-2</v>
      </c>
    </row>
    <row r="1041" spans="2:4">
      <c r="B1041" s="55" t="s">
        <v>278</v>
      </c>
      <c r="C1041" s="55" t="s">
        <v>416</v>
      </c>
      <c r="D1041" s="80">
        <v>13.9</v>
      </c>
    </row>
    <row r="1042" spans="2:4">
      <c r="B1042" s="55" t="s">
        <v>279</v>
      </c>
      <c r="C1042" s="55" t="s">
        <v>416</v>
      </c>
      <c r="D1042" s="80">
        <v>0.151</v>
      </c>
    </row>
    <row r="1043" spans="2:4">
      <c r="B1043" s="55" t="s">
        <v>280</v>
      </c>
      <c r="C1043" s="55" t="s">
        <v>416</v>
      </c>
      <c r="D1043" s="80">
        <v>7.3999999999999996E-2</v>
      </c>
    </row>
    <row r="1044" spans="2:4">
      <c r="B1044" s="55" t="s">
        <v>281</v>
      </c>
      <c r="C1044" s="55" t="s">
        <v>416</v>
      </c>
      <c r="D1044" s="80">
        <v>0.17699999999999999</v>
      </c>
    </row>
    <row r="1045" spans="2:4">
      <c r="B1045" s="55" t="s">
        <v>283</v>
      </c>
      <c r="C1045" s="55" t="s">
        <v>416</v>
      </c>
      <c r="D1045" s="80">
        <v>0.152</v>
      </c>
    </row>
    <row r="1046" spans="2:4">
      <c r="B1046" s="55" t="s">
        <v>284</v>
      </c>
      <c r="C1046" s="55" t="s">
        <v>416</v>
      </c>
      <c r="D1046" s="80">
        <v>7.8E-2</v>
      </c>
    </row>
    <row r="1047" spans="2:4">
      <c r="B1047" s="55" t="s">
        <v>285</v>
      </c>
      <c r="C1047" s="55" t="s">
        <v>416</v>
      </c>
      <c r="D1047" s="80">
        <v>0.128</v>
      </c>
    </row>
    <row r="1048" spans="2:4">
      <c r="B1048" s="55" t="s">
        <v>387</v>
      </c>
      <c r="C1048" s="55" t="s">
        <v>416</v>
      </c>
      <c r="D1048" s="80">
        <v>1E-3</v>
      </c>
    </row>
    <row r="1049" spans="2:4">
      <c r="B1049" s="55" t="s">
        <v>286</v>
      </c>
      <c r="C1049" s="55" t="s">
        <v>416</v>
      </c>
      <c r="D1049" s="80">
        <v>3.3000000000000002E-2</v>
      </c>
    </row>
    <row r="1050" spans="2:4">
      <c r="B1050" s="55" t="s">
        <v>287</v>
      </c>
      <c r="C1050" s="55" t="s">
        <v>416</v>
      </c>
      <c r="D1050" s="80">
        <v>1.4E-2</v>
      </c>
    </row>
    <row r="1051" spans="2:4">
      <c r="B1051" s="55" t="s">
        <v>288</v>
      </c>
      <c r="C1051" s="55" t="s">
        <v>416</v>
      </c>
      <c r="D1051" s="80">
        <v>23.5</v>
      </c>
    </row>
    <row r="1052" spans="2:4">
      <c r="B1052" s="55" t="s">
        <v>289</v>
      </c>
      <c r="C1052" s="55" t="s">
        <v>416</v>
      </c>
      <c r="D1052" s="80">
        <v>108</v>
      </c>
    </row>
    <row r="1053" spans="2:4">
      <c r="B1053" s="55" t="s">
        <v>388</v>
      </c>
      <c r="C1053" s="55" t="s">
        <v>416</v>
      </c>
      <c r="D1053" s="80">
        <v>0.13900000000000001</v>
      </c>
    </row>
    <row r="1054" spans="2:4">
      <c r="B1054" s="55" t="s">
        <v>389</v>
      </c>
      <c r="C1054" s="55" t="s">
        <v>416</v>
      </c>
      <c r="D1054" s="80">
        <v>2E-3</v>
      </c>
    </row>
    <row r="1055" spans="2:4">
      <c r="B1055" s="55" t="s">
        <v>184</v>
      </c>
      <c r="C1055" s="55" t="s">
        <v>416</v>
      </c>
      <c r="D1055" s="80">
        <v>131</v>
      </c>
    </row>
    <row r="1056" spans="2:4">
      <c r="B1056" s="55" t="s">
        <v>184</v>
      </c>
      <c r="C1056" s="55" t="s">
        <v>416</v>
      </c>
      <c r="D1056" s="80">
        <v>155</v>
      </c>
    </row>
    <row r="1057" spans="2:4">
      <c r="B1057" s="55" t="s">
        <v>185</v>
      </c>
      <c r="C1057" s="55" t="s">
        <v>416</v>
      </c>
      <c r="D1057" s="80">
        <v>2090</v>
      </c>
    </row>
    <row r="1058" spans="2:4">
      <c r="B1058" s="55" t="s">
        <v>390</v>
      </c>
      <c r="C1058" s="55" t="s">
        <v>416</v>
      </c>
      <c r="D1058" s="80">
        <v>1670</v>
      </c>
    </row>
    <row r="1059" spans="2:4">
      <c r="B1059" s="55" t="s">
        <v>186</v>
      </c>
      <c r="C1059" s="55" t="s">
        <v>416</v>
      </c>
      <c r="D1059" s="80">
        <v>2830</v>
      </c>
    </row>
    <row r="1060" spans="2:4">
      <c r="B1060" s="55" t="s">
        <v>391</v>
      </c>
      <c r="C1060" s="55" t="s">
        <v>416</v>
      </c>
      <c r="D1060" s="80">
        <v>1350</v>
      </c>
    </row>
    <row r="1061" spans="2:4">
      <c r="B1061" s="55" t="s">
        <v>187</v>
      </c>
      <c r="C1061" s="55" t="s">
        <v>416</v>
      </c>
      <c r="D1061" s="80">
        <v>6150</v>
      </c>
    </row>
    <row r="1062" spans="2:4">
      <c r="B1062" s="55" t="s">
        <v>392</v>
      </c>
      <c r="C1062" s="55" t="s">
        <v>416</v>
      </c>
      <c r="D1062" s="80">
        <v>3450</v>
      </c>
    </row>
    <row r="1063" spans="2:4">
      <c r="B1063" s="55" t="s">
        <v>188</v>
      </c>
      <c r="C1063" s="55" t="s">
        <v>416</v>
      </c>
      <c r="D1063" s="80">
        <v>9880</v>
      </c>
    </row>
    <row r="1064" spans="2:4">
      <c r="B1064" s="55" t="s">
        <v>189</v>
      </c>
      <c r="C1064" s="55" t="s">
        <v>416</v>
      </c>
      <c r="D1064" s="80">
        <v>5710</v>
      </c>
    </row>
    <row r="1065" spans="2:4">
      <c r="B1065" s="55" t="s">
        <v>190</v>
      </c>
      <c r="C1065" s="55" t="s">
        <v>416</v>
      </c>
      <c r="D1065" s="80">
        <v>17500</v>
      </c>
    </row>
    <row r="1066" spans="2:4">
      <c r="B1066" s="55" t="s">
        <v>191</v>
      </c>
      <c r="C1066" s="55" t="s">
        <v>416</v>
      </c>
      <c r="D1066" s="80">
        <v>1</v>
      </c>
    </row>
    <row r="1067" spans="2:4">
      <c r="B1067" s="55" t="s">
        <v>192</v>
      </c>
      <c r="C1067" s="55" t="s">
        <v>416</v>
      </c>
      <c r="D1067" s="80">
        <v>658</v>
      </c>
    </row>
    <row r="1068" spans="2:4">
      <c r="B1068" s="55" t="s">
        <v>193</v>
      </c>
      <c r="C1068" s="55" t="s">
        <v>416</v>
      </c>
      <c r="D1068" s="80">
        <v>10600</v>
      </c>
    </row>
    <row r="1069" spans="2:4">
      <c r="B1069" s="55" t="s">
        <v>393</v>
      </c>
      <c r="C1069" s="55" t="s">
        <v>416</v>
      </c>
      <c r="D1069" s="80">
        <v>0.13700000000000001</v>
      </c>
    </row>
    <row r="1070" spans="2:4">
      <c r="B1070" s="55" t="s">
        <v>291</v>
      </c>
      <c r="C1070" s="55" t="s">
        <v>416</v>
      </c>
      <c r="D1070" s="80">
        <v>5.87</v>
      </c>
    </row>
    <row r="1071" spans="2:4">
      <c r="B1071" s="55" t="s">
        <v>194</v>
      </c>
      <c r="C1071" s="55" t="s">
        <v>416</v>
      </c>
      <c r="D1071" s="80">
        <v>1.58</v>
      </c>
    </row>
    <row r="1072" spans="2:4">
      <c r="B1072" s="55" t="s">
        <v>394</v>
      </c>
      <c r="C1072" s="55" t="s">
        <v>416</v>
      </c>
      <c r="D1072" s="80">
        <v>0</v>
      </c>
    </row>
    <row r="1073" spans="2:4">
      <c r="B1073" s="55" t="s">
        <v>292</v>
      </c>
      <c r="C1073" s="55" t="s">
        <v>416</v>
      </c>
      <c r="D1073" s="80">
        <v>61.5</v>
      </c>
    </row>
    <row r="1074" spans="2:4">
      <c r="B1074" s="55" t="s">
        <v>293</v>
      </c>
      <c r="C1074" s="55" t="s">
        <v>416</v>
      </c>
      <c r="D1074" s="80">
        <v>0.43099999999999999</v>
      </c>
    </row>
    <row r="1075" spans="2:4">
      <c r="B1075" s="55" t="s">
        <v>295</v>
      </c>
      <c r="C1075" s="55" t="s">
        <v>416</v>
      </c>
      <c r="D1075" s="80">
        <v>38.9</v>
      </c>
    </row>
    <row r="1076" spans="2:4">
      <c r="B1076" s="55" t="s">
        <v>297</v>
      </c>
      <c r="C1076" s="55" t="s">
        <v>416</v>
      </c>
      <c r="D1076" s="80">
        <v>171</v>
      </c>
    </row>
    <row r="1077" spans="2:4">
      <c r="B1077" s="55" t="s">
        <v>298</v>
      </c>
      <c r="C1077" s="55" t="s">
        <v>416</v>
      </c>
      <c r="D1077" s="80">
        <v>186</v>
      </c>
    </row>
    <row r="1078" spans="2:4">
      <c r="B1078" s="55" t="s">
        <v>395</v>
      </c>
      <c r="C1078" s="55" t="s">
        <v>416</v>
      </c>
      <c r="D1078" s="80">
        <v>0.125</v>
      </c>
    </row>
    <row r="1079" spans="2:4">
      <c r="B1079" s="55" t="s">
        <v>299</v>
      </c>
      <c r="C1079" s="55" t="s">
        <v>416</v>
      </c>
      <c r="D1079" s="80">
        <v>8.32</v>
      </c>
    </row>
    <row r="1080" spans="2:4">
      <c r="B1080" s="55" t="s">
        <v>196</v>
      </c>
      <c r="C1080" s="55" t="s">
        <v>416</v>
      </c>
      <c r="D1080" s="80">
        <v>213</v>
      </c>
    </row>
    <row r="1081" spans="2:4">
      <c r="B1081" s="55" t="s">
        <v>300</v>
      </c>
      <c r="C1081" s="55" t="s">
        <v>416</v>
      </c>
      <c r="D1081" s="80">
        <v>2570</v>
      </c>
    </row>
    <row r="1082" spans="2:4">
      <c r="B1082" s="55" t="s">
        <v>301</v>
      </c>
      <c r="C1082" s="55" t="s">
        <v>416</v>
      </c>
      <c r="D1082" s="80">
        <v>0.58799999999999997</v>
      </c>
    </row>
    <row r="1083" spans="2:4">
      <c r="B1083" s="55" t="s">
        <v>303</v>
      </c>
      <c r="C1083" s="55" t="s">
        <v>416</v>
      </c>
      <c r="D1083" s="80">
        <v>97.6</v>
      </c>
    </row>
    <row r="1084" spans="2:4">
      <c r="B1084" s="55" t="s">
        <v>304</v>
      </c>
      <c r="C1084" s="55" t="s">
        <v>416</v>
      </c>
      <c r="D1084" s="80">
        <v>266</v>
      </c>
    </row>
    <row r="1085" spans="2:4">
      <c r="B1085" s="55" t="s">
        <v>396</v>
      </c>
      <c r="C1085" s="55" t="s">
        <v>416</v>
      </c>
      <c r="D1085" s="80">
        <v>13.3</v>
      </c>
    </row>
    <row r="1086" spans="2:4">
      <c r="B1086" s="55" t="s">
        <v>306</v>
      </c>
      <c r="C1086" s="55" t="s">
        <v>416</v>
      </c>
      <c r="D1086" s="80">
        <v>3.56</v>
      </c>
    </row>
    <row r="1087" spans="2:4">
      <c r="B1087" s="55" t="s">
        <v>307</v>
      </c>
      <c r="C1087" s="55" t="s">
        <v>416</v>
      </c>
      <c r="D1087" s="80">
        <v>741</v>
      </c>
    </row>
    <row r="1088" spans="2:4">
      <c r="B1088" s="55" t="s">
        <v>197</v>
      </c>
      <c r="C1088" s="55" t="s">
        <v>416</v>
      </c>
      <c r="D1088" s="80">
        <v>251</v>
      </c>
    </row>
    <row r="1089" spans="2:4">
      <c r="B1089" s="55" t="s">
        <v>308</v>
      </c>
      <c r="C1089" s="55" t="s">
        <v>416</v>
      </c>
      <c r="D1089" s="80">
        <v>1.6E-2</v>
      </c>
    </row>
    <row r="1090" spans="2:4">
      <c r="B1090" s="55" t="s">
        <v>198</v>
      </c>
      <c r="C1090" s="55" t="s">
        <v>416</v>
      </c>
      <c r="D1090" s="80">
        <v>17.3</v>
      </c>
    </row>
    <row r="1091" spans="2:4">
      <c r="B1091" s="55" t="s">
        <v>309</v>
      </c>
      <c r="C1091" s="55" t="s">
        <v>416</v>
      </c>
      <c r="D1091" s="80">
        <v>0.45100000000000001</v>
      </c>
    </row>
    <row r="1092" spans="2:4">
      <c r="B1092" s="55" t="s">
        <v>397</v>
      </c>
      <c r="C1092" s="55" t="s">
        <v>416</v>
      </c>
      <c r="D1092" s="80">
        <v>0.29099999999999998</v>
      </c>
    </row>
    <row r="1093" spans="2:4">
      <c r="B1093" s="55" t="s">
        <v>398</v>
      </c>
      <c r="C1093" s="55" t="s">
        <v>416</v>
      </c>
      <c r="D1093" s="80">
        <v>16.600000000000001</v>
      </c>
    </row>
    <row r="1094" spans="2:4">
      <c r="B1094" s="55" t="s">
        <v>312</v>
      </c>
      <c r="C1094" s="55" t="s">
        <v>416</v>
      </c>
      <c r="D1094" s="80">
        <v>16.100000000000001</v>
      </c>
    </row>
    <row r="1095" spans="2:4">
      <c r="B1095" s="55" t="s">
        <v>313</v>
      </c>
      <c r="C1095" s="55" t="s">
        <v>416</v>
      </c>
      <c r="D1095" s="80">
        <v>69.900000000000006</v>
      </c>
    </row>
    <row r="1096" spans="2:4">
      <c r="B1096" s="55" t="s">
        <v>199</v>
      </c>
      <c r="C1096" s="55" t="s">
        <v>416</v>
      </c>
      <c r="D1096" s="80">
        <v>25.8</v>
      </c>
    </row>
    <row r="1097" spans="2:4">
      <c r="B1097" s="55" t="s">
        <v>314</v>
      </c>
      <c r="C1097" s="55" t="s">
        <v>416</v>
      </c>
      <c r="D1097" s="80">
        <v>113</v>
      </c>
    </row>
    <row r="1098" spans="2:4">
      <c r="B1098" s="55" t="s">
        <v>200</v>
      </c>
      <c r="C1098" s="55" t="s">
        <v>416</v>
      </c>
      <c r="D1098" s="80">
        <v>170</v>
      </c>
    </row>
    <row r="1099" spans="2:4">
      <c r="B1099" s="55" t="s">
        <v>399</v>
      </c>
      <c r="C1099" s="55" t="s">
        <v>416</v>
      </c>
      <c r="D1099" s="80">
        <v>592</v>
      </c>
    </row>
    <row r="1100" spans="2:4">
      <c r="B1100" s="55" t="s">
        <v>400</v>
      </c>
      <c r="C1100" s="55" t="s">
        <v>416</v>
      </c>
      <c r="D1100" s="80">
        <v>34.9</v>
      </c>
    </row>
    <row r="1101" spans="2:4">
      <c r="B1101" s="55" t="s">
        <v>401</v>
      </c>
      <c r="C1101" s="55" t="s">
        <v>416</v>
      </c>
      <c r="D1101" s="80">
        <v>111</v>
      </c>
    </row>
    <row r="1102" spans="2:4">
      <c r="B1102" s="55" t="s">
        <v>201</v>
      </c>
      <c r="C1102" s="55" t="s">
        <v>416</v>
      </c>
      <c r="D1102" s="80">
        <v>246</v>
      </c>
    </row>
    <row r="1103" spans="2:4">
      <c r="B1103" s="55" t="s">
        <v>202</v>
      </c>
      <c r="C1103" s="55" t="s">
        <v>416</v>
      </c>
      <c r="D1103" s="80">
        <v>658</v>
      </c>
    </row>
    <row r="1104" spans="2:4">
      <c r="B1104" s="55" t="s">
        <v>315</v>
      </c>
      <c r="C1104" s="55" t="s">
        <v>416</v>
      </c>
      <c r="D1104" s="80">
        <v>45.6</v>
      </c>
    </row>
    <row r="1105" spans="2:4">
      <c r="B1105" s="55" t="s">
        <v>203</v>
      </c>
      <c r="C1105" s="55" t="s">
        <v>416</v>
      </c>
      <c r="D1105" s="80">
        <v>560</v>
      </c>
    </row>
    <row r="1106" spans="2:4">
      <c r="B1106" s="55" t="s">
        <v>204</v>
      </c>
      <c r="C1106" s="55" t="s">
        <v>416</v>
      </c>
      <c r="D1106" s="80">
        <v>39</v>
      </c>
    </row>
    <row r="1107" spans="2:4">
      <c r="B1107" s="55" t="s">
        <v>205</v>
      </c>
      <c r="C1107" s="55" t="s">
        <v>416</v>
      </c>
      <c r="D1107" s="80">
        <v>162</v>
      </c>
    </row>
    <row r="1108" spans="2:4">
      <c r="B1108" s="55" t="s">
        <v>402</v>
      </c>
      <c r="C1108" s="55" t="s">
        <v>416</v>
      </c>
      <c r="D1108" s="80">
        <v>22.6</v>
      </c>
    </row>
    <row r="1109" spans="2:4">
      <c r="B1109" s="55" t="s">
        <v>206</v>
      </c>
      <c r="C1109" s="55" t="s">
        <v>416</v>
      </c>
      <c r="D1109" s="80">
        <v>1110</v>
      </c>
    </row>
    <row r="1110" spans="2:4">
      <c r="B1110" s="55" t="s">
        <v>317</v>
      </c>
      <c r="C1110" s="55" t="s">
        <v>416</v>
      </c>
      <c r="D1110" s="80">
        <v>361</v>
      </c>
    </row>
    <row r="1111" spans="2:4">
      <c r="B1111" s="55" t="s">
        <v>318</v>
      </c>
      <c r="C1111" s="55" t="s">
        <v>416</v>
      </c>
      <c r="D1111" s="80">
        <v>5.1999999999999998E-2</v>
      </c>
    </row>
    <row r="1112" spans="2:4">
      <c r="B1112" s="55" t="s">
        <v>207</v>
      </c>
      <c r="C1112" s="55" t="s">
        <v>416</v>
      </c>
      <c r="D1112" s="80">
        <v>436</v>
      </c>
    </row>
    <row r="1113" spans="2:4">
      <c r="B1113" s="55" t="s">
        <v>319</v>
      </c>
      <c r="C1113" s="55" t="s">
        <v>416</v>
      </c>
      <c r="D1113" s="80">
        <v>104</v>
      </c>
    </row>
    <row r="1114" spans="2:4">
      <c r="B1114" s="55" t="s">
        <v>208</v>
      </c>
      <c r="C1114" s="55" t="s">
        <v>416</v>
      </c>
      <c r="D1114" s="80">
        <v>1940</v>
      </c>
    </row>
    <row r="1115" spans="2:4">
      <c r="B1115" s="55" t="s">
        <v>320</v>
      </c>
      <c r="C1115" s="55" t="s">
        <v>416</v>
      </c>
      <c r="D1115" s="80">
        <v>6.14</v>
      </c>
    </row>
    <row r="1116" spans="2:4">
      <c r="B1116" s="55" t="s">
        <v>209</v>
      </c>
      <c r="C1116" s="55" t="s">
        <v>416</v>
      </c>
      <c r="D1116" s="80">
        <v>46.8</v>
      </c>
    </row>
    <row r="1117" spans="2:4">
      <c r="B1117" s="55" t="s">
        <v>321</v>
      </c>
      <c r="C1117" s="55" t="s">
        <v>416</v>
      </c>
      <c r="D1117" s="80">
        <v>1.38</v>
      </c>
    </row>
    <row r="1118" spans="2:4">
      <c r="B1118" s="55" t="s">
        <v>210</v>
      </c>
      <c r="C1118" s="55" t="s">
        <v>416</v>
      </c>
      <c r="D1118" s="80">
        <v>1100</v>
      </c>
    </row>
    <row r="1119" spans="2:4">
      <c r="B1119" s="55" t="s">
        <v>211</v>
      </c>
      <c r="C1119" s="55" t="s">
        <v>416</v>
      </c>
      <c r="D1119" s="80">
        <v>10500</v>
      </c>
    </row>
    <row r="1120" spans="2:4">
      <c r="B1120" s="55" t="s">
        <v>322</v>
      </c>
      <c r="C1120" s="55" t="s">
        <v>416</v>
      </c>
      <c r="D1120" s="80">
        <v>387</v>
      </c>
    </row>
    <row r="1121" spans="2:4">
      <c r="B1121" s="55" t="s">
        <v>323</v>
      </c>
      <c r="C1121" s="55" t="s">
        <v>416</v>
      </c>
      <c r="D1121" s="80">
        <v>428</v>
      </c>
    </row>
    <row r="1122" spans="2:4">
      <c r="B1122" s="55" t="s">
        <v>212</v>
      </c>
      <c r="C1122" s="55" t="s">
        <v>416</v>
      </c>
      <c r="D1122" s="80">
        <v>6040</v>
      </c>
    </row>
    <row r="1123" spans="2:4">
      <c r="B1123" s="55" t="s">
        <v>324</v>
      </c>
      <c r="C1123" s="55" t="s">
        <v>416</v>
      </c>
      <c r="D1123" s="80">
        <v>225</v>
      </c>
    </row>
    <row r="1124" spans="2:4">
      <c r="B1124" s="55" t="s">
        <v>325</v>
      </c>
      <c r="C1124" s="55" t="s">
        <v>416</v>
      </c>
      <c r="D1124" s="80">
        <v>1420</v>
      </c>
    </row>
    <row r="1125" spans="2:4">
      <c r="B1125" s="55" t="s">
        <v>326</v>
      </c>
      <c r="C1125" s="55" t="s">
        <v>416</v>
      </c>
      <c r="D1125" s="80">
        <v>72.599999999999994</v>
      </c>
    </row>
    <row r="1126" spans="2:4">
      <c r="B1126" s="55" t="s">
        <v>327</v>
      </c>
      <c r="C1126" s="55" t="s">
        <v>416</v>
      </c>
      <c r="D1126" s="80">
        <v>92.6</v>
      </c>
    </row>
    <row r="1127" spans="2:4">
      <c r="B1127" s="55" t="s">
        <v>213</v>
      </c>
      <c r="C1127" s="55" t="s">
        <v>416</v>
      </c>
      <c r="D1127" s="80">
        <v>274</v>
      </c>
    </row>
    <row r="1128" spans="2:4">
      <c r="B1128" s="55" t="s">
        <v>214</v>
      </c>
      <c r="C1128" s="55" t="s">
        <v>416</v>
      </c>
      <c r="D1128" s="80">
        <v>220</v>
      </c>
    </row>
    <row r="1129" spans="2:4">
      <c r="B1129" s="55" t="s">
        <v>328</v>
      </c>
      <c r="C1129" s="55" t="s">
        <v>416</v>
      </c>
      <c r="D1129" s="80">
        <v>866</v>
      </c>
    </row>
    <row r="1130" spans="2:4">
      <c r="B1130" s="55" t="s">
        <v>215</v>
      </c>
      <c r="C1130" s="55" t="s">
        <v>416</v>
      </c>
      <c r="D1130" s="80">
        <v>261</v>
      </c>
    </row>
    <row r="1131" spans="2:4">
      <c r="B1131" s="55" t="s">
        <v>329</v>
      </c>
      <c r="C1131" s="55" t="s">
        <v>416</v>
      </c>
      <c r="D1131" s="80">
        <v>38.6</v>
      </c>
    </row>
    <row r="1132" spans="2:4">
      <c r="B1132" s="55" t="s">
        <v>216</v>
      </c>
      <c r="C1132" s="55" t="s">
        <v>416</v>
      </c>
      <c r="D1132" s="80">
        <v>458</v>
      </c>
    </row>
    <row r="1133" spans="2:4">
      <c r="B1133" s="55" t="s">
        <v>403</v>
      </c>
      <c r="C1133" s="55" t="s">
        <v>416</v>
      </c>
      <c r="D1133" s="80">
        <v>131</v>
      </c>
    </row>
    <row r="1134" spans="2:4">
      <c r="B1134" s="55" t="s">
        <v>403</v>
      </c>
      <c r="C1134" s="55" t="s">
        <v>416</v>
      </c>
      <c r="D1134" s="80">
        <v>155</v>
      </c>
    </row>
    <row r="1135" spans="2:4">
      <c r="B1135" s="55" t="s">
        <v>330</v>
      </c>
      <c r="C1135" s="55" t="s">
        <v>416</v>
      </c>
      <c r="D1135" s="80">
        <v>1100</v>
      </c>
    </row>
    <row r="1136" spans="2:4">
      <c r="B1136" s="55" t="s">
        <v>331</v>
      </c>
      <c r="C1136" s="55" t="s">
        <v>416</v>
      </c>
      <c r="D1136" s="80">
        <v>1330</v>
      </c>
    </row>
    <row r="1137" spans="2:4">
      <c r="B1137" s="55" t="s">
        <v>332</v>
      </c>
      <c r="C1137" s="55" t="s">
        <v>416</v>
      </c>
      <c r="D1137" s="80">
        <v>297</v>
      </c>
    </row>
    <row r="1138" spans="2:4">
      <c r="B1138" s="55" t="s">
        <v>333</v>
      </c>
      <c r="C1138" s="55" t="s">
        <v>416</v>
      </c>
      <c r="D1138" s="80">
        <v>880</v>
      </c>
    </row>
    <row r="1139" spans="2:4">
      <c r="B1139" s="55" t="s">
        <v>217</v>
      </c>
      <c r="C1139" s="55" t="s">
        <v>416</v>
      </c>
      <c r="D1139" s="80">
        <v>948</v>
      </c>
    </row>
    <row r="1140" spans="2:4">
      <c r="B1140" s="55" t="s">
        <v>334</v>
      </c>
      <c r="C1140" s="55" t="s">
        <v>416</v>
      </c>
      <c r="D1140" s="80">
        <v>275</v>
      </c>
    </row>
    <row r="1141" spans="2:4">
      <c r="B1141" s="55" t="s">
        <v>335</v>
      </c>
      <c r="C1141" s="55" t="s">
        <v>416</v>
      </c>
      <c r="D1141" s="80">
        <v>112</v>
      </c>
    </row>
    <row r="1142" spans="2:4">
      <c r="B1142" s="55" t="s">
        <v>218</v>
      </c>
      <c r="C1142" s="55" t="s">
        <v>416</v>
      </c>
      <c r="D1142" s="80">
        <v>279</v>
      </c>
    </row>
    <row r="1143" spans="2:4">
      <c r="B1143" s="55" t="s">
        <v>336</v>
      </c>
      <c r="C1143" s="55" t="s">
        <v>416</v>
      </c>
      <c r="D1143" s="80">
        <v>75.3</v>
      </c>
    </row>
    <row r="1144" spans="2:4">
      <c r="B1144" s="55" t="s">
        <v>337</v>
      </c>
      <c r="C1144" s="55" t="s">
        <v>416</v>
      </c>
      <c r="D1144" s="80">
        <v>6.97</v>
      </c>
    </row>
    <row r="1145" spans="2:4">
      <c r="B1145" s="55" t="s">
        <v>338</v>
      </c>
      <c r="C1145" s="55" t="s">
        <v>416</v>
      </c>
      <c r="D1145" s="80">
        <v>2.3199999999999998</v>
      </c>
    </row>
    <row r="1146" spans="2:4">
      <c r="B1146" s="55" t="s">
        <v>219</v>
      </c>
      <c r="C1146" s="55" t="s">
        <v>416</v>
      </c>
      <c r="D1146" s="80">
        <v>79</v>
      </c>
    </row>
    <row r="1147" spans="2:4">
      <c r="B1147" s="55" t="s">
        <v>339</v>
      </c>
      <c r="C1147" s="55" t="s">
        <v>416</v>
      </c>
      <c r="D1147" s="80">
        <v>237</v>
      </c>
    </row>
    <row r="1148" spans="2:4">
      <c r="B1148" s="55" t="s">
        <v>340</v>
      </c>
      <c r="C1148" s="55" t="s">
        <v>416</v>
      </c>
      <c r="D1148" s="80">
        <v>138</v>
      </c>
    </row>
    <row r="1149" spans="2:4">
      <c r="B1149" s="55" t="s">
        <v>342</v>
      </c>
      <c r="C1149" s="55" t="s">
        <v>416</v>
      </c>
      <c r="D1149" s="80">
        <v>0.45700000000000002</v>
      </c>
    </row>
    <row r="1150" spans="2:4">
      <c r="B1150" s="55" t="s">
        <v>404</v>
      </c>
      <c r="C1150" s="55" t="s">
        <v>416</v>
      </c>
      <c r="D1150" s="80">
        <v>57.7</v>
      </c>
    </row>
    <row r="1151" spans="2:4">
      <c r="B1151" s="55" t="s">
        <v>343</v>
      </c>
      <c r="C1151" s="55" t="s">
        <v>416</v>
      </c>
      <c r="D1151" s="80">
        <v>93.5</v>
      </c>
    </row>
    <row r="1152" spans="2:4">
      <c r="B1152" s="55" t="s">
        <v>343</v>
      </c>
      <c r="C1152" s="55" t="s">
        <v>416</v>
      </c>
      <c r="D1152" s="80">
        <v>65.3</v>
      </c>
    </row>
    <row r="1153" spans="2:4">
      <c r="B1153" s="55" t="s">
        <v>344</v>
      </c>
      <c r="C1153" s="55" t="s">
        <v>416</v>
      </c>
      <c r="D1153" s="80">
        <v>62.5</v>
      </c>
    </row>
    <row r="1154" spans="2:4">
      <c r="B1154" s="55" t="s">
        <v>345</v>
      </c>
      <c r="C1154" s="55" t="s">
        <v>416</v>
      </c>
      <c r="D1154" s="80">
        <v>1680</v>
      </c>
    </row>
    <row r="1155" spans="2:4">
      <c r="B1155" s="55" t="s">
        <v>346</v>
      </c>
      <c r="C1155" s="55" t="s">
        <v>416</v>
      </c>
      <c r="D1155" s="80">
        <v>1570</v>
      </c>
    </row>
    <row r="1156" spans="2:4">
      <c r="B1156" s="55" t="s">
        <v>220</v>
      </c>
      <c r="C1156" s="55" t="s">
        <v>416</v>
      </c>
      <c r="D1156" s="80">
        <v>920</v>
      </c>
    </row>
    <row r="1157" spans="2:4">
      <c r="B1157" s="55" t="s">
        <v>405</v>
      </c>
      <c r="C1157" s="55" t="s">
        <v>416</v>
      </c>
      <c r="D1157" s="80">
        <v>1.35</v>
      </c>
    </row>
    <row r="1158" spans="2:4">
      <c r="B1158" s="55" t="s">
        <v>221</v>
      </c>
      <c r="C1158" s="55" t="s">
        <v>416</v>
      </c>
      <c r="D1158" s="80">
        <v>552</v>
      </c>
    </row>
    <row r="1159" spans="2:4">
      <c r="B1159" s="55" t="s">
        <v>222</v>
      </c>
      <c r="C1159" s="55" t="s">
        <v>416</v>
      </c>
      <c r="D1159" s="80">
        <v>2750</v>
      </c>
    </row>
    <row r="1160" spans="2:4">
      <c r="B1160" s="55" t="s">
        <v>349</v>
      </c>
      <c r="C1160" s="55" t="s">
        <v>416</v>
      </c>
      <c r="D1160" s="80">
        <v>12.8</v>
      </c>
    </row>
    <row r="1161" spans="2:4">
      <c r="B1161" s="55" t="s">
        <v>350</v>
      </c>
      <c r="C1161" s="55" t="s">
        <v>416</v>
      </c>
      <c r="D1161" s="80">
        <v>1E-3</v>
      </c>
    </row>
    <row r="1162" spans="2:4">
      <c r="B1162" s="55" t="s">
        <v>223</v>
      </c>
      <c r="C1162" s="55" t="s">
        <v>416</v>
      </c>
      <c r="D1162" s="80">
        <v>17500</v>
      </c>
    </row>
    <row r="1163" spans="2:4">
      <c r="B1163" s="55" t="s">
        <v>351</v>
      </c>
      <c r="C1163" s="55" t="s">
        <v>416</v>
      </c>
      <c r="D1163" s="80">
        <v>2.5999999999999999E-2</v>
      </c>
    </row>
    <row r="1164" spans="2:4">
      <c r="B1164" s="55" t="s">
        <v>224</v>
      </c>
      <c r="C1164" s="55" t="s">
        <v>416</v>
      </c>
      <c r="D1164" s="80">
        <v>154</v>
      </c>
    </row>
    <row r="1165" spans="2:4">
      <c r="B1165" s="55" t="s">
        <v>225</v>
      </c>
      <c r="C1165" s="55" t="s">
        <v>416</v>
      </c>
      <c r="D1165" s="80">
        <v>7.95</v>
      </c>
    </row>
    <row r="1166" spans="2:4">
      <c r="B1166" s="55" t="s">
        <v>226</v>
      </c>
      <c r="C1166" s="55" t="s">
        <v>416</v>
      </c>
      <c r="D1166" s="80">
        <v>7680</v>
      </c>
    </row>
    <row r="1167" spans="2:4">
      <c r="B1167" s="55" t="s">
        <v>227</v>
      </c>
      <c r="C1167" s="55" t="s">
        <v>416</v>
      </c>
      <c r="D1167" s="80">
        <v>1770</v>
      </c>
    </row>
    <row r="1168" spans="2:4">
      <c r="B1168" s="55" t="s">
        <v>228</v>
      </c>
      <c r="C1168" s="55" t="s">
        <v>416</v>
      </c>
      <c r="D1168" s="80">
        <v>1940</v>
      </c>
    </row>
    <row r="1169" spans="2:4">
      <c r="B1169" s="55" t="s">
        <v>229</v>
      </c>
      <c r="C1169" s="55" t="s">
        <v>416</v>
      </c>
      <c r="D1169" s="80">
        <v>176</v>
      </c>
    </row>
    <row r="1170" spans="2:4">
      <c r="B1170" s="55" t="s">
        <v>230</v>
      </c>
      <c r="C1170" s="55" t="s">
        <v>416</v>
      </c>
      <c r="D1170" s="80">
        <v>0.69199999999999995</v>
      </c>
    </row>
    <row r="1171" spans="2:4">
      <c r="B1171" s="55" t="s">
        <v>406</v>
      </c>
      <c r="C1171" s="55" t="s">
        <v>416</v>
      </c>
      <c r="D1171" s="80">
        <v>0</v>
      </c>
    </row>
    <row r="1172" spans="2:4">
      <c r="B1172" s="55" t="s">
        <v>231</v>
      </c>
      <c r="C1172" s="55" t="s">
        <v>416</v>
      </c>
      <c r="D1172" s="80">
        <v>3.18</v>
      </c>
    </row>
    <row r="1173" spans="2:4">
      <c r="B1173" s="55" t="s">
        <v>232</v>
      </c>
      <c r="C1173" s="55" t="s">
        <v>416</v>
      </c>
      <c r="D1173" s="80">
        <v>18200</v>
      </c>
    </row>
    <row r="1174" spans="2:4">
      <c r="B1174" s="55" t="s">
        <v>233</v>
      </c>
      <c r="C1174" s="55" t="s">
        <v>416</v>
      </c>
      <c r="D1174" s="80">
        <v>130</v>
      </c>
    </row>
    <row r="1175" spans="2:4">
      <c r="B1175" s="55" t="s">
        <v>356</v>
      </c>
      <c r="C1175" s="55" t="s">
        <v>416</v>
      </c>
      <c r="D1175" s="80">
        <v>22.3</v>
      </c>
    </row>
    <row r="1176" spans="2:4">
      <c r="B1176" s="55" t="s">
        <v>407</v>
      </c>
      <c r="C1176" s="55" t="s">
        <v>416</v>
      </c>
      <c r="D1176" s="80">
        <v>0.21099999999999999</v>
      </c>
    </row>
    <row r="1177" spans="2:4">
      <c r="B1177" s="55" t="s">
        <v>357</v>
      </c>
      <c r="C1177" s="55" t="s">
        <v>416</v>
      </c>
      <c r="D1177" s="80">
        <v>11100</v>
      </c>
    </row>
    <row r="1178" spans="2:4">
      <c r="B1178" s="55" t="s">
        <v>358</v>
      </c>
      <c r="C1178" s="55" t="s">
        <v>416</v>
      </c>
      <c r="D1178" s="80">
        <v>2.9000000000000001E-2</v>
      </c>
    </row>
    <row r="1179" spans="2:4">
      <c r="B1179" s="55" t="s">
        <v>359</v>
      </c>
      <c r="C1179" s="55" t="s">
        <v>416</v>
      </c>
      <c r="D1179" s="80">
        <v>0.56200000000000006</v>
      </c>
    </row>
    <row r="1180" spans="2:4">
      <c r="B1180" s="55" t="s">
        <v>234</v>
      </c>
      <c r="C1180" s="55" t="s">
        <v>416</v>
      </c>
      <c r="D1180" s="80">
        <v>13400</v>
      </c>
    </row>
    <row r="1181" spans="2:4">
      <c r="B1181" s="55" t="s">
        <v>235</v>
      </c>
      <c r="C1181" s="55" t="s">
        <v>416</v>
      </c>
      <c r="D1181" s="80">
        <v>13800</v>
      </c>
    </row>
    <row r="1182" spans="2:4">
      <c r="B1182" s="55" t="s">
        <v>236</v>
      </c>
      <c r="C1182" s="55" t="s">
        <v>416</v>
      </c>
      <c r="D1182" s="80">
        <v>9780</v>
      </c>
    </row>
    <row r="1183" spans="2:4">
      <c r="B1183" s="55" t="s">
        <v>236</v>
      </c>
      <c r="C1183" s="55" t="s">
        <v>416</v>
      </c>
      <c r="D1183" s="80">
        <v>10200</v>
      </c>
    </row>
    <row r="1184" spans="2:4">
      <c r="B1184" s="55" t="s">
        <v>236</v>
      </c>
      <c r="C1184" s="55" t="s">
        <v>416</v>
      </c>
      <c r="D1184" s="80">
        <v>9310</v>
      </c>
    </row>
    <row r="1185" spans="2:4">
      <c r="B1185" s="55" t="s">
        <v>362</v>
      </c>
      <c r="C1185" s="55" t="s">
        <v>416</v>
      </c>
      <c r="D1185" s="80">
        <v>9780</v>
      </c>
    </row>
    <row r="1186" spans="2:4">
      <c r="B1186" s="55" t="s">
        <v>362</v>
      </c>
      <c r="C1186" s="55" t="s">
        <v>416</v>
      </c>
      <c r="D1186" s="80">
        <v>10200</v>
      </c>
    </row>
    <row r="1187" spans="2:4">
      <c r="B1187" s="55" t="s">
        <v>362</v>
      </c>
      <c r="C1187" s="55" t="s">
        <v>416</v>
      </c>
      <c r="D1187" s="80">
        <v>9310</v>
      </c>
    </row>
    <row r="1188" spans="2:4">
      <c r="B1188" s="55" t="s">
        <v>363</v>
      </c>
      <c r="C1188" s="55" t="s">
        <v>416</v>
      </c>
      <c r="D1188" s="80">
        <v>9780</v>
      </c>
    </row>
    <row r="1189" spans="2:4">
      <c r="B1189" s="55" t="s">
        <v>363</v>
      </c>
      <c r="C1189" s="55" t="s">
        <v>416</v>
      </c>
      <c r="D1189" s="80">
        <v>10200</v>
      </c>
    </row>
    <row r="1190" spans="2:4">
      <c r="B1190" s="55" t="s">
        <v>363</v>
      </c>
      <c r="C1190" s="55" t="s">
        <v>416</v>
      </c>
      <c r="D1190" s="80">
        <v>9310</v>
      </c>
    </row>
    <row r="1191" spans="2:4">
      <c r="B1191" s="55" t="s">
        <v>365</v>
      </c>
      <c r="C1191" s="55" t="s">
        <v>416</v>
      </c>
      <c r="D1191" s="80">
        <v>170</v>
      </c>
    </row>
    <row r="1192" spans="2:4">
      <c r="B1192" s="55" t="s">
        <v>366</v>
      </c>
      <c r="C1192" s="55" t="s">
        <v>416</v>
      </c>
      <c r="D1192" s="80">
        <v>11300</v>
      </c>
    </row>
    <row r="1193" spans="2:4">
      <c r="B1193" s="55" t="s">
        <v>237</v>
      </c>
      <c r="C1193" s="55" t="s">
        <v>416</v>
      </c>
      <c r="D1193" s="80">
        <v>11600</v>
      </c>
    </row>
    <row r="1194" spans="2:4">
      <c r="B1194" s="55" t="s">
        <v>408</v>
      </c>
      <c r="C1194" s="55" t="s">
        <v>416</v>
      </c>
      <c r="D1194" s="80">
        <v>0.04</v>
      </c>
    </row>
    <row r="1195" spans="2:4">
      <c r="B1195" s="55" t="s">
        <v>238</v>
      </c>
      <c r="C1195" s="55" t="s">
        <v>416</v>
      </c>
      <c r="D1195" s="80">
        <v>12700</v>
      </c>
    </row>
    <row r="1196" spans="2:4">
      <c r="B1196" s="55" t="s">
        <v>239</v>
      </c>
      <c r="C1196" s="55" t="s">
        <v>416</v>
      </c>
      <c r="D1196" s="80">
        <v>12400</v>
      </c>
    </row>
    <row r="1197" spans="2:4">
      <c r="B1197" s="55" t="s">
        <v>369</v>
      </c>
      <c r="C1197" s="55" t="s">
        <v>416</v>
      </c>
      <c r="D1197" s="80">
        <v>7.0000000000000001E-3</v>
      </c>
    </row>
    <row r="1198" spans="2:4">
      <c r="B1198" s="55" t="s">
        <v>409</v>
      </c>
      <c r="C1198" s="55" t="s">
        <v>416</v>
      </c>
      <c r="D1198" s="80">
        <v>6.0000000000000001E-3</v>
      </c>
    </row>
    <row r="1199" spans="2:4">
      <c r="B1199" s="55" t="s">
        <v>370</v>
      </c>
      <c r="C1199" s="55" t="s">
        <v>416</v>
      </c>
      <c r="D1199" s="80">
        <v>2340</v>
      </c>
    </row>
    <row r="1200" spans="2:4">
      <c r="B1200" s="55" t="s">
        <v>240</v>
      </c>
      <c r="C1200" s="55" t="s">
        <v>416</v>
      </c>
      <c r="D1200" s="80">
        <v>164</v>
      </c>
    </row>
    <row r="1201" spans="2:4">
      <c r="B1201" s="55" t="s">
        <v>371</v>
      </c>
      <c r="C1201" s="55" t="s">
        <v>416</v>
      </c>
      <c r="D1201" s="80">
        <v>21.3</v>
      </c>
    </row>
    <row r="1202" spans="2:4">
      <c r="B1202" s="55" t="s">
        <v>410</v>
      </c>
      <c r="C1202" s="55" t="s">
        <v>416</v>
      </c>
      <c r="D1202" s="80">
        <v>124</v>
      </c>
    </row>
    <row r="1203" spans="2:4">
      <c r="B1203" s="55" t="s">
        <v>411</v>
      </c>
      <c r="C1203" s="55" t="s">
        <v>416</v>
      </c>
      <c r="D1203" s="80">
        <v>9.7799999999999994</v>
      </c>
    </row>
    <row r="1204" spans="2:4">
      <c r="B1204" s="55" t="s">
        <v>372</v>
      </c>
      <c r="C1204" s="55" t="s">
        <v>416</v>
      </c>
      <c r="D1204" s="80">
        <v>55.7</v>
      </c>
    </row>
    <row r="1205" spans="2:4">
      <c r="B1205" s="55" t="s">
        <v>241</v>
      </c>
      <c r="C1205" s="55" t="s">
        <v>416</v>
      </c>
      <c r="D1205" s="80">
        <v>34100</v>
      </c>
    </row>
    <row r="1206" spans="2:4">
      <c r="B1206" s="55" t="s">
        <v>373</v>
      </c>
      <c r="C1206" s="55" t="s">
        <v>416</v>
      </c>
      <c r="D1206" s="80">
        <v>1410</v>
      </c>
    </row>
    <row r="1207" spans="2:4">
      <c r="B1207" s="55" t="s">
        <v>412</v>
      </c>
      <c r="C1207" s="55" t="s">
        <v>416</v>
      </c>
      <c r="D1207" s="80">
        <v>1.81</v>
      </c>
    </row>
    <row r="1208" spans="2:4">
      <c r="B1208" s="55" t="s">
        <v>374</v>
      </c>
      <c r="C1208" s="55" t="s">
        <v>416</v>
      </c>
      <c r="D1208" s="80">
        <v>1E-3</v>
      </c>
    </row>
    <row r="1209" spans="2:4">
      <c r="B1209" s="55" t="s">
        <v>413</v>
      </c>
      <c r="C1209" s="55" t="s">
        <v>416</v>
      </c>
      <c r="D1209" s="80">
        <v>7.0999999999999994E-2</v>
      </c>
    </row>
    <row r="1210" spans="2:4">
      <c r="B1210" s="55" t="s">
        <v>414</v>
      </c>
      <c r="C1210" s="55" t="s">
        <v>416</v>
      </c>
      <c r="D1210" s="80">
        <v>1.2999999999999999E-2</v>
      </c>
    </row>
    <row r="1211" spans="2:4">
      <c r="B1211" s="55" t="s">
        <v>376</v>
      </c>
      <c r="C1211" s="55" t="s">
        <v>416</v>
      </c>
      <c r="D1211" s="80">
        <v>3.0000000000000001E-3</v>
      </c>
    </row>
    <row r="1212" spans="2:4">
      <c r="B1212" s="55" t="s">
        <v>242</v>
      </c>
      <c r="C1212" s="55" t="s">
        <v>416</v>
      </c>
      <c r="D1212" s="80">
        <v>21100</v>
      </c>
    </row>
    <row r="1213" spans="2:4">
      <c r="B1213" s="55" t="s">
        <v>379</v>
      </c>
      <c r="C1213" s="55" t="s">
        <v>416</v>
      </c>
      <c r="D1213" s="80">
        <v>7.0000000000000001E-3</v>
      </c>
    </row>
    <row r="1214" spans="2:4">
      <c r="B1214" s="55" t="s">
        <v>380</v>
      </c>
      <c r="C1214" s="55" t="s">
        <v>416</v>
      </c>
      <c r="D1214" s="80">
        <v>1.4999999999999999E-2</v>
      </c>
    </row>
  </sheetData>
  <pageMargins left="0.75" right="0.75" top="1" bottom="1" header="0.5" footer="0.5"/>
  <pageSetup orientation="portrait" horizontalDpi="0" verticalDpi="0"/>
  <tableParts count="1">
    <tablePart r:id="rId1"/>
  </tablePart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A70B72-03CE-CC46-A9B0-170A10A139A3}">
  <sheetPr codeName="Sheet4"/>
  <dimension ref="A1:R96"/>
  <sheetViews>
    <sheetView workbookViewId="0"/>
  </sheetViews>
  <sheetFormatPr baseColWidth="10" defaultColWidth="11" defaultRowHeight="16"/>
  <cols>
    <col min="1" max="1" width="11" style="11" customWidth="1"/>
    <col min="2" max="2" width="19.1640625" style="11" customWidth="1"/>
    <col min="3" max="3" width="15.6640625" style="11" customWidth="1"/>
    <col min="4" max="4" width="31.5" style="11" customWidth="1"/>
    <col min="5" max="5" width="30" style="11" customWidth="1"/>
    <col min="6" max="6" width="23.6640625" style="11" bestFit="1" customWidth="1"/>
    <col min="7" max="7" width="31.1640625" style="11" bestFit="1" customWidth="1"/>
    <col min="8" max="8" width="21.83203125" style="11" bestFit="1" customWidth="1"/>
    <col min="9" max="9" width="19.6640625" style="11" bestFit="1" customWidth="1"/>
    <col min="10" max="10" width="29.33203125" style="11" bestFit="1" customWidth="1"/>
    <col min="11" max="12" width="11" style="11"/>
    <col min="13" max="13" width="13.1640625" style="11" bestFit="1" customWidth="1"/>
    <col min="14" max="14" width="42.5" style="11" bestFit="1" customWidth="1"/>
    <col min="15" max="16" width="11" style="11"/>
    <col min="17" max="17" width="22.33203125" style="11" customWidth="1"/>
    <col min="18" max="16384" width="11" style="11"/>
  </cols>
  <sheetData>
    <row r="1" spans="1:18">
      <c r="B1" s="9"/>
      <c r="C1"/>
      <c r="D1"/>
      <c r="E1"/>
      <c r="F1"/>
      <c r="G1"/>
      <c r="H1"/>
      <c r="I1"/>
      <c r="J1"/>
      <c r="K1"/>
      <c r="L1"/>
      <c r="M1"/>
      <c r="N1"/>
      <c r="O1"/>
      <c r="P1"/>
      <c r="Q1"/>
      <c r="R1" s="9"/>
    </row>
    <row r="2" spans="1:18">
      <c r="B2" s="9"/>
      <c r="C2"/>
      <c r="D2" s="385"/>
      <c r="E2" s="385"/>
      <c r="F2" s="385"/>
      <c r="G2"/>
      <c r="H2"/>
      <c r="I2"/>
      <c r="J2"/>
      <c r="K2"/>
      <c r="L2"/>
      <c r="M2"/>
      <c r="N2"/>
      <c r="O2"/>
      <c r="P2"/>
      <c r="Q2"/>
      <c r="R2" s="9"/>
    </row>
    <row r="3" spans="1:18">
      <c r="B3" s="9"/>
      <c r="C3"/>
      <c r="D3" s="10"/>
      <c r="E3" s="10"/>
      <c r="F3" s="10"/>
      <c r="G3"/>
      <c r="H3"/>
      <c r="I3"/>
      <c r="J3"/>
      <c r="K3"/>
      <c r="L3"/>
      <c r="M3"/>
      <c r="N3"/>
      <c r="O3"/>
      <c r="P3"/>
      <c r="Q3"/>
      <c r="R3" s="9"/>
    </row>
    <row r="4" spans="1:18">
      <c r="B4" s="9"/>
      <c r="C4"/>
      <c r="D4"/>
      <c r="E4"/>
      <c r="F4"/>
      <c r="G4"/>
      <c r="H4"/>
      <c r="I4"/>
      <c r="J4"/>
      <c r="K4"/>
      <c r="L4"/>
      <c r="M4"/>
      <c r="N4"/>
      <c r="O4"/>
      <c r="P4"/>
      <c r="Q4"/>
      <c r="R4" s="9"/>
    </row>
    <row r="5" spans="1:18">
      <c r="B5" s="9"/>
      <c r="C5"/>
      <c r="D5"/>
      <c r="E5"/>
      <c r="F5"/>
      <c r="G5"/>
      <c r="H5"/>
      <c r="I5"/>
      <c r="J5"/>
      <c r="K5"/>
      <c r="L5"/>
      <c r="M5"/>
      <c r="N5"/>
      <c r="O5"/>
      <c r="P5"/>
      <c r="Q5"/>
      <c r="R5" s="9"/>
    </row>
    <row r="6" spans="1:18" ht="34" customHeight="1">
      <c r="B6" s="9"/>
      <c r="C6"/>
      <c r="D6"/>
      <c r="E6"/>
      <c r="F6"/>
      <c r="G6"/>
      <c r="H6"/>
      <c r="I6"/>
      <c r="J6"/>
      <c r="K6"/>
      <c r="L6"/>
      <c r="M6"/>
      <c r="N6"/>
      <c r="O6"/>
      <c r="P6"/>
      <c r="Q6"/>
      <c r="R6" s="9"/>
    </row>
    <row r="7" spans="1:18" ht="22">
      <c r="A7" s="18"/>
      <c r="B7" s="19"/>
      <c r="C7" s="16"/>
      <c r="D7" s="17" t="s">
        <v>83</v>
      </c>
      <c r="E7" s="28"/>
      <c r="F7" s="16"/>
      <c r="G7" s="16"/>
      <c r="H7" s="16"/>
      <c r="I7" s="16"/>
      <c r="J7" s="387" t="s">
        <v>93</v>
      </c>
      <c r="K7" s="388"/>
      <c r="L7" s="16"/>
      <c r="M7" s="16"/>
      <c r="N7" s="16"/>
      <c r="O7" s="16"/>
      <c r="P7"/>
      <c r="Q7"/>
      <c r="R7" s="9"/>
    </row>
    <row r="8" spans="1:18" ht="22">
      <c r="A8" s="18"/>
      <c r="B8" s="19"/>
      <c r="C8" s="16"/>
      <c r="D8" s="16"/>
      <c r="E8" s="16"/>
      <c r="F8" s="16"/>
      <c r="G8" s="16"/>
      <c r="H8" s="16"/>
      <c r="I8" s="16"/>
      <c r="J8" s="16"/>
      <c r="K8" s="16"/>
      <c r="L8" s="16"/>
      <c r="M8" s="16"/>
      <c r="N8" s="16"/>
      <c r="O8" s="16"/>
      <c r="P8"/>
      <c r="Q8"/>
      <c r="R8" s="9"/>
    </row>
    <row r="9" spans="1:18" ht="69">
      <c r="A9" s="18"/>
      <c r="B9" s="19"/>
      <c r="C9" s="19"/>
      <c r="D9" s="30" t="s">
        <v>43</v>
      </c>
      <c r="E9" s="37" t="s">
        <v>114</v>
      </c>
      <c r="F9" s="19"/>
      <c r="G9" s="16"/>
      <c r="H9" s="16"/>
      <c r="I9" s="16"/>
      <c r="J9" s="389" t="s">
        <v>92</v>
      </c>
      <c r="K9" s="390"/>
      <c r="L9" s="16"/>
      <c r="M9" s="16"/>
      <c r="N9" s="16"/>
      <c r="O9" s="16"/>
      <c r="P9"/>
      <c r="Q9"/>
      <c r="R9" s="9"/>
    </row>
    <row r="10" spans="1:18" ht="120" customHeight="1">
      <c r="A10" s="18"/>
      <c r="B10" s="19"/>
      <c r="C10" s="19"/>
      <c r="D10" s="22" t="s">
        <v>80</v>
      </c>
      <c r="E10" s="27" t="str">
        <f>IF(E9="Provide Process Energy Consumption(kWh)", "Please enter measured power consumption in Method 1 table",
 IF(E9="Add tool power rating(kW) and process time(h)", "Please enter your tool max rating and time required to complete this process from start to end",
  IF(E9="Find similar instrument from database", "Please search for a tool with similar max power rating and enter time required to complete this process from start to end",
   "")))</f>
        <v/>
      </c>
      <c r="F10" s="33" t="s">
        <v>87</v>
      </c>
      <c r="G10"/>
      <c r="H10"/>
      <c r="I10"/>
      <c r="J10"/>
      <c r="K10" s="16"/>
      <c r="L10" s="16"/>
      <c r="M10" s="16"/>
      <c r="N10" s="16"/>
      <c r="O10" s="16"/>
      <c r="P10"/>
      <c r="Q10"/>
      <c r="R10" s="9"/>
    </row>
    <row r="11" spans="1:18" ht="22">
      <c r="A11" s="18"/>
      <c r="B11" s="19"/>
      <c r="C11"/>
      <c r="D11"/>
      <c r="E11"/>
      <c r="F11" s="9"/>
      <c r="G11" s="16"/>
      <c r="H11" s="16"/>
      <c r="I11" s="16"/>
      <c r="J11" s="16"/>
      <c r="K11" s="16"/>
      <c r="L11" s="16"/>
      <c r="M11" s="16"/>
      <c r="N11" s="16"/>
      <c r="O11" s="16"/>
      <c r="P11"/>
      <c r="Q11"/>
      <c r="R11" s="9"/>
    </row>
    <row r="12" spans="1:18" ht="22">
      <c r="A12" s="18"/>
      <c r="B12" s="19"/>
      <c r="C12" s="386" t="s">
        <v>70</v>
      </c>
      <c r="D12" s="20" t="s">
        <v>91</v>
      </c>
      <c r="E12" s="24"/>
      <c r="F12" s="19"/>
      <c r="G12" s="16"/>
      <c r="H12" s="16"/>
      <c r="I12" s="16"/>
      <c r="J12" s="16"/>
      <c r="K12" s="16"/>
      <c r="L12" s="16"/>
      <c r="M12" s="16"/>
      <c r="N12" s="16"/>
      <c r="O12" s="16"/>
      <c r="P12"/>
      <c r="Q12"/>
      <c r="R12" s="9"/>
    </row>
    <row r="13" spans="1:18" ht="22">
      <c r="A13" s="18"/>
      <c r="B13" s="19"/>
      <c r="C13" s="386"/>
      <c r="D13" s="32" t="s">
        <v>67</v>
      </c>
      <c r="E13" s="32" t="s">
        <v>45</v>
      </c>
      <c r="F13" s="32" t="s">
        <v>68</v>
      </c>
      <c r="G13" s="32" t="s">
        <v>69</v>
      </c>
      <c r="H13" s="32" t="s">
        <v>48</v>
      </c>
      <c r="I13" s="32" t="s">
        <v>75</v>
      </c>
      <c r="J13" s="32" t="s">
        <v>89</v>
      </c>
      <c r="K13" s="16"/>
      <c r="L13" s="16"/>
      <c r="M13" s="16"/>
      <c r="N13" s="16"/>
      <c r="O13" s="16"/>
      <c r="P13"/>
      <c r="Q13"/>
      <c r="R13" s="9"/>
    </row>
    <row r="14" spans="1:18" ht="22">
      <c r="A14" s="18"/>
      <c r="B14" s="19"/>
      <c r="C14" s="386"/>
      <c r="D14" s="24"/>
      <c r="E14" s="24"/>
      <c r="F14" s="24"/>
      <c r="G14" s="16"/>
      <c r="H14" s="16"/>
      <c r="I14" s="16"/>
      <c r="J14" s="28"/>
      <c r="K14" s="16"/>
      <c r="L14" s="16"/>
      <c r="M14" s="16"/>
      <c r="N14" s="16"/>
      <c r="O14" s="16"/>
      <c r="P14"/>
      <c r="Q14"/>
      <c r="R14" s="9"/>
    </row>
    <row r="15" spans="1:18" ht="22">
      <c r="A15" s="18"/>
      <c r="B15" s="19"/>
      <c r="C15" s="16"/>
      <c r="D15" s="24"/>
      <c r="E15" s="24"/>
      <c r="F15" s="24"/>
      <c r="G15" s="16"/>
      <c r="H15" s="16"/>
      <c r="I15" s="16"/>
      <c r="J15" s="16"/>
      <c r="K15" s="16"/>
      <c r="L15" s="16"/>
      <c r="M15" s="16"/>
      <c r="N15" s="16"/>
      <c r="O15" s="16"/>
      <c r="P15"/>
      <c r="Q15"/>
      <c r="R15" s="9"/>
    </row>
    <row r="16" spans="1:18" ht="22">
      <c r="A16" s="18"/>
      <c r="B16" s="19"/>
      <c r="C16" s="386" t="s">
        <v>71</v>
      </c>
      <c r="D16" s="20" t="s">
        <v>74</v>
      </c>
      <c r="E16" s="24"/>
      <c r="F16" s="16"/>
      <c r="G16" s="16"/>
      <c r="H16" s="16"/>
      <c r="I16" s="16"/>
      <c r="J16" s="16"/>
      <c r="K16" s="16"/>
      <c r="L16" s="16"/>
      <c r="M16" s="16"/>
      <c r="N16" s="16"/>
      <c r="O16" s="16"/>
      <c r="P16"/>
      <c r="Q16"/>
      <c r="R16" s="9"/>
    </row>
    <row r="17" spans="1:18" ht="22">
      <c r="A17" s="18"/>
      <c r="B17" s="19"/>
      <c r="C17" s="386"/>
      <c r="D17" s="23" t="s">
        <v>67</v>
      </c>
      <c r="E17" s="23" t="s">
        <v>45</v>
      </c>
      <c r="F17" s="23" t="s">
        <v>68</v>
      </c>
      <c r="G17" s="23" t="s">
        <v>69</v>
      </c>
      <c r="H17" s="23" t="s">
        <v>77</v>
      </c>
      <c r="I17" s="23" t="s">
        <v>82</v>
      </c>
      <c r="J17" s="23" t="s">
        <v>90</v>
      </c>
      <c r="K17" s="16" t="s">
        <v>96</v>
      </c>
      <c r="L17" s="16"/>
      <c r="M17" s="16" t="s">
        <v>0</v>
      </c>
      <c r="N17" s="16" t="s">
        <v>9</v>
      </c>
      <c r="O17" s="16" t="s">
        <v>105</v>
      </c>
      <c r="P17"/>
      <c r="Q17"/>
      <c r="R17" s="9"/>
    </row>
    <row r="18" spans="1:18" ht="22">
      <c r="A18" s="18"/>
      <c r="B18" s="19"/>
      <c r="C18" s="386"/>
      <c r="D18" s="24"/>
      <c r="E18" s="24"/>
      <c r="F18" s="24"/>
      <c r="G18" s="16"/>
      <c r="H18" s="28"/>
      <c r="I18" s="28"/>
      <c r="J18" s="16">
        <f>H18*I18</f>
        <v>0</v>
      </c>
      <c r="K18" s="16"/>
      <c r="L18" s="16"/>
      <c r="M18" s="16"/>
      <c r="N18" s="16" t="s">
        <v>104</v>
      </c>
      <c r="O18" s="16"/>
      <c r="P18"/>
      <c r="Q18"/>
      <c r="R18" s="9"/>
    </row>
    <row r="19" spans="1:18" ht="22">
      <c r="A19" s="18"/>
      <c r="B19" s="19"/>
      <c r="C19" s="16"/>
      <c r="D19" s="16"/>
      <c r="E19" s="16"/>
      <c r="F19" s="16"/>
      <c r="G19" s="16"/>
      <c r="H19" s="16"/>
      <c r="I19" s="16"/>
      <c r="J19" s="16"/>
      <c r="K19" s="16"/>
      <c r="L19" s="16"/>
      <c r="M19" s="16"/>
      <c r="N19" s="16"/>
      <c r="O19" s="16"/>
      <c r="P19"/>
      <c r="Q19"/>
      <c r="R19" s="9"/>
    </row>
    <row r="20" spans="1:18" ht="22">
      <c r="A20" s="18"/>
      <c r="B20" s="19"/>
      <c r="C20" s="386" t="s">
        <v>72</v>
      </c>
      <c r="D20" s="20" t="s">
        <v>44</v>
      </c>
      <c r="E20" s="24"/>
      <c r="F20" s="16"/>
      <c r="G20" s="16"/>
      <c r="H20" s="16"/>
      <c r="I20" s="16"/>
      <c r="J20" s="16"/>
      <c r="K20" s="16"/>
      <c r="L20" s="16"/>
      <c r="M20" s="16"/>
      <c r="N20" s="16"/>
      <c r="O20" s="16"/>
      <c r="P20"/>
      <c r="Q20"/>
      <c r="R20" s="9"/>
    </row>
    <row r="21" spans="1:18" ht="22">
      <c r="A21" s="18"/>
      <c r="B21" s="19"/>
      <c r="C21" s="386"/>
      <c r="D21" s="21" t="s">
        <v>78</v>
      </c>
      <c r="E21" s="21" t="s">
        <v>79</v>
      </c>
      <c r="F21" s="21" t="s">
        <v>68</v>
      </c>
      <c r="G21" s="21" t="s">
        <v>69</v>
      </c>
      <c r="H21" s="21" t="s">
        <v>48</v>
      </c>
      <c r="I21" s="21" t="s">
        <v>82</v>
      </c>
      <c r="J21" s="21" t="s">
        <v>90</v>
      </c>
      <c r="K21" s="16"/>
      <c r="L21" s="16"/>
      <c r="M21" s="16"/>
      <c r="N21" s="16"/>
      <c r="O21" s="16"/>
      <c r="P21"/>
      <c r="Q21"/>
      <c r="R21" s="9"/>
    </row>
    <row r="22" spans="1:18" ht="22">
      <c r="A22" s="18"/>
      <c r="B22" s="19"/>
      <c r="C22" s="386"/>
      <c r="D22" s="35" t="s">
        <v>88</v>
      </c>
      <c r="E22" s="35" t="s">
        <v>88</v>
      </c>
      <c r="F22" s="25" t="e" cm="1">
        <f t="array" ref="F22">_xlfn.XLOOKUP(E22,All_Equipment!$B:$B,All_Equipment!F:H)</f>
        <v>#N/A</v>
      </c>
      <c r="G22" s="16"/>
      <c r="H22" s="16"/>
      <c r="I22" s="28"/>
      <c r="J22" s="16">
        <f>H22*I22</f>
        <v>0</v>
      </c>
      <c r="K22" s="16"/>
      <c r="L22" s="16"/>
      <c r="M22" s="16"/>
      <c r="N22" s="16"/>
      <c r="O22" s="16"/>
      <c r="P22"/>
      <c r="Q22"/>
      <c r="R22" s="9"/>
    </row>
    <row r="23" spans="1:18" ht="22">
      <c r="A23" s="18"/>
      <c r="B23" s="19"/>
      <c r="C23" s="16"/>
      <c r="D23" s="16"/>
      <c r="E23" s="16"/>
      <c r="F23" s="16"/>
      <c r="G23" s="16"/>
      <c r="H23" s="16"/>
      <c r="I23" s="16"/>
      <c r="J23" s="16"/>
      <c r="K23" s="16"/>
      <c r="L23" s="16"/>
      <c r="M23" s="16"/>
      <c r="N23" s="16"/>
      <c r="O23" s="16"/>
      <c r="P23"/>
      <c r="Q23"/>
      <c r="R23" s="9"/>
    </row>
    <row r="24" spans="1:18" ht="22">
      <c r="A24" s="18"/>
      <c r="B24" s="19"/>
      <c r="C24" s="16"/>
      <c r="D24" s="26"/>
      <c r="E24" s="24"/>
      <c r="F24" s="16"/>
      <c r="G24" s="16"/>
      <c r="H24" s="16"/>
      <c r="I24" s="16"/>
      <c r="J24" s="16"/>
      <c r="K24" s="16"/>
      <c r="L24" s="16"/>
      <c r="M24" s="16"/>
      <c r="N24" s="16"/>
      <c r="O24" s="16"/>
      <c r="P24"/>
      <c r="Q24"/>
      <c r="R24" s="9"/>
    </row>
    <row r="25" spans="1:18" ht="22">
      <c r="A25" s="18"/>
      <c r="B25" s="19"/>
      <c r="C25" s="16"/>
      <c r="D25" s="16"/>
      <c r="E25" s="16"/>
      <c r="F25" s="16"/>
      <c r="G25" s="16"/>
      <c r="H25" s="16"/>
      <c r="I25" s="16"/>
      <c r="J25" s="16"/>
      <c r="K25" s="16"/>
      <c r="L25" s="16"/>
      <c r="M25" s="16"/>
      <c r="N25" s="16"/>
      <c r="O25" s="16"/>
      <c r="P25"/>
      <c r="Q25"/>
      <c r="R25" s="9"/>
    </row>
    <row r="26" spans="1:18" ht="22">
      <c r="A26" s="18"/>
      <c r="B26" s="19"/>
      <c r="C26" s="19"/>
      <c r="D26" s="19"/>
      <c r="E26" s="19"/>
      <c r="F26" s="19"/>
      <c r="G26" s="19"/>
      <c r="H26" s="19" t="s">
        <v>106</v>
      </c>
      <c r="I26" s="19" t="s">
        <v>107</v>
      </c>
      <c r="J26" s="19"/>
      <c r="K26" s="19"/>
      <c r="L26" s="19"/>
      <c r="M26" s="19"/>
      <c r="N26" s="19"/>
      <c r="O26" s="19"/>
      <c r="P26" s="9"/>
      <c r="Q26" s="9"/>
      <c r="R26" s="9"/>
    </row>
    <row r="27" spans="1:18" ht="22">
      <c r="A27" s="18"/>
      <c r="B27" s="19"/>
      <c r="C27" s="19"/>
      <c r="D27" s="19"/>
      <c r="E27" s="19"/>
      <c r="F27" s="19"/>
      <c r="G27" s="19"/>
      <c r="H27" s="19"/>
      <c r="I27" s="19"/>
      <c r="J27" s="19"/>
      <c r="K27" s="19"/>
      <c r="L27" s="19"/>
      <c r="M27" s="19"/>
      <c r="N27" s="19"/>
      <c r="O27" s="19"/>
      <c r="P27" s="9"/>
      <c r="Q27" s="9"/>
      <c r="R27" s="9"/>
    </row>
    <row r="28" spans="1:18" ht="22">
      <c r="A28" s="18"/>
      <c r="B28" s="19"/>
      <c r="C28" s="19"/>
      <c r="D28" s="19"/>
      <c r="E28" s="19"/>
      <c r="F28" s="19"/>
      <c r="G28" s="19"/>
      <c r="H28" s="19"/>
      <c r="I28" s="19"/>
      <c r="J28" s="19"/>
      <c r="K28" s="19"/>
      <c r="L28" s="19"/>
      <c r="M28" s="19"/>
      <c r="N28" s="19"/>
      <c r="O28" s="19"/>
      <c r="P28" s="9"/>
      <c r="Q28" s="9"/>
      <c r="R28" s="9"/>
    </row>
    <row r="29" spans="1:18" ht="22">
      <c r="A29" s="18"/>
      <c r="B29" s="19"/>
      <c r="C29" s="19"/>
      <c r="D29" s="19"/>
      <c r="E29" s="19"/>
      <c r="F29" s="19"/>
      <c r="G29" s="19"/>
      <c r="H29" s="19"/>
      <c r="I29" s="19"/>
      <c r="J29" s="19"/>
      <c r="K29" s="19"/>
      <c r="L29" s="19"/>
      <c r="M29" s="19"/>
      <c r="N29" s="19"/>
      <c r="O29" s="19"/>
      <c r="P29" s="9"/>
      <c r="Q29" s="9"/>
      <c r="R29" s="9"/>
    </row>
    <row r="30" spans="1:18" ht="22">
      <c r="A30" s="18"/>
      <c r="B30" s="19"/>
      <c r="C30" s="19"/>
      <c r="D30" s="19"/>
      <c r="E30" s="19"/>
      <c r="F30" s="19"/>
      <c r="G30" s="19"/>
      <c r="H30" s="19"/>
      <c r="I30" s="19"/>
      <c r="J30" s="19"/>
      <c r="K30" s="19"/>
      <c r="L30" s="19"/>
      <c r="M30" s="19"/>
      <c r="N30" s="19"/>
      <c r="O30" s="19"/>
      <c r="P30" s="9"/>
      <c r="Q30" s="9"/>
      <c r="R30" s="9"/>
    </row>
    <row r="31" spans="1:18" ht="22">
      <c r="A31" s="18"/>
      <c r="B31" s="19"/>
      <c r="C31" s="19"/>
      <c r="D31" s="19"/>
      <c r="E31" s="19"/>
      <c r="F31" s="19"/>
      <c r="G31" s="19"/>
      <c r="H31" s="19"/>
      <c r="I31" s="19"/>
      <c r="J31" s="19"/>
      <c r="K31" s="19"/>
      <c r="L31" s="19"/>
      <c r="M31" s="19"/>
      <c r="N31" s="19"/>
      <c r="O31" s="19"/>
      <c r="P31" s="9"/>
      <c r="Q31" s="9"/>
      <c r="R31" s="9"/>
    </row>
    <row r="32" spans="1:18" ht="22">
      <c r="A32" s="18"/>
      <c r="B32" s="18"/>
      <c r="C32" s="18"/>
      <c r="D32" s="18"/>
      <c r="E32" s="18"/>
      <c r="F32" s="18"/>
      <c r="G32" s="18"/>
      <c r="H32" s="18"/>
      <c r="I32" s="18"/>
      <c r="J32" s="18"/>
      <c r="K32" s="18"/>
      <c r="L32" s="18"/>
      <c r="M32" s="18"/>
      <c r="N32" s="18"/>
      <c r="O32" s="18"/>
    </row>
    <row r="33" spans="1:18" ht="22">
      <c r="A33" s="18"/>
      <c r="B33" s="18"/>
      <c r="C33" s="18"/>
      <c r="D33" s="18"/>
      <c r="E33" s="18"/>
      <c r="F33" s="18"/>
      <c r="G33" s="18"/>
      <c r="H33" s="18"/>
      <c r="I33" s="18"/>
      <c r="J33" s="18"/>
      <c r="K33" s="18"/>
      <c r="L33" s="18"/>
      <c r="M33" s="18"/>
      <c r="N33" s="18"/>
      <c r="O33" s="18"/>
    </row>
    <row r="34" spans="1:18" ht="22">
      <c r="A34" s="18"/>
      <c r="B34" s="18"/>
      <c r="G34" s="18"/>
      <c r="H34" s="18"/>
      <c r="I34" s="18"/>
      <c r="J34" s="18"/>
      <c r="K34" s="18"/>
      <c r="L34" s="18"/>
      <c r="M34" s="18"/>
      <c r="N34" s="18"/>
      <c r="O34" s="18"/>
    </row>
    <row r="37" spans="1:18" ht="39">
      <c r="B37" s="43" t="s">
        <v>97</v>
      </c>
      <c r="C37" s="9"/>
      <c r="D37" s="9"/>
      <c r="E37" s="9"/>
      <c r="F37" s="9"/>
      <c r="G37" s="9"/>
      <c r="H37" s="9"/>
      <c r="I37" s="9"/>
      <c r="J37" s="9"/>
      <c r="K37" s="9"/>
      <c r="L37" s="9"/>
      <c r="M37" s="9"/>
      <c r="N37" s="9"/>
      <c r="O37" s="9"/>
      <c r="P37" s="9"/>
      <c r="Q37" s="9"/>
      <c r="R37" s="9"/>
    </row>
    <row r="38" spans="1:18" ht="46">
      <c r="B38" s="46" t="s">
        <v>45</v>
      </c>
      <c r="C38" s="48" t="s">
        <v>102</v>
      </c>
      <c r="D38" s="47" t="s">
        <v>103</v>
      </c>
      <c r="E38" s="9" t="s">
        <v>112</v>
      </c>
      <c r="F38" s="9"/>
      <c r="G38" s="9"/>
      <c r="H38" s="9"/>
      <c r="I38" s="44"/>
      <c r="J38" s="44"/>
      <c r="K38" s="44"/>
      <c r="L38" s="44"/>
      <c r="M38" s="44"/>
      <c r="N38" s="44"/>
      <c r="O38" s="44"/>
      <c r="P38" s="44"/>
      <c r="Q38" s="44"/>
      <c r="R38" s="9"/>
    </row>
    <row r="39" spans="1:18" ht="23">
      <c r="B39" s="49" t="e">
        <f>#REF!=CHOOSE(2,VLOOKUP(A1,GHG_Table[],2,FALSE),VLOOKUP(A1,GHG_Table[],3,FALSE))</f>
        <v>#REF!</v>
      </c>
      <c r="C39" s="49"/>
      <c r="D39" s="49"/>
      <c r="E39" s="9" t="s">
        <v>113</v>
      </c>
      <c r="F39" s="9"/>
      <c r="G39" s="9"/>
      <c r="H39" s="9"/>
      <c r="I39" s="44"/>
      <c r="J39" s="44"/>
      <c r="K39" s="44"/>
      <c r="L39" s="44"/>
      <c r="M39" s="44"/>
      <c r="N39" s="44"/>
      <c r="O39" s="44"/>
      <c r="P39" s="44"/>
      <c r="Q39" s="44"/>
      <c r="R39" s="9"/>
    </row>
    <row r="40" spans="1:18" ht="23">
      <c r="B40" s="49"/>
      <c r="C40" s="49"/>
      <c r="D40" s="49"/>
      <c r="E40" s="9"/>
      <c r="F40" s="9"/>
      <c r="G40" s="9"/>
      <c r="H40" s="9"/>
      <c r="I40" s="44"/>
      <c r="J40" s="44"/>
      <c r="K40" s="44"/>
      <c r="L40" s="44"/>
      <c r="M40" s="44"/>
      <c r="N40" s="44"/>
      <c r="O40" s="44"/>
      <c r="P40" s="44"/>
      <c r="Q40" s="44"/>
      <c r="R40" s="9"/>
    </row>
    <row r="41" spans="1:18" ht="23">
      <c r="B41" s="49"/>
      <c r="C41" s="49"/>
      <c r="D41" s="49"/>
      <c r="E41" s="9"/>
      <c r="F41" s="9"/>
      <c r="G41" s="9"/>
      <c r="H41" s="9"/>
      <c r="I41" s="44"/>
      <c r="J41" s="44"/>
      <c r="K41" s="44"/>
      <c r="L41" s="44"/>
      <c r="M41" s="44"/>
      <c r="N41" s="44"/>
      <c r="O41" s="44"/>
      <c r="P41" s="44"/>
      <c r="Q41" s="44"/>
      <c r="R41" s="9"/>
    </row>
    <row r="42" spans="1:18" ht="23">
      <c r="B42" s="49"/>
      <c r="C42" s="49"/>
      <c r="D42" s="49"/>
      <c r="E42" s="9"/>
      <c r="F42" s="9"/>
      <c r="G42" s="9"/>
      <c r="H42" s="9"/>
      <c r="I42" s="44"/>
      <c r="J42" s="44"/>
      <c r="K42" s="44"/>
      <c r="L42" s="44"/>
      <c r="M42" s="44"/>
      <c r="N42" s="44"/>
      <c r="O42" s="44"/>
      <c r="P42" s="44"/>
      <c r="Q42" s="44"/>
      <c r="R42" s="9"/>
    </row>
    <row r="43" spans="1:18" ht="23">
      <c r="B43" s="49"/>
      <c r="C43" s="49"/>
      <c r="D43" s="49"/>
      <c r="E43" s="9"/>
      <c r="F43" s="9"/>
      <c r="G43" s="9"/>
      <c r="H43" s="9"/>
      <c r="I43" s="44"/>
      <c r="J43" s="44"/>
      <c r="K43" s="44"/>
      <c r="L43" s="44"/>
      <c r="M43" s="44"/>
      <c r="N43" s="44"/>
      <c r="O43" s="44"/>
      <c r="P43" s="44"/>
      <c r="Q43" s="44"/>
      <c r="R43" s="9"/>
    </row>
    <row r="44" spans="1:18" ht="23">
      <c r="B44" s="49"/>
      <c r="C44" s="49"/>
      <c r="D44" s="49"/>
      <c r="E44" s="9"/>
      <c r="F44" s="9"/>
      <c r="G44" s="9"/>
      <c r="H44" s="9"/>
      <c r="I44" s="44"/>
      <c r="J44" s="44"/>
      <c r="K44" s="44"/>
      <c r="L44" s="44"/>
      <c r="M44" s="44"/>
      <c r="N44" s="44"/>
      <c r="O44" s="44"/>
      <c r="P44" s="44"/>
      <c r="Q44" s="44"/>
      <c r="R44" s="9"/>
    </row>
    <row r="45" spans="1:18" ht="23">
      <c r="B45" s="49"/>
      <c r="C45" s="49"/>
      <c r="D45" s="49"/>
      <c r="E45" s="9"/>
      <c r="F45" s="9"/>
      <c r="G45" s="9"/>
      <c r="H45" s="9"/>
      <c r="I45" s="44"/>
      <c r="J45" s="44"/>
      <c r="K45" s="44"/>
      <c r="L45" s="44"/>
      <c r="M45" s="44"/>
      <c r="N45" s="44"/>
      <c r="O45" s="44"/>
      <c r="P45" s="44"/>
      <c r="Q45" s="44"/>
      <c r="R45" s="9"/>
    </row>
    <row r="46" spans="1:18" ht="23">
      <c r="B46" s="49"/>
      <c r="C46" s="49"/>
      <c r="D46" s="49"/>
      <c r="E46" s="9"/>
      <c r="F46" s="9"/>
      <c r="G46" s="9"/>
      <c r="H46" s="9"/>
      <c r="I46" s="44"/>
      <c r="J46" s="44"/>
      <c r="K46" s="44"/>
      <c r="L46" s="44"/>
      <c r="M46" s="44"/>
      <c r="N46" s="44"/>
      <c r="O46" s="44"/>
      <c r="P46" s="44"/>
      <c r="Q46" s="44"/>
      <c r="R46" s="9"/>
    </row>
    <row r="47" spans="1:18" ht="23">
      <c r="B47" s="49"/>
      <c r="C47" s="49"/>
      <c r="D47" s="49"/>
      <c r="E47" s="9"/>
      <c r="F47" s="9"/>
      <c r="G47" s="9"/>
      <c r="H47" s="9"/>
      <c r="I47" s="44"/>
      <c r="J47" s="44"/>
      <c r="K47" s="44"/>
      <c r="L47" s="44"/>
      <c r="M47" s="44"/>
      <c r="N47" s="44"/>
      <c r="O47" s="44"/>
      <c r="P47" s="44"/>
      <c r="Q47" s="44"/>
      <c r="R47" s="9"/>
    </row>
    <row r="48" spans="1:18" ht="23">
      <c r="B48" s="49"/>
      <c r="C48" s="49"/>
      <c r="D48" s="49"/>
      <c r="E48" s="9"/>
      <c r="F48" s="9"/>
      <c r="G48" s="9"/>
      <c r="H48" s="9"/>
      <c r="I48" s="44"/>
      <c r="J48" s="44"/>
      <c r="K48" s="44"/>
      <c r="L48" s="44"/>
      <c r="M48" s="44"/>
      <c r="N48" s="44"/>
      <c r="O48" s="44"/>
      <c r="P48" s="44"/>
      <c r="Q48" s="44"/>
      <c r="R48" s="9"/>
    </row>
    <row r="49" spans="2:18" ht="23">
      <c r="B49" s="49"/>
      <c r="C49" s="49"/>
      <c r="D49" s="49"/>
      <c r="E49" s="9"/>
      <c r="F49" s="9"/>
      <c r="G49" s="9"/>
      <c r="H49" s="9"/>
      <c r="I49" s="44"/>
      <c r="J49" s="44"/>
      <c r="K49" s="44"/>
      <c r="L49" s="44"/>
      <c r="M49" s="44"/>
      <c r="N49" s="44"/>
      <c r="O49" s="44"/>
      <c r="P49" s="44"/>
      <c r="Q49" s="44"/>
      <c r="R49" s="9"/>
    </row>
    <row r="50" spans="2:18" ht="23">
      <c r="B50" s="49"/>
      <c r="C50" s="49"/>
      <c r="D50" s="49"/>
      <c r="E50" s="9"/>
      <c r="F50" s="9"/>
      <c r="G50" s="9"/>
      <c r="H50" s="9"/>
      <c r="I50" s="44"/>
      <c r="J50" s="44"/>
      <c r="K50" s="44"/>
      <c r="L50" s="44"/>
      <c r="M50" s="44"/>
      <c r="N50" s="44"/>
      <c r="O50" s="44"/>
      <c r="P50" s="44"/>
      <c r="Q50" s="44"/>
      <c r="R50" s="9"/>
    </row>
    <row r="51" spans="2:18" ht="23">
      <c r="B51" s="49"/>
      <c r="C51" s="49"/>
      <c r="D51" s="49"/>
      <c r="E51" s="9"/>
      <c r="F51" s="9"/>
      <c r="G51" s="9"/>
      <c r="H51" s="9"/>
      <c r="I51" s="44"/>
      <c r="J51" s="44"/>
      <c r="K51" s="44"/>
      <c r="L51" s="44"/>
      <c r="M51" s="44"/>
      <c r="N51" s="44"/>
      <c r="O51" s="44"/>
      <c r="P51" s="44"/>
      <c r="Q51" s="44"/>
      <c r="R51" s="9"/>
    </row>
    <row r="52" spans="2:18" ht="23">
      <c r="B52" s="49"/>
      <c r="C52" s="49"/>
      <c r="D52" s="49"/>
      <c r="E52" s="9"/>
      <c r="F52" s="9"/>
      <c r="G52" s="9"/>
      <c r="H52" s="9"/>
      <c r="I52" s="44"/>
      <c r="J52" s="44"/>
      <c r="K52" s="44"/>
      <c r="L52" s="44"/>
      <c r="M52" s="44"/>
      <c r="N52" s="44"/>
      <c r="O52" s="44"/>
      <c r="P52" s="44"/>
      <c r="Q52" s="44"/>
      <c r="R52" s="9"/>
    </row>
    <row r="53" spans="2:18" ht="23">
      <c r="B53" s="49"/>
      <c r="C53" s="49"/>
      <c r="D53" s="49"/>
      <c r="E53" s="9"/>
      <c r="F53" s="9"/>
      <c r="G53" s="9"/>
      <c r="H53" s="9"/>
      <c r="I53" s="44"/>
      <c r="J53" s="44"/>
      <c r="K53" s="44"/>
      <c r="L53" s="44"/>
      <c r="M53" s="44"/>
      <c r="N53" s="44"/>
      <c r="O53" s="44"/>
      <c r="P53" s="44"/>
      <c r="Q53" s="44"/>
      <c r="R53" s="9"/>
    </row>
    <row r="54" spans="2:18" ht="23">
      <c r="B54" s="49"/>
      <c r="C54" s="49"/>
      <c r="D54" s="49"/>
      <c r="E54" s="9"/>
      <c r="F54" s="9"/>
      <c r="G54" s="9"/>
      <c r="H54" s="9"/>
      <c r="I54" s="44"/>
      <c r="J54" s="44"/>
      <c r="K54" s="44"/>
      <c r="L54" s="44"/>
      <c r="M54" s="44"/>
      <c r="N54" s="44"/>
      <c r="O54" s="44"/>
      <c r="P54" s="44"/>
      <c r="Q54" s="44"/>
      <c r="R54" s="9"/>
    </row>
    <row r="55" spans="2:18" ht="23">
      <c r="B55" s="49"/>
      <c r="C55" s="49"/>
      <c r="D55" s="49"/>
      <c r="E55" s="9"/>
      <c r="F55" s="9"/>
      <c r="G55" s="9"/>
      <c r="H55" s="9"/>
      <c r="I55" s="44"/>
      <c r="J55" s="44"/>
      <c r="K55" s="44"/>
      <c r="L55" s="44"/>
      <c r="M55" s="44"/>
      <c r="N55" s="44"/>
      <c r="O55" s="44"/>
      <c r="P55" s="44"/>
      <c r="Q55" s="44"/>
      <c r="R55" s="9"/>
    </row>
    <row r="56" spans="2:18" ht="23">
      <c r="B56" s="49"/>
      <c r="C56" s="49"/>
      <c r="D56" s="49"/>
      <c r="E56" s="9"/>
      <c r="F56" s="9"/>
      <c r="G56" s="9"/>
      <c r="H56" s="9"/>
      <c r="I56" s="44"/>
      <c r="J56" s="44"/>
      <c r="K56" s="44"/>
      <c r="L56" s="44"/>
      <c r="M56" s="44"/>
      <c r="N56" s="44"/>
      <c r="O56" s="44"/>
      <c r="P56" s="44"/>
      <c r="Q56" s="44"/>
      <c r="R56" s="9"/>
    </row>
    <row r="57" spans="2:18" ht="23">
      <c r="B57" s="49"/>
      <c r="C57" s="49"/>
      <c r="D57" s="49"/>
      <c r="E57" s="9"/>
      <c r="F57" s="9"/>
      <c r="G57" s="9"/>
      <c r="H57" s="9"/>
      <c r="I57" s="44"/>
      <c r="J57" s="44"/>
      <c r="K57" s="44"/>
      <c r="L57" s="44"/>
      <c r="M57" s="44"/>
      <c r="N57" s="44"/>
      <c r="O57" s="44"/>
      <c r="P57" s="44"/>
      <c r="Q57" s="44"/>
      <c r="R57" s="9"/>
    </row>
    <row r="58" spans="2:18" ht="23">
      <c r="B58" s="49"/>
      <c r="C58" s="49"/>
      <c r="D58" s="49"/>
      <c r="E58" s="9"/>
      <c r="F58" s="9"/>
      <c r="G58" s="9"/>
      <c r="H58" s="9"/>
      <c r="I58" s="44"/>
      <c r="J58" s="44"/>
      <c r="K58" s="44"/>
      <c r="L58" s="44"/>
      <c r="M58" s="44"/>
      <c r="N58" s="44"/>
      <c r="O58" s="44"/>
      <c r="P58" s="44"/>
      <c r="Q58" s="44"/>
      <c r="R58" s="9"/>
    </row>
    <row r="59" spans="2:18" ht="23">
      <c r="B59" s="49"/>
      <c r="C59" s="49"/>
      <c r="D59" s="49"/>
      <c r="E59" s="9"/>
      <c r="F59" s="9"/>
      <c r="G59" s="9"/>
      <c r="H59" s="9"/>
      <c r="I59" s="44"/>
      <c r="J59" s="44"/>
      <c r="K59" s="44"/>
      <c r="L59" s="44"/>
      <c r="M59" s="44"/>
      <c r="N59" s="44"/>
      <c r="O59" s="44"/>
      <c r="P59" s="44"/>
      <c r="Q59" s="44"/>
      <c r="R59" s="9"/>
    </row>
    <row r="60" spans="2:18" ht="23">
      <c r="B60" s="49"/>
      <c r="C60" s="49"/>
      <c r="D60" s="49"/>
      <c r="E60" s="9"/>
      <c r="F60" s="9"/>
      <c r="G60" s="9"/>
      <c r="H60" s="9"/>
      <c r="I60" s="44"/>
      <c r="J60" s="44"/>
      <c r="K60" s="44"/>
      <c r="L60" s="44"/>
      <c r="M60" s="44"/>
      <c r="N60" s="44"/>
      <c r="O60" s="44"/>
      <c r="P60" s="44"/>
      <c r="Q60" s="44"/>
      <c r="R60" s="9"/>
    </row>
    <row r="61" spans="2:18" ht="23">
      <c r="B61" s="49"/>
      <c r="C61" s="49"/>
      <c r="D61" s="49"/>
      <c r="E61" s="9"/>
      <c r="F61" s="9"/>
      <c r="G61" s="9"/>
      <c r="H61" s="9"/>
      <c r="I61" s="44"/>
      <c r="J61" s="44"/>
      <c r="K61" s="44"/>
      <c r="L61" s="44"/>
      <c r="M61" s="44"/>
      <c r="N61" s="44"/>
      <c r="O61" s="44"/>
      <c r="P61" s="44"/>
      <c r="Q61" s="44"/>
      <c r="R61" s="9"/>
    </row>
    <row r="62" spans="2:18" ht="24">
      <c r="B62" s="49"/>
      <c r="C62" s="50"/>
      <c r="D62" s="50"/>
      <c r="E62" s="19"/>
      <c r="F62" s="19"/>
      <c r="G62" s="9"/>
      <c r="H62" s="9"/>
      <c r="I62" s="44"/>
      <c r="J62" s="44"/>
      <c r="K62" s="44"/>
      <c r="L62" s="44"/>
      <c r="M62" s="44"/>
      <c r="N62" s="44"/>
      <c r="O62" s="44"/>
      <c r="P62" s="44"/>
      <c r="Q62" s="44"/>
      <c r="R62" s="9"/>
    </row>
    <row r="63" spans="2:18" ht="23">
      <c r="B63" s="49"/>
      <c r="C63" s="49"/>
      <c r="D63" s="49"/>
      <c r="E63" s="9"/>
      <c r="F63" s="9"/>
      <c r="G63" s="9"/>
      <c r="H63" s="9"/>
      <c r="I63" s="44"/>
      <c r="J63" s="44"/>
      <c r="K63" s="44"/>
      <c r="L63" s="44"/>
      <c r="M63" s="44"/>
      <c r="N63" s="44"/>
      <c r="O63" s="44"/>
      <c r="P63" s="44"/>
      <c r="Q63" s="44"/>
      <c r="R63" s="9"/>
    </row>
    <row r="64" spans="2:18">
      <c r="B64" s="49"/>
      <c r="C64" s="49"/>
      <c r="D64" s="49"/>
      <c r="E64" s="9"/>
      <c r="F64" s="9"/>
      <c r="G64" s="9"/>
      <c r="H64" s="9"/>
      <c r="I64" s="9"/>
      <c r="J64" s="9"/>
      <c r="K64" s="9"/>
      <c r="L64" s="9"/>
      <c r="M64" s="9"/>
      <c r="N64" s="9"/>
      <c r="O64" s="9"/>
      <c r="P64" s="9"/>
      <c r="Q64" s="9"/>
      <c r="R64" s="9"/>
    </row>
    <row r="65" spans="2:18">
      <c r="B65" s="49"/>
      <c r="C65" s="49"/>
      <c r="D65" s="49"/>
      <c r="E65" s="9"/>
      <c r="F65" s="9"/>
      <c r="G65" s="9"/>
      <c r="H65" s="9"/>
      <c r="I65" s="9"/>
      <c r="J65" s="9"/>
      <c r="K65" s="9"/>
      <c r="L65" s="9"/>
      <c r="M65" s="9"/>
      <c r="N65" s="9"/>
      <c r="O65" s="9"/>
      <c r="P65" s="9"/>
      <c r="Q65" s="9"/>
      <c r="R65" s="9"/>
    </row>
    <row r="66" spans="2:18">
      <c r="B66" s="49"/>
      <c r="C66" s="49"/>
      <c r="D66" s="49"/>
      <c r="E66" s="9"/>
      <c r="F66" s="9"/>
      <c r="G66" s="9"/>
      <c r="H66" s="9"/>
      <c r="I66" s="9"/>
      <c r="J66" s="9"/>
      <c r="K66" s="9"/>
      <c r="L66" s="9"/>
      <c r="M66" s="9"/>
      <c r="N66" s="9"/>
      <c r="O66" s="9"/>
      <c r="P66" s="9"/>
      <c r="Q66" s="9"/>
      <c r="R66" s="9"/>
    </row>
    <row r="67" spans="2:18">
      <c r="B67" s="49"/>
      <c r="C67" s="49"/>
      <c r="D67" s="49"/>
      <c r="E67" s="9"/>
      <c r="F67" s="9"/>
      <c r="G67" s="9"/>
      <c r="H67" s="9"/>
      <c r="I67" s="9"/>
      <c r="J67" s="9"/>
      <c r="K67" s="9"/>
      <c r="L67" s="9"/>
      <c r="M67" s="9"/>
      <c r="N67" s="9"/>
      <c r="O67" s="9"/>
      <c r="P67" s="9"/>
      <c r="Q67" s="9"/>
      <c r="R67" s="9"/>
    </row>
    <row r="68" spans="2:18">
      <c r="B68" s="49"/>
      <c r="C68" s="49"/>
      <c r="D68" s="49"/>
      <c r="E68" s="9"/>
      <c r="F68" s="9"/>
      <c r="G68" s="9"/>
      <c r="H68" s="9"/>
      <c r="I68" s="9"/>
      <c r="J68" s="9"/>
      <c r="K68" s="9"/>
      <c r="L68" s="9"/>
      <c r="M68" s="9"/>
      <c r="N68" s="9"/>
      <c r="O68" s="9"/>
      <c r="P68" s="9"/>
      <c r="Q68" s="9"/>
      <c r="R68" s="9"/>
    </row>
    <row r="69" spans="2:18">
      <c r="B69" s="9"/>
      <c r="C69" s="9"/>
      <c r="D69" s="9"/>
      <c r="E69" s="9"/>
      <c r="F69" s="9"/>
      <c r="G69" s="9"/>
      <c r="H69" s="9"/>
      <c r="I69" s="9"/>
      <c r="J69" s="9"/>
      <c r="K69" s="9"/>
      <c r="L69" s="9"/>
      <c r="M69" s="9"/>
      <c r="N69" s="9"/>
      <c r="O69" s="9"/>
      <c r="P69" s="9"/>
      <c r="Q69" s="9"/>
      <c r="R69" s="9"/>
    </row>
    <row r="88" spans="4:5">
      <c r="D88" s="31" t="s">
        <v>73</v>
      </c>
      <c r="E88" s="11">
        <f>E7</f>
        <v>0</v>
      </c>
    </row>
    <row r="89" spans="4:5">
      <c r="D89" s="11" t="s">
        <v>84</v>
      </c>
      <c r="E89" s="11" t="str">
        <f>E9</f>
        <v>Choose from dropdown</v>
      </c>
    </row>
    <row r="90" spans="4:5">
      <c r="D90" s="11" t="s">
        <v>67</v>
      </c>
      <c r="E90" s="11" t="str">
        <f>IF(E9="Provide Process Energy Consumption(kWh)", D14,
 IF(E9="Add tool power rating(kW) and process time(h)", D18,
  IF(E9="Find similar instrument from database", D22,
   "")))</f>
        <v/>
      </c>
    </row>
    <row r="91" spans="4:5">
      <c r="D91" s="11" t="s">
        <v>45</v>
      </c>
      <c r="E91" s="11" t="str">
        <f>IF(E9="Provide Process Energy Consumption(kWh)",E14,
 IF(E9="Add tool power rating(kW) and process time(h)", E18,
  IF(E9="Find similar instrument from database", E22,
   "")))</f>
        <v/>
      </c>
    </row>
    <row r="92" spans="4:5">
      <c r="D92" s="11" t="s">
        <v>85</v>
      </c>
      <c r="E92" s="29" t="str">
        <f>IF(E9="Provide Process Energy Consumption(kWh)", F14,
 IF(E9="Add tool power rating(kW) and process time(h)",F18,
  IF(E9="Find similar instrument from database",F22,
   "")))</f>
        <v/>
      </c>
    </row>
    <row r="93" spans="4:5">
      <c r="D93" s="11" t="s">
        <v>86</v>
      </c>
      <c r="E93" s="11" t="str">
        <f>IF(E9="Provide Process Energy Consumption(kWh)", G14,
 IF(E9="Add tool power rating(kW) and process time(h)",G18,
  IF(E9="Find similar instrument from database",G22,
   "")))</f>
        <v/>
      </c>
    </row>
    <row r="94" spans="4:5">
      <c r="D94" s="11" t="s">
        <v>48</v>
      </c>
      <c r="E94" s="11" t="str">
        <f>IF(E9="Provide Process Energy Consumption(kWh)",H14,
 IF(E9="Add tool power rating(kW) and process time(h)",H18,
  IF(E9="Find similar instrument from database",H22,
   "")))</f>
        <v/>
      </c>
    </row>
    <row r="95" spans="4:5">
      <c r="D95" s="11" t="s">
        <v>75</v>
      </c>
      <c r="E95" s="11" t="str">
        <f>IF(E9="Provide Process Energy Consumption(kWh)", I14,
 IF(E9="Add tool power rating(kW) and process time(h)",I18,
  IF(E9="Find similar instrument from database",I22,
   "")))</f>
        <v/>
      </c>
    </row>
    <row r="96" spans="4:5">
      <c r="D96" s="11" t="s">
        <v>76</v>
      </c>
      <c r="E96" s="34" t="str">
        <f>IF(E9="Provide Process Energy Consumption(kWh)",J14,
 IF(E9="Add tool power rating(kW) and process time(h)",J18,
  IF(E9="Find similar instrument from database",J22,
   "")))</f>
        <v/>
      </c>
    </row>
  </sheetData>
  <mergeCells count="6">
    <mergeCell ref="D2:F2"/>
    <mergeCell ref="C16:C18"/>
    <mergeCell ref="C20:C22"/>
    <mergeCell ref="C12:C14"/>
    <mergeCell ref="J7:K7"/>
    <mergeCell ref="J9:K9"/>
  </mergeCells>
  <conditionalFormatting sqref="A11:I26 N11:XFB26">
    <cfRule type="expression" dxfId="6" priority="3">
      <formula>OR(AND(D9="Provide Process Power Consumption(kWh)",ROW()&gt;=15,ROW()&lt;=25),AND(D9="Add tool power rating(kW) and process time(h)",OR(AND(ROW()&gt;=12,ROW()&lt;=15),AND(ROW()&gt;=20,ROW()&lt;=25))),AND(D9="Find similar instrument from database",ROW()&gt;=12,ROW()&lt;=19))</formula>
    </cfRule>
  </conditionalFormatting>
  <conditionalFormatting sqref="A15:XFD25">
    <cfRule type="expression" dxfId="5" priority="5">
      <formula>OR($D$9="Add tool power rating(kW) and process time(h)", $D$9="Find similar instrument from database")</formula>
    </cfRule>
  </conditionalFormatting>
  <conditionalFormatting sqref="E7">
    <cfRule type="expression" dxfId="4" priority="2">
      <formula>OR(AND(H5="Provide Process Power Consumption(kWh)",ROW()&gt;=15,ROW()&lt;=25),AND(H5="Add tool power rating(kW) and process time(h)",OR(AND(ROW()&gt;=12,ROW()&lt;=15),AND(ROW()&gt;=20,ROW()&lt;=25))),AND(H5="Find similar instrument from database",ROW()&gt;=12,ROW()&lt;=19))</formula>
    </cfRule>
  </conditionalFormatting>
  <conditionalFormatting sqref="J7 J11:M26">
    <cfRule type="expression" dxfId="3" priority="1">
      <formula>OR(AND(N5="Provide Process Power Consumption(kWh)",ROW()&gt;=15,ROW()&lt;=25),AND(N5="Add tool power rating(kW) and process time(h)",OR(AND(ROW()&gt;=12,ROW()&lt;=15),AND(ROW()&gt;=20,ROW()&lt;=25))),AND(N5="Find similar instrument from database",ROW()&gt;=12,ROW()&lt;=19))</formula>
    </cfRule>
  </conditionalFormatting>
  <conditionalFormatting sqref="XFC11:XFD26">
    <cfRule type="expression" dxfId="2" priority="12">
      <formula>OR(AND(A9="Provide Process Power Consumption(kWh)",ROW()&gt;=15,ROW()&lt;=25),AND(A9="Add tool power rating(kW) and process time(h)",OR(AND(ROW()&gt;=12,ROW()&lt;=15),AND(ROW()&gt;=20,ROW()&lt;=25))),AND(A9="Find similar instrument from database",ROW()&gt;=12,ROW()&lt;=19))</formula>
    </cfRule>
  </conditionalFormatting>
  <dataValidations count="2">
    <dataValidation type="list" allowBlank="1" showInputMessage="1" showErrorMessage="1" sqref="E9" xr:uid="{BE923566-D2F1-A540-8FCA-807572DEE804}">
      <formula1>"Choose from dropdown, Provide Process Energy Consumption(kWh), Add tool power rating(kW) and process time(h), Find similar instrument from database"</formula1>
    </dataValidation>
    <dataValidation allowBlank="1" showInputMessage="1" showErrorMessage="1" sqref="E18 E14:E15" xr:uid="{A032814C-C12E-6945-82BB-B543D6496E54}"/>
  </dataValidations>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28809" r:id="rId3" name="Button">
              <controlPr defaultSize="0" print="0" autoFill="0" autoPict="0" macro="[0]!Macro9" altText="Finish and Enter Next Process ">
                <anchor moveWithCells="1" sizeWithCells="1">
                  <from>
                    <xdr:col>9</xdr:col>
                    <xdr:colOff>1130300</xdr:colOff>
                    <xdr:row>26</xdr:row>
                    <xdr:rowOff>215900</xdr:rowOff>
                  </from>
                  <to>
                    <xdr:col>11</xdr:col>
                    <xdr:colOff>317500</xdr:colOff>
                    <xdr:row>29</xdr:row>
                    <xdr:rowOff>0</xdr:rowOff>
                  </to>
                </anchor>
              </controlPr>
            </control>
          </mc:Choice>
        </mc:AlternateContent>
        <mc:AlternateContent xmlns:mc="http://schemas.openxmlformats.org/markup-compatibility/2006">
          <mc:Choice Requires="x14">
            <control shapeId="28870" r:id="rId4" name="Button 198">
              <controlPr defaultSize="0" print="0" autoFill="0" autoPict="0" macro="[0]!SetCellValues">
                <anchor moveWithCells="1" sizeWithCells="1">
                  <from>
                    <xdr:col>11</xdr:col>
                    <xdr:colOff>520700</xdr:colOff>
                    <xdr:row>26</xdr:row>
                    <xdr:rowOff>215900</xdr:rowOff>
                  </from>
                  <to>
                    <xdr:col>14</xdr:col>
                    <xdr:colOff>647700</xdr:colOff>
                    <xdr:row>29</xdr:row>
                    <xdr:rowOff>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count="3">
        <x14:dataValidation type="list" allowBlank="1" showInputMessage="1" showErrorMessage="1" xr:uid="{EB908368-A3BD-E348-9744-5B30A4226CB2}">
          <x14:formula1>
            <xm:f>All_Equipment!#REF!</xm:f>
          </x14:formula1>
          <xm:sqref>D22</xm:sqref>
        </x14:dataValidation>
        <x14:dataValidation type="list" allowBlank="1" showInputMessage="1" showErrorMessage="1" xr:uid="{8B68090D-10CC-0346-838F-C734FC5A9873}">
          <x14:formula1>
            <xm:f>'Process Overview'!$B$65:$B$75</xm:f>
          </x14:formula1>
          <xm:sqref>E7</xm:sqref>
        </x14:dataValidation>
        <x14:dataValidation type="list" allowBlank="1" showInputMessage="1" showErrorMessage="1" xr:uid="{29DC0DD3-7DEE-C343-9F2E-84075E126749}">
          <x14:formula1>
            <xm:f>All_Equipment!$B:$B</xm:f>
          </x14:formula1>
          <xm:sqref>E22</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9227F-FFD6-0A4F-B041-6BD290397E4F}">
  <sheetPr codeName="Sheet5"/>
  <dimension ref="B2:M45"/>
  <sheetViews>
    <sheetView workbookViewId="0"/>
  </sheetViews>
  <sheetFormatPr baseColWidth="10" defaultColWidth="11.1640625" defaultRowHeight="16"/>
  <cols>
    <col min="2" max="2" width="12.33203125" bestFit="1" customWidth="1"/>
    <col min="3" max="3" width="39" bestFit="1" customWidth="1"/>
    <col min="4" max="4" width="12.1640625" bestFit="1" customWidth="1"/>
    <col min="5" max="5" width="11.33203125" bestFit="1" customWidth="1"/>
    <col min="6" max="6" width="15.5" bestFit="1" customWidth="1"/>
    <col min="7" max="7" width="11.5" bestFit="1" customWidth="1"/>
    <col min="8" max="8" width="15.5" bestFit="1" customWidth="1"/>
    <col min="9" max="9" width="13.83203125" bestFit="1" customWidth="1"/>
    <col min="10" max="10" width="22.1640625" bestFit="1" customWidth="1"/>
  </cols>
  <sheetData>
    <row r="2" spans="2:13">
      <c r="B2" t="s">
        <v>73</v>
      </c>
      <c r="C2" t="s">
        <v>84</v>
      </c>
      <c r="D2" t="s">
        <v>67</v>
      </c>
      <c r="E2" t="s">
        <v>45</v>
      </c>
      <c r="F2" t="s">
        <v>85</v>
      </c>
      <c r="G2" t="s">
        <v>86</v>
      </c>
      <c r="H2" t="s">
        <v>48</v>
      </c>
      <c r="I2" t="s">
        <v>75</v>
      </c>
      <c r="J2" t="s">
        <v>76</v>
      </c>
      <c r="K2" t="s">
        <v>108</v>
      </c>
      <c r="L2" t="s">
        <v>109</v>
      </c>
      <c r="M2" t="s">
        <v>110</v>
      </c>
    </row>
    <row r="3" spans="2:13" ht="22">
      <c r="B3" s="9" t="s">
        <v>3</v>
      </c>
      <c r="C3" s="9" t="s">
        <v>81</v>
      </c>
      <c r="D3" s="9">
        <v>0</v>
      </c>
      <c r="E3" s="9">
        <v>0</v>
      </c>
      <c r="F3" s="9">
        <v>0</v>
      </c>
      <c r="G3" s="9">
        <v>0</v>
      </c>
      <c r="H3" s="9">
        <v>0</v>
      </c>
      <c r="I3" s="9">
        <v>1</v>
      </c>
      <c r="J3" s="9">
        <v>0</v>
      </c>
      <c r="K3" s="16" t="s">
        <v>104</v>
      </c>
      <c r="L3" s="51" t="s">
        <v>111</v>
      </c>
      <c r="M3" s="52" t="str">
        <f>HYPERLINK(L3)</f>
        <v>zotero://select/items/@janosPreparationCeriabasedPolishing</v>
      </c>
    </row>
    <row r="4" spans="2:13">
      <c r="B4" s="9" t="s">
        <v>95</v>
      </c>
      <c r="C4" s="9" t="s">
        <v>81</v>
      </c>
      <c r="D4" s="9">
        <v>0</v>
      </c>
      <c r="E4" s="9">
        <v>0</v>
      </c>
      <c r="F4" s="9">
        <v>0</v>
      </c>
      <c r="G4" s="9">
        <v>0</v>
      </c>
      <c r="H4" s="9">
        <v>0.3</v>
      </c>
      <c r="I4" s="9">
        <v>12</v>
      </c>
      <c r="J4" s="9">
        <v>3.5999999999999996</v>
      </c>
    </row>
    <row r="5" spans="2:13">
      <c r="B5" s="9"/>
      <c r="C5" s="9"/>
      <c r="D5" s="9"/>
      <c r="E5" s="9"/>
      <c r="F5" s="9"/>
      <c r="G5" s="9"/>
      <c r="H5" s="9"/>
      <c r="I5" s="9"/>
      <c r="J5" s="9"/>
    </row>
    <row r="6" spans="2:13">
      <c r="B6" s="9"/>
      <c r="C6" s="9"/>
      <c r="D6" s="9"/>
      <c r="E6" s="9"/>
      <c r="F6" s="9"/>
      <c r="G6" s="9"/>
      <c r="H6" s="9"/>
      <c r="I6" s="9"/>
      <c r="J6" s="9"/>
    </row>
    <row r="7" spans="2:13">
      <c r="B7" s="9"/>
      <c r="C7" s="9"/>
      <c r="D7" s="9"/>
      <c r="E7" s="9"/>
      <c r="F7" s="9"/>
      <c r="G7" s="9"/>
      <c r="H7" s="9"/>
      <c r="I7" s="9"/>
      <c r="J7" s="9"/>
    </row>
    <row r="8" spans="2:13">
      <c r="B8" s="9"/>
      <c r="C8" s="9"/>
      <c r="D8" s="9"/>
      <c r="E8" s="9"/>
      <c r="F8" s="9"/>
      <c r="G8" s="9"/>
      <c r="H8" s="9"/>
      <c r="I8" s="9"/>
      <c r="J8" s="9"/>
    </row>
    <row r="9" spans="2:13">
      <c r="B9" s="9"/>
      <c r="C9" s="9"/>
      <c r="D9" s="9"/>
      <c r="E9" s="9"/>
      <c r="F9" s="9"/>
      <c r="G9" s="9"/>
      <c r="H9" s="9"/>
      <c r="I9" s="9"/>
      <c r="J9" s="9"/>
    </row>
    <row r="10" spans="2:13">
      <c r="B10" s="9"/>
      <c r="C10" s="9"/>
      <c r="D10" s="9"/>
      <c r="E10" s="9"/>
      <c r="F10" s="9"/>
      <c r="G10" s="9"/>
      <c r="H10" s="9"/>
      <c r="I10" s="9"/>
      <c r="J10" s="9"/>
    </row>
    <row r="11" spans="2:13">
      <c r="B11" s="9"/>
      <c r="C11" s="9"/>
      <c r="D11" s="9"/>
      <c r="E11" s="9"/>
      <c r="F11" s="9"/>
      <c r="G11" s="9"/>
      <c r="H11" s="9"/>
      <c r="I11" s="9"/>
      <c r="J11" s="9"/>
    </row>
    <row r="12" spans="2:13">
      <c r="B12" s="9"/>
      <c r="C12" s="9"/>
      <c r="D12" s="9"/>
      <c r="E12" s="9"/>
      <c r="F12" s="9"/>
      <c r="G12" s="9"/>
      <c r="H12" s="9"/>
      <c r="I12" s="9"/>
      <c r="J12" s="9"/>
    </row>
    <row r="13" spans="2:13">
      <c r="B13" s="9"/>
      <c r="C13" s="9"/>
      <c r="D13" s="9"/>
      <c r="E13" s="9"/>
      <c r="F13" s="9"/>
      <c r="G13" s="9"/>
      <c r="H13" s="9"/>
      <c r="I13" s="9"/>
      <c r="J13" s="9"/>
    </row>
    <row r="14" spans="2:13">
      <c r="B14" s="9"/>
      <c r="C14" s="9"/>
      <c r="D14" s="9"/>
      <c r="E14" s="9"/>
      <c r="F14" s="9"/>
      <c r="G14" s="9"/>
      <c r="H14" s="9"/>
      <c r="I14" s="9"/>
      <c r="J14" s="9"/>
    </row>
    <row r="15" spans="2:13">
      <c r="B15" s="9"/>
      <c r="C15" s="9"/>
      <c r="D15" s="9"/>
      <c r="E15" s="9"/>
      <c r="F15" s="9"/>
      <c r="G15" s="9"/>
      <c r="H15" s="9"/>
      <c r="I15" s="9"/>
      <c r="J15" s="9"/>
    </row>
    <row r="16" spans="2:13">
      <c r="B16" s="9"/>
      <c r="C16" s="9"/>
      <c r="D16" s="9"/>
      <c r="E16" s="9"/>
      <c r="F16" s="9"/>
      <c r="G16" s="9"/>
      <c r="H16" s="9"/>
      <c r="I16" s="9"/>
      <c r="J16" s="9"/>
    </row>
    <row r="17" spans="2:10">
      <c r="B17" s="9"/>
      <c r="C17" s="9"/>
      <c r="D17" s="9"/>
      <c r="E17" s="9"/>
      <c r="F17" s="9"/>
      <c r="G17" s="9"/>
      <c r="H17" s="9"/>
      <c r="I17" s="9"/>
      <c r="J17" s="9"/>
    </row>
    <row r="18" spans="2:10">
      <c r="B18" s="9"/>
      <c r="C18" s="9"/>
      <c r="D18" s="9"/>
      <c r="E18" s="9"/>
      <c r="F18" s="9"/>
      <c r="G18" s="9"/>
      <c r="H18" s="9"/>
      <c r="I18" s="9"/>
      <c r="J18" s="9"/>
    </row>
    <row r="19" spans="2:10">
      <c r="B19" s="9"/>
      <c r="C19" s="9"/>
      <c r="D19" s="9"/>
      <c r="E19" s="9"/>
      <c r="F19" s="9"/>
      <c r="G19" s="9"/>
      <c r="H19" s="9"/>
      <c r="I19" s="9"/>
      <c r="J19" s="9"/>
    </row>
    <row r="20" spans="2:10">
      <c r="B20" s="9"/>
      <c r="C20" s="9"/>
      <c r="D20" s="9"/>
      <c r="E20" s="9"/>
      <c r="F20" s="9"/>
      <c r="G20" s="9"/>
      <c r="H20" s="9"/>
      <c r="I20" s="9"/>
      <c r="J20" s="9"/>
    </row>
    <row r="21" spans="2:10">
      <c r="B21" s="9"/>
      <c r="C21" s="9"/>
      <c r="D21" s="9"/>
      <c r="E21" s="9"/>
      <c r="F21" s="9"/>
      <c r="G21" s="9"/>
      <c r="H21" s="9"/>
      <c r="I21" s="9"/>
      <c r="J21" s="9"/>
    </row>
    <row r="22" spans="2:10">
      <c r="B22" s="9"/>
      <c r="C22" s="9"/>
      <c r="D22" s="9"/>
      <c r="E22" s="9"/>
      <c r="F22" s="9"/>
      <c r="G22" s="9"/>
      <c r="H22" s="9"/>
      <c r="I22" s="9"/>
      <c r="J22" s="9"/>
    </row>
    <row r="45" spans="6:10">
      <c r="F45" s="5"/>
      <c r="J45" s="36"/>
    </row>
  </sheetData>
  <conditionalFormatting sqref="K3">
    <cfRule type="expression" dxfId="1" priority="1">
      <formula>OR(AND(N1="Provide Process Power Consumption(kWh)",ROW()&gt;=15,ROW()&lt;=25),AND(N1="Add tool power rating(kW) and process time(h)",OR(AND(ROW()&gt;=12,ROW()&lt;=15),AND(ROW()&gt;=20,ROW()&lt;=25))),AND(N1="Find similar instrument from database",ROW()&gt;=12,ROW()&lt;=19))</formula>
    </cfRule>
    <cfRule type="expression" dxfId="0" priority="2">
      <formula>OR($D$9="Add tool power rating(kW) and process time(h)", $D$9="Find similar instrument from database")</formula>
    </cfRule>
  </conditionalFormatting>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22151-B2BD-D84F-A451-BFE5A826A5B4}">
  <sheetPr codeName="Sheet28"/>
  <dimension ref="A1:K30"/>
  <sheetViews>
    <sheetView workbookViewId="0"/>
  </sheetViews>
  <sheetFormatPr baseColWidth="10" defaultColWidth="11.1640625" defaultRowHeight="16"/>
  <cols>
    <col min="5" max="5" width="13.33203125" bestFit="1" customWidth="1"/>
  </cols>
  <sheetData>
    <row r="1" spans="1:11">
      <c r="A1" t="s">
        <v>559</v>
      </c>
    </row>
    <row r="2" spans="1:11">
      <c r="A2" t="s">
        <v>560</v>
      </c>
      <c r="C2" t="s">
        <v>562</v>
      </c>
      <c r="D2" t="s">
        <v>569</v>
      </c>
      <c r="E2" t="s">
        <v>570</v>
      </c>
      <c r="F2" t="s">
        <v>571</v>
      </c>
      <c r="G2" t="s">
        <v>572</v>
      </c>
      <c r="H2" t="s">
        <v>573</v>
      </c>
      <c r="I2" t="s">
        <v>574</v>
      </c>
      <c r="J2" t="s">
        <v>575</v>
      </c>
      <c r="K2" t="s">
        <v>576</v>
      </c>
    </row>
    <row r="3" spans="1:11">
      <c r="A3" t="s">
        <v>563</v>
      </c>
      <c r="B3" t="s">
        <v>569</v>
      </c>
      <c r="C3" t="e">
        <f>F25</f>
        <v>#VALUE!</v>
      </c>
      <c r="D3">
        <v>2</v>
      </c>
      <c r="E3">
        <v>0</v>
      </c>
      <c r="F3">
        <v>2</v>
      </c>
      <c r="G3">
        <v>0</v>
      </c>
      <c r="H3">
        <v>0</v>
      </c>
      <c r="I3">
        <v>-2</v>
      </c>
      <c r="J3" t="s">
        <v>578</v>
      </c>
      <c r="K3">
        <v>0</v>
      </c>
    </row>
    <row r="4" spans="1:11">
      <c r="A4" t="s">
        <v>564</v>
      </c>
      <c r="B4" t="s">
        <v>570</v>
      </c>
      <c r="C4" t="e">
        <f>F26</f>
        <v>#VALUE!</v>
      </c>
      <c r="D4">
        <v>0</v>
      </c>
      <c r="E4">
        <v>2</v>
      </c>
      <c r="F4">
        <v>0</v>
      </c>
      <c r="G4">
        <v>0</v>
      </c>
      <c r="H4">
        <v>-2</v>
      </c>
      <c r="I4">
        <v>0</v>
      </c>
      <c r="J4" t="s">
        <v>577</v>
      </c>
      <c r="K4">
        <v>0</v>
      </c>
    </row>
    <row r="5" spans="1:11">
      <c r="A5" t="s">
        <v>565</v>
      </c>
      <c r="B5" t="s">
        <v>571</v>
      </c>
      <c r="C5" t="e">
        <f>F27</f>
        <v>#VALUE!</v>
      </c>
      <c r="D5">
        <v>2</v>
      </c>
      <c r="E5">
        <v>7</v>
      </c>
      <c r="F5">
        <v>4</v>
      </c>
      <c r="G5">
        <v>-5</v>
      </c>
      <c r="H5">
        <v>-4</v>
      </c>
      <c r="I5">
        <v>-2</v>
      </c>
      <c r="J5" t="s">
        <v>579</v>
      </c>
      <c r="K5">
        <v>0</v>
      </c>
    </row>
    <row r="6" spans="1:11">
      <c r="D6">
        <v>0</v>
      </c>
      <c r="E6">
        <v>2</v>
      </c>
      <c r="F6">
        <v>0</v>
      </c>
      <c r="G6">
        <v>-1</v>
      </c>
      <c r="H6">
        <v>0</v>
      </c>
      <c r="I6">
        <v>0</v>
      </c>
      <c r="J6" t="s">
        <v>580</v>
      </c>
      <c r="K6">
        <v>0</v>
      </c>
    </row>
    <row r="7" spans="1:11">
      <c r="D7">
        <v>0</v>
      </c>
      <c r="E7">
        <v>0</v>
      </c>
      <c r="F7">
        <v>1</v>
      </c>
      <c r="G7">
        <v>0</v>
      </c>
      <c r="H7">
        <v>-1</v>
      </c>
      <c r="I7">
        <v>0</v>
      </c>
      <c r="J7" t="s">
        <v>581</v>
      </c>
      <c r="K7">
        <v>0</v>
      </c>
    </row>
    <row r="8" spans="1:11">
      <c r="D8">
        <v>0</v>
      </c>
      <c r="E8">
        <v>0</v>
      </c>
      <c r="F8">
        <v>0</v>
      </c>
      <c r="G8">
        <v>0</v>
      </c>
      <c r="H8">
        <v>0</v>
      </c>
      <c r="I8">
        <v>1</v>
      </c>
      <c r="J8" t="s">
        <v>582</v>
      </c>
      <c r="K8">
        <v>1</v>
      </c>
    </row>
    <row r="10" spans="1:11">
      <c r="A10" t="s">
        <v>561</v>
      </c>
    </row>
    <row r="11" spans="1:11">
      <c r="A11" t="s">
        <v>566</v>
      </c>
      <c r="B11" t="s">
        <v>572</v>
      </c>
      <c r="C11" t="e">
        <f>F28</f>
        <v>#VALUE!</v>
      </c>
    </row>
    <row r="12" spans="1:11">
      <c r="A12" t="s">
        <v>567</v>
      </c>
      <c r="B12" t="s">
        <v>573</v>
      </c>
      <c r="C12" t="e">
        <f>F29</f>
        <v>#VALUE!</v>
      </c>
    </row>
    <row r="13" spans="1:11">
      <c r="A13" t="s">
        <v>568</v>
      </c>
      <c r="B13" t="s">
        <v>574</v>
      </c>
      <c r="C13" t="e">
        <f>F30</f>
        <v>#VALUE!</v>
      </c>
    </row>
    <row r="14" spans="1:11" ht="26">
      <c r="F14" s="95"/>
      <c r="G14" s="95"/>
    </row>
    <row r="17" spans="1:11">
      <c r="A17" t="s">
        <v>562</v>
      </c>
      <c r="K17" t="s">
        <v>576</v>
      </c>
    </row>
    <row r="18" spans="1:11">
      <c r="D18" s="96" t="s">
        <v>583</v>
      </c>
      <c r="E18" s="96" t="s">
        <v>583</v>
      </c>
      <c r="F18" s="96" t="s">
        <v>583</v>
      </c>
      <c r="G18" s="96" t="s">
        <v>583</v>
      </c>
      <c r="H18" s="96" t="s">
        <v>583</v>
      </c>
      <c r="I18" s="96" t="s">
        <v>583</v>
      </c>
      <c r="K18">
        <v>0</v>
      </c>
    </row>
    <row r="19" spans="1:11">
      <c r="D19" s="96" t="s">
        <v>583</v>
      </c>
      <c r="E19" s="96" t="s">
        <v>583</v>
      </c>
      <c r="F19" s="96" t="s">
        <v>583</v>
      </c>
      <c r="G19" s="96" t="s">
        <v>583</v>
      </c>
      <c r="H19" s="96" t="s">
        <v>583</v>
      </c>
      <c r="I19" s="96" t="s">
        <v>583</v>
      </c>
      <c r="K19">
        <v>0</v>
      </c>
    </row>
    <row r="20" spans="1:11">
      <c r="D20" s="96" t="s">
        <v>583</v>
      </c>
      <c r="E20" s="96" t="s">
        <v>583</v>
      </c>
      <c r="F20" s="96" t="s">
        <v>583</v>
      </c>
      <c r="G20" s="96" t="s">
        <v>583</v>
      </c>
      <c r="H20" s="96" t="s">
        <v>583</v>
      </c>
      <c r="I20" s="96" t="s">
        <v>583</v>
      </c>
      <c r="K20">
        <v>0</v>
      </c>
    </row>
    <row r="21" spans="1:11">
      <c r="D21" s="96" t="s">
        <v>583</v>
      </c>
      <c r="E21" s="96" t="s">
        <v>583</v>
      </c>
      <c r="F21" s="96" t="s">
        <v>583</v>
      </c>
      <c r="G21" s="96" t="s">
        <v>583</v>
      </c>
      <c r="H21" s="96" t="s">
        <v>583</v>
      </c>
      <c r="I21" s="96" t="s">
        <v>583</v>
      </c>
      <c r="K21">
        <v>0</v>
      </c>
    </row>
    <row r="22" spans="1:11">
      <c r="D22" s="96" t="s">
        <v>583</v>
      </c>
      <c r="E22" s="96" t="s">
        <v>583</v>
      </c>
      <c r="F22" s="96" t="s">
        <v>583</v>
      </c>
      <c r="G22" s="96" t="s">
        <v>583</v>
      </c>
      <c r="H22" s="96" t="s">
        <v>583</v>
      </c>
      <c r="I22" s="96" t="s">
        <v>583</v>
      </c>
      <c r="K22">
        <v>0</v>
      </c>
    </row>
    <row r="23" spans="1:11">
      <c r="D23" s="96" t="s">
        <v>583</v>
      </c>
      <c r="E23" s="96" t="s">
        <v>583</v>
      </c>
      <c r="F23" s="96" t="s">
        <v>583</v>
      </c>
      <c r="G23" s="96" t="s">
        <v>583</v>
      </c>
      <c r="H23" s="96" t="s">
        <v>583</v>
      </c>
      <c r="I23" s="96" t="s">
        <v>583</v>
      </c>
      <c r="K23">
        <v>1</v>
      </c>
    </row>
    <row r="25" spans="1:11">
      <c r="C25" t="s">
        <v>569</v>
      </c>
      <c r="D25" s="96" t="s">
        <v>584</v>
      </c>
      <c r="E25">
        <f>MIN(D23:D30)</f>
        <v>0</v>
      </c>
      <c r="F25" t="e">
        <f t="shared" ref="F25:F30" si="0">D25/E$25</f>
        <v>#VALUE!</v>
      </c>
    </row>
    <row r="26" spans="1:11">
      <c r="C26" t="s">
        <v>570</v>
      </c>
      <c r="D26" s="96" t="s">
        <v>584</v>
      </c>
      <c r="F26" t="e">
        <f t="shared" si="0"/>
        <v>#VALUE!</v>
      </c>
    </row>
    <row r="27" spans="1:11">
      <c r="C27" t="s">
        <v>571</v>
      </c>
      <c r="D27" s="96" t="s">
        <v>584</v>
      </c>
      <c r="F27" t="e">
        <f t="shared" si="0"/>
        <v>#VALUE!</v>
      </c>
    </row>
    <row r="28" spans="1:11">
      <c r="C28" t="s">
        <v>572</v>
      </c>
      <c r="D28" s="96" t="s">
        <v>584</v>
      </c>
      <c r="F28" t="e">
        <f t="shared" si="0"/>
        <v>#VALUE!</v>
      </c>
    </row>
    <row r="29" spans="1:11">
      <c r="C29" t="s">
        <v>573</v>
      </c>
      <c r="D29" s="96" t="s">
        <v>584</v>
      </c>
      <c r="F29" t="e">
        <f t="shared" si="0"/>
        <v>#VALUE!</v>
      </c>
    </row>
    <row r="30" spans="1:11">
      <c r="C30" t="s">
        <v>574</v>
      </c>
      <c r="D30" s="96" t="s">
        <v>584</v>
      </c>
      <c r="F30" t="e">
        <f t="shared" si="0"/>
        <v>#VALUE!</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D3AD61-5365-6642-AB59-26CF491D1A2B}">
  <sheetPr codeName="Sheet6"/>
  <dimension ref="A1:I1"/>
  <sheetViews>
    <sheetView workbookViewId="0"/>
  </sheetViews>
  <sheetFormatPr baseColWidth="10" defaultColWidth="11.1640625" defaultRowHeight="16"/>
  <sheetData>
    <row r="1" spans="1:9">
      <c r="A1" s="9" t="s">
        <v>3</v>
      </c>
      <c r="B1" s="9" t="s">
        <v>81</v>
      </c>
      <c r="C1" s="9">
        <v>0</v>
      </c>
      <c r="D1" s="9">
        <v>0</v>
      </c>
      <c r="E1" s="9">
        <v>0</v>
      </c>
      <c r="F1" s="9">
        <v>0</v>
      </c>
      <c r="G1" s="9">
        <v>0</v>
      </c>
      <c r="H1" s="9">
        <v>1</v>
      </c>
      <c r="I1" s="9">
        <v>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267F2-9629-487D-96BB-15F28CABE588}">
  <sheetPr codeName="Sheet9"/>
  <dimension ref="A1:D31"/>
  <sheetViews>
    <sheetView workbookViewId="0"/>
  </sheetViews>
  <sheetFormatPr baseColWidth="10" defaultColWidth="8.83203125" defaultRowHeight="16"/>
  <cols>
    <col min="1" max="4" width="36.6640625" customWidth="1"/>
  </cols>
  <sheetData>
    <row r="1" spans="1:4">
      <c r="A1" s="2" t="s">
        <v>13</v>
      </c>
    </row>
    <row r="3" spans="1:4">
      <c r="A3" t="s">
        <v>14</v>
      </c>
      <c r="B3" t="s">
        <v>15</v>
      </c>
      <c r="C3">
        <v>0</v>
      </c>
    </row>
    <row r="4" spans="1:4">
      <c r="A4" t="s">
        <v>16</v>
      </c>
    </row>
    <row r="5" spans="1:4">
      <c r="A5" t="s">
        <v>17</v>
      </c>
    </row>
    <row r="7" spans="1:4">
      <c r="A7" s="2" t="s">
        <v>18</v>
      </c>
      <c r="B7" t="s">
        <v>19</v>
      </c>
    </row>
    <row r="8" spans="1:4">
      <c r="B8">
        <v>4</v>
      </c>
    </row>
    <row r="10" spans="1:4">
      <c r="A10" t="s">
        <v>20</v>
      </c>
    </row>
    <row r="11" spans="1:4">
      <c r="A11" t="e">
        <f>CB_DATA_!#REF!</f>
        <v>#REF!</v>
      </c>
      <c r="B11" t="e">
        <f>#REF!</f>
        <v>#REF!</v>
      </c>
      <c r="C11" t="e">
        <f>#REF!</f>
        <v>#REF!</v>
      </c>
      <c r="D11" t="e">
        <f>#REF!</f>
        <v>#REF!</v>
      </c>
    </row>
    <row r="13" spans="1:4">
      <c r="A13" t="s">
        <v>21</v>
      </c>
    </row>
    <row r="14" spans="1:4">
      <c r="A14" t="s">
        <v>25</v>
      </c>
      <c r="B14" s="4" t="s">
        <v>29</v>
      </c>
      <c r="C14" t="s">
        <v>31</v>
      </c>
      <c r="D14" t="s">
        <v>32</v>
      </c>
    </row>
    <row r="16" spans="1:4">
      <c r="A16" t="s">
        <v>22</v>
      </c>
    </row>
    <row r="19" spans="1:4">
      <c r="A19" t="s">
        <v>23</v>
      </c>
    </row>
    <row r="20" spans="1:4">
      <c r="A20">
        <v>31</v>
      </c>
      <c r="B20">
        <v>26</v>
      </c>
      <c r="C20">
        <v>26</v>
      </c>
      <c r="D20">
        <v>31</v>
      </c>
    </row>
    <row r="25" spans="1:4">
      <c r="A25" s="2" t="s">
        <v>24</v>
      </c>
    </row>
    <row r="26" spans="1:4">
      <c r="A26" s="3" t="s">
        <v>26</v>
      </c>
      <c r="D26" s="3" t="s">
        <v>30</v>
      </c>
    </row>
    <row r="27" spans="1:4">
      <c r="A27" t="s">
        <v>27</v>
      </c>
      <c r="D27" t="s">
        <v>34</v>
      </c>
    </row>
    <row r="28" spans="1:4">
      <c r="A28" s="3" t="s">
        <v>28</v>
      </c>
      <c r="D28" s="3" t="s">
        <v>28</v>
      </c>
    </row>
    <row r="29" spans="1:4">
      <c r="A29" s="3" t="s">
        <v>30</v>
      </c>
      <c r="D29" s="3" t="s">
        <v>26</v>
      </c>
    </row>
    <row r="30" spans="1:4">
      <c r="A30" t="s">
        <v>35</v>
      </c>
      <c r="D30" t="s">
        <v>33</v>
      </c>
    </row>
    <row r="31" spans="1:4">
      <c r="A31" s="3" t="s">
        <v>28</v>
      </c>
      <c r="D31" s="3" t="s">
        <v>28</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90CF5D020F49C9419524BF2A40B6ABBF" ma:contentTypeVersion="18" ma:contentTypeDescription="Create a new document." ma:contentTypeScope="" ma:versionID="d9ef868da18552ca9ace32725cc8faff">
  <xsd:schema xmlns:xsd="http://www.w3.org/2001/XMLSchema" xmlns:xs="http://www.w3.org/2001/XMLSchema" xmlns:p="http://schemas.microsoft.com/office/2006/metadata/properties" xmlns:ns3="0699e234-d4f1-4c17-a6fd-7af8c688f2ec" xmlns:ns4="903089c6-b0c9-4883-b4b9-6cb281dc0ede" targetNamespace="http://schemas.microsoft.com/office/2006/metadata/properties" ma:root="true" ma:fieldsID="3b64545a04f64eeac25a8cb6a5e48850" ns3:_="" ns4:_="">
    <xsd:import namespace="0699e234-d4f1-4c17-a6fd-7af8c688f2ec"/>
    <xsd:import namespace="903089c6-b0c9-4883-b4b9-6cb281dc0ede"/>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GenerationTime" minOccurs="0"/>
                <xsd:element ref="ns3:MediaServiceEventHashCode" minOccurs="0"/>
                <xsd:element ref="ns3:MediaServiceOCR" minOccurs="0"/>
                <xsd:element ref="ns3:MediaServiceDateTaken" minOccurs="0"/>
                <xsd:element ref="ns3:MediaServiceAutoKeyPoints" minOccurs="0"/>
                <xsd:element ref="ns3:MediaServiceKeyPoints" minOccurs="0"/>
                <xsd:element ref="ns3:MediaLengthInSeconds" minOccurs="0"/>
                <xsd:element ref="ns3:MediaServiceLocation" minOccurs="0"/>
                <xsd:element ref="ns3:_activity" minOccurs="0"/>
                <xsd:element ref="ns3:MediaServiceObjectDetectorVersions" minOccurs="0"/>
                <xsd:element ref="ns3:MediaServiceSystemTag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699e234-d4f1-4c17-a6fd-7af8c688f2e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DateTaken" ma:index="17" nillable="true" ma:displayName="MediaServiceDateTaken" ma:hidden="true" ma:internalName="MediaServiceDateTaken"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LengthInSeconds" ma:index="20" nillable="true" ma:displayName="MediaLengthInSeconds" ma:hidden="true" ma:internalName="MediaLengthInSeconds" ma:readOnly="true">
      <xsd:simpleType>
        <xsd:restriction base="dms:Unknown"/>
      </xsd:simpleType>
    </xsd:element>
    <xsd:element name="MediaServiceLocation" ma:index="21" nillable="true" ma:displayName="Location" ma:indexed="true" ma:internalName="MediaServiceLocation" ma:readOnly="true">
      <xsd:simpleType>
        <xsd:restriction base="dms:Text"/>
      </xsd:simpleType>
    </xsd:element>
    <xsd:element name="_activity" ma:index="22" nillable="true" ma:displayName="_activity" ma:hidden="true" ma:internalName="_activity">
      <xsd:simpleType>
        <xsd:restriction base="dms:Note"/>
      </xsd:simpleType>
    </xsd:element>
    <xsd:element name="MediaServiceObjectDetectorVersions" ma:index="23" nillable="true" ma:displayName="MediaServiceObjectDetectorVersions" ma:description="" ma:hidden="true" ma:indexed="true" ma:internalName="MediaServiceObjectDetectorVersions" ma:readOnly="true">
      <xsd:simpleType>
        <xsd:restriction base="dms:Text"/>
      </xsd:simpleType>
    </xsd:element>
    <xsd:element name="MediaServiceSystemTags" ma:index="24" nillable="true" ma:displayName="MediaServiceSystemTags" ma:hidden="true" ma:internalName="MediaServiceSystemTags" ma:readOnly="true">
      <xsd:simpleType>
        <xsd:restriction base="dms:Note"/>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03089c6-b0c9-4883-b4b9-6cb281dc0ede"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_activity xmlns="0699e234-d4f1-4c17-a6fd-7af8c688f2ec" xsi:nil="true"/>
  </documentManagement>
</p:properties>
</file>

<file path=customXml/itemProps1.xml><?xml version="1.0" encoding="utf-8"?>
<ds:datastoreItem xmlns:ds="http://schemas.openxmlformats.org/officeDocument/2006/customXml" ds:itemID="{C148A6C7-6168-470D-8E1C-8226DE0B5E0D}">
  <ds:schemaRefs>
    <ds:schemaRef ds:uri="http://schemas.microsoft.com/sharepoint/v3/contenttype/forms"/>
  </ds:schemaRefs>
</ds:datastoreItem>
</file>

<file path=customXml/itemProps2.xml><?xml version="1.0" encoding="utf-8"?>
<ds:datastoreItem xmlns:ds="http://schemas.openxmlformats.org/officeDocument/2006/customXml" ds:itemID="{954D2779-2D40-4837-AF42-CD8B6D8F784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699e234-d4f1-4c17-a6fd-7af8c688f2ec"/>
    <ds:schemaRef ds:uri="903089c6-b0c9-4883-b4b9-6cb281dc0ed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650E4251-413E-42D1-9F67-3FFD9023BD0E}">
  <ds:schemaRefs>
    <ds:schemaRef ds:uri="http://schemas.microsoft.com/office/2006/documentManagement/types"/>
    <ds:schemaRef ds:uri="http://schemas.openxmlformats.org/package/2006/metadata/core-properties"/>
    <ds:schemaRef ds:uri="903089c6-b0c9-4883-b4b9-6cb281dc0ede"/>
    <ds:schemaRef ds:uri="http://www.w3.org/XML/1998/namespace"/>
    <ds:schemaRef ds:uri="http://schemas.microsoft.com/office/infopath/2007/PartnerControls"/>
    <ds:schemaRef ds:uri="http://purl.org/dc/dcmitype/"/>
    <ds:schemaRef ds:uri="http://purl.org/dc/elements/1.1/"/>
    <ds:schemaRef ds:uri="0699e234-d4f1-4c17-a6fd-7af8c688f2ec"/>
    <ds:schemaRef ds:uri="http://schemas.microsoft.com/office/2006/metadata/properties"/>
    <ds:schemaRef ds:uri="http://purl.org/dc/te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24</vt:i4>
      </vt:variant>
      <vt:variant>
        <vt:lpstr>Named Ranges</vt:lpstr>
      </vt:variant>
      <vt:variant>
        <vt:i4>10</vt:i4>
      </vt:variant>
    </vt:vector>
  </HeadingPairs>
  <TitlesOfParts>
    <vt:vector size="34" baseType="lpstr">
      <vt:lpstr>Start</vt:lpstr>
      <vt:lpstr>Carbon Dioxide Framework</vt:lpstr>
      <vt:lpstr>Required Information</vt:lpstr>
      <vt:lpstr>Process Overview</vt:lpstr>
      <vt:lpstr>Input(Please create a copy)</vt:lpstr>
      <vt:lpstr>Process 1</vt:lpstr>
      <vt:lpstr>Process 2</vt:lpstr>
      <vt:lpstr>Process 3</vt:lpstr>
      <vt:lpstr>Process 4</vt:lpstr>
      <vt:lpstr>Process 5</vt:lpstr>
      <vt:lpstr>Result Sheet</vt:lpstr>
      <vt:lpstr>HELP</vt:lpstr>
      <vt:lpstr>Appendix</vt:lpstr>
      <vt:lpstr>State Output emission</vt:lpstr>
      <vt:lpstr>Global Temperatures</vt:lpstr>
      <vt:lpstr>All_Equipment</vt:lpstr>
      <vt:lpstr>All_Process_time</vt:lpstr>
      <vt:lpstr>Solvents</vt:lpstr>
      <vt:lpstr>Precursors Chemicals</vt:lpstr>
      <vt:lpstr>GHGs</vt:lpstr>
      <vt:lpstr>Power consumption energy form</vt:lpstr>
      <vt:lpstr>Power consumption data1</vt:lpstr>
      <vt:lpstr>Chemical Balancing(not ready)</vt:lpstr>
      <vt:lpstr>Power consumption raw</vt:lpstr>
      <vt:lpstr>All_Process_time!GHG_chemical_gas</vt:lpstr>
      <vt:lpstr>'Input(Please create a copy)'!GHG_chemical_gas</vt:lpstr>
      <vt:lpstr>GHG_chemical_gas</vt:lpstr>
      <vt:lpstr>'Input(Please create a copy)'!Print_Area</vt:lpstr>
      <vt:lpstr>'Process 1'!Print_Area</vt:lpstr>
      <vt:lpstr>'Process 2'!Print_Area</vt:lpstr>
      <vt:lpstr>'Process 3'!Print_Area</vt:lpstr>
      <vt:lpstr>'Process 4'!Print_Area</vt:lpstr>
      <vt:lpstr>'Process 5'!Print_Area</vt:lpstr>
      <vt:lpstr>Summary_Table_3</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Ravitej Venkataswamy - vr</dc:creator>
  <cp:keywords/>
  <dc:description/>
  <cp:lastModifiedBy>Ravitej Venkataswamy - vr</cp:lastModifiedBy>
  <cp:revision/>
  <dcterms:created xsi:type="dcterms:W3CDTF">2024-02-19T20:55:09Z</dcterms:created>
  <dcterms:modified xsi:type="dcterms:W3CDTF">2024-12-17T17:14:30Z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0x01010090CF5D020F49C9419524BF2A40B6ABBF</vt:lpwstr>
  </property>
</Properties>
</file>