
<file path=[Content_Types].xml><?xml version="1.0" encoding="utf-8"?>
<Types xmlns="http://schemas.openxmlformats.org/package/2006/content-types">
  <Default Extension="emf" ContentType="image/x-emf"/>
  <Default Extension="jp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omments2.xml" ContentType="application/vnd.openxmlformats-officedocument.spreadsheetml.comments+xml"/>
  <Override PartName="/xl/drawings/drawing12.xml" ContentType="application/vnd.openxmlformats-officedocument.drawing+xml"/>
  <Override PartName="/xl/comments3.xml" ContentType="application/vnd.openxmlformats-officedocument.spreadsheetml.comments+xml"/>
  <Override PartName="/xl/drawings/drawing13.xml" ContentType="application/vnd.openxmlformats-officedocument.drawing+xml"/>
  <Override PartName="/xl/comments4.xml" ContentType="application/vnd.openxmlformats-officedocument.spreadsheetml.comments+xml"/>
  <Override PartName="/xl/drawings/drawing14.xml" ContentType="application/vnd.openxmlformats-officedocument.drawing+xml"/>
  <Override PartName="/xl/drawings/drawing15.xml" ContentType="application/vnd.openxmlformats-officedocument.drawing+xml"/>
  <Override PartName="/xl/comments5.xml" ContentType="application/vnd.openxmlformats-officedocument.spreadsheetml.comments+xml"/>
  <Override PartName="/xl/drawings/drawing16.xml" ContentType="application/vnd.openxmlformats-officedocument.drawing+xml"/>
  <Override PartName="/xl/comments6.xml" ContentType="application/vnd.openxmlformats-officedocument.spreadsheetml.comments+xml"/>
  <Override PartName="/xl/drawings/drawing17.xml" ContentType="application/vnd.openxmlformats-officedocument.drawing+xml"/>
  <Override PartName="/xl/comments7.xml" ContentType="application/vnd.openxmlformats-officedocument.spreadsheetml.comments+xml"/>
  <Override PartName="/xl/drawings/drawing18.xml" ContentType="application/vnd.openxmlformats-officedocument.drawing+xml"/>
  <Override PartName="/xl/comments8.xml" ContentType="application/vnd.openxmlformats-officedocument.spreadsheetml.comments+xml"/>
  <Override PartName="/xl/drawings/drawing19.xml" ContentType="application/vnd.openxmlformats-officedocument.drawing+xml"/>
  <Override PartName="/xl/drawings/drawing2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autoCompressPictures="0"/>
  <mc:AlternateContent xmlns:mc="http://schemas.openxmlformats.org/markup-compatibility/2006">
    <mc:Choice Requires="x15">
      <x15ac:absPath xmlns:x15ac="http://schemas.microsoft.com/office/spreadsheetml/2010/11/ac" url="https://vertas-my.sharepoint.com/personal/vagner_vertas_com_br/Documents/CO2/Calculadora/"/>
    </mc:Choice>
  </mc:AlternateContent>
  <xr:revisionPtr revIDLastSave="46" documentId="13_ncr:1_{E6A8C1A4-48D5-584F-A235-5391150BE089}" xr6:coauthVersionLast="47" xr6:coauthVersionMax="47" xr10:uidLastSave="{47AB8BFB-208D-461D-ADC2-EFA59E9571E3}"/>
  <bookViews>
    <workbookView xWindow="-108" yWindow="-108" windowWidth="23256" windowHeight="12456" activeTab="3" xr2:uid="{00000000-000D-0000-FFFF-FFFF00000000}"/>
  </bookViews>
  <sheets>
    <sheet name="Inicio" sheetId="19" r:id="rId1"/>
    <sheet name="Gap e Considerações" sheetId="1" r:id="rId2"/>
    <sheet name="CalculotCO2e" sheetId="3" r:id="rId3"/>
    <sheet name="Energia" sheetId="7" r:id="rId4"/>
    <sheet name="Efluentes" sheetId="9" r:id="rId5"/>
    <sheet name="GasesRefrigerantes" sheetId="11" r:id="rId6"/>
    <sheet name="Combustivel" sheetId="8" r:id="rId7"/>
    <sheet name="Residuos (A)" sheetId="10" r:id="rId8"/>
    <sheet name="Residuos (M)" sheetId="22" r:id="rId9"/>
    <sheet name="Compostagem" sheetId="20" r:id="rId10"/>
    <sheet name="Transp. Carga (E)" sheetId="12" r:id="rId11"/>
    <sheet name="Transp. Carga (S)" sheetId="23" r:id="rId12"/>
    <sheet name="Transp. Pessoas" sheetId="26" r:id="rId13"/>
    <sheet name="Painel Solar" sheetId="16" r:id="rId14"/>
    <sheet name="Tratamento Térmico (A)" sheetId="21" r:id="rId15"/>
    <sheet name="Tratamento Térmico (M)" sheetId="24" r:id="rId16"/>
    <sheet name="Residuos Reciclados (A)" sheetId="17" r:id="rId17"/>
    <sheet name="Residuos Reciclados (M)" sheetId="25" r:id="rId18"/>
    <sheet name="Referencias" sheetId="5" r:id="rId19"/>
    <sheet name="Comunicação" sheetId="6" r:id="rId20"/>
  </sheets>
  <externalReferences>
    <externalReference r:id="rId21"/>
    <externalReference r:id="rId22"/>
  </externalReferences>
  <definedNames>
    <definedName name="gwp_CH4">'[1]Fatores de Emissão'!$E$464</definedName>
    <definedName name="gwp_N2O">'[1]Fatores de Emissão'!$E$465</definedName>
    <definedName name="langue">[2]Introduction!$A$1</definedName>
    <definedName name="lista_CH4_recuperado">[1]Listas!$BS$2:$BS$4</definedName>
    <definedName name="ListeA">'[2]Ne pas modifier-Do not modify'!$C$2:$C$2040</definedName>
    <definedName name="ListeF">'[2]Ne pas modifier-Do not modify'!$B$2:$B$2040</definedName>
    <definedName name="ListeTrad">'[2]Ne pas modifier-Do not modify'!$C$2:$C$2039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10" i="7" l="1"/>
  <c r="E9" i="7"/>
  <c r="E8" i="7"/>
  <c r="F65" i="22"/>
  <c r="F64" i="22"/>
  <c r="F63" i="22"/>
  <c r="F62" i="22"/>
  <c r="F61" i="22"/>
  <c r="F60" i="22"/>
  <c r="F59" i="22"/>
  <c r="F58" i="22"/>
  <c r="F57" i="22"/>
  <c r="F56" i="22"/>
  <c r="F57" i="10"/>
  <c r="F58" i="10"/>
  <c r="F59" i="10"/>
  <c r="F60" i="10"/>
  <c r="F61" i="10"/>
  <c r="F62" i="10"/>
  <c r="F63" i="10"/>
  <c r="F64" i="10"/>
  <c r="F65" i="10"/>
  <c r="F56" i="10"/>
  <c r="E60" i="25"/>
  <c r="E61" i="25"/>
  <c r="E62" i="25"/>
  <c r="E63" i="25"/>
  <c r="E64" i="25"/>
  <c r="E65" i="25"/>
  <c r="E66" i="25"/>
  <c r="E67" i="25"/>
  <c r="E68" i="25"/>
  <c r="E69" i="25"/>
  <c r="E70" i="25"/>
  <c r="E71" i="25"/>
  <c r="E72" i="25"/>
  <c r="E73" i="25"/>
  <c r="E74" i="25"/>
  <c r="E75" i="25"/>
  <c r="E76" i="25"/>
  <c r="E77" i="25"/>
  <c r="E78" i="25"/>
  <c r="E79" i="25"/>
  <c r="E80" i="25"/>
  <c r="E81" i="25"/>
  <c r="E82" i="25"/>
  <c r="E83" i="25"/>
  <c r="E84" i="25"/>
  <c r="E85" i="25"/>
  <c r="E86" i="25"/>
  <c r="E87" i="25"/>
  <c r="E88" i="25"/>
  <c r="E89" i="25"/>
  <c r="E90" i="25"/>
  <c r="E91" i="25"/>
  <c r="E92" i="25"/>
  <c r="E93" i="25"/>
  <c r="E94" i="25"/>
  <c r="E59" i="25"/>
  <c r="E60" i="17"/>
  <c r="E61" i="17"/>
  <c r="E62" i="17"/>
  <c r="E63" i="17"/>
  <c r="E64" i="17"/>
  <c r="E65" i="17"/>
  <c r="E66" i="17"/>
  <c r="E67" i="17"/>
  <c r="E68" i="17"/>
  <c r="E69" i="17"/>
  <c r="E70" i="17"/>
  <c r="E71" i="17"/>
  <c r="E72" i="17"/>
  <c r="E73" i="17"/>
  <c r="E74" i="17"/>
  <c r="E75" i="17"/>
  <c r="E76" i="17"/>
  <c r="E77" i="17"/>
  <c r="E78" i="17"/>
  <c r="E79" i="17"/>
  <c r="E80" i="17"/>
  <c r="E81" i="17"/>
  <c r="E82" i="17"/>
  <c r="E83" i="17"/>
  <c r="E84" i="17"/>
  <c r="E85" i="17"/>
  <c r="E86" i="17"/>
  <c r="E87" i="17"/>
  <c r="E88" i="17"/>
  <c r="E89" i="17"/>
  <c r="E90" i="17"/>
  <c r="E91" i="17"/>
  <c r="E92" i="17"/>
  <c r="E93" i="17"/>
  <c r="E94" i="17"/>
  <c r="E59" i="17"/>
  <c r="E95" i="17" l="1"/>
  <c r="E96" i="17"/>
  <c r="H74" i="26"/>
  <c r="J73" i="26"/>
  <c r="I73" i="26"/>
  <c r="H73" i="26"/>
  <c r="J72" i="26"/>
  <c r="I72" i="26"/>
  <c r="H72" i="26"/>
  <c r="J71" i="26"/>
  <c r="I71" i="26"/>
  <c r="H71" i="26"/>
  <c r="J70" i="26"/>
  <c r="I70" i="26"/>
  <c r="E31" i="26" s="1"/>
  <c r="F15" i="26" s="1"/>
  <c r="J69" i="26"/>
  <c r="I69" i="26"/>
  <c r="E36" i="26" s="1"/>
  <c r="F20" i="26" s="1"/>
  <c r="J68" i="26"/>
  <c r="I68" i="26"/>
  <c r="I37" i="26"/>
  <c r="H37" i="26"/>
  <c r="I21" i="26" s="1"/>
  <c r="G37" i="26"/>
  <c r="F37" i="26"/>
  <c r="G21" i="26" s="1"/>
  <c r="D37" i="26"/>
  <c r="I36" i="26"/>
  <c r="J20" i="26" s="1"/>
  <c r="H36" i="26"/>
  <c r="I20" i="26" s="1"/>
  <c r="G36" i="26"/>
  <c r="H20" i="26" s="1"/>
  <c r="D36" i="26"/>
  <c r="E20" i="26" s="1"/>
  <c r="I35" i="26"/>
  <c r="J19" i="26" s="1"/>
  <c r="H35" i="26"/>
  <c r="I19" i="26" s="1"/>
  <c r="G35" i="26"/>
  <c r="H19" i="26" s="1"/>
  <c r="F35" i="26"/>
  <c r="G19" i="26" s="1"/>
  <c r="D35" i="26"/>
  <c r="E19" i="26" s="1"/>
  <c r="I34" i="26"/>
  <c r="J18" i="26" s="1"/>
  <c r="H34" i="26"/>
  <c r="I18" i="26" s="1"/>
  <c r="G34" i="26"/>
  <c r="H18" i="26" s="1"/>
  <c r="I33" i="26"/>
  <c r="J17" i="26" s="1"/>
  <c r="H33" i="26"/>
  <c r="I17" i="26" s="1"/>
  <c r="G33" i="26"/>
  <c r="F33" i="26"/>
  <c r="D33" i="26"/>
  <c r="I32" i="26"/>
  <c r="J16" i="26" s="1"/>
  <c r="H32" i="26"/>
  <c r="G32" i="26"/>
  <c r="H16" i="26" s="1"/>
  <c r="F32" i="26"/>
  <c r="D32" i="26"/>
  <c r="E16" i="26" s="1"/>
  <c r="F31" i="26"/>
  <c r="G15" i="26" s="1"/>
  <c r="D31" i="26"/>
  <c r="I30" i="26"/>
  <c r="H30" i="26"/>
  <c r="I14" i="26" s="1"/>
  <c r="G30" i="26"/>
  <c r="H14" i="26" s="1"/>
  <c r="I29" i="26"/>
  <c r="J13" i="26" s="1"/>
  <c r="H29" i="26"/>
  <c r="G29" i="26"/>
  <c r="H13" i="26" s="1"/>
  <c r="F29" i="26"/>
  <c r="G13" i="26" s="1"/>
  <c r="D29" i="26"/>
  <c r="E13" i="26" s="1"/>
  <c r="I28" i="26"/>
  <c r="J12" i="26" s="1"/>
  <c r="H28" i="26"/>
  <c r="I12" i="26" s="1"/>
  <c r="G28" i="26"/>
  <c r="H12" i="26" s="1"/>
  <c r="F28" i="26"/>
  <c r="G12" i="26" s="1"/>
  <c r="D28" i="26"/>
  <c r="E12" i="26" s="1"/>
  <c r="E22" i="26"/>
  <c r="J21" i="26"/>
  <c r="H21" i="26"/>
  <c r="E21" i="26"/>
  <c r="G18" i="26"/>
  <c r="F18" i="26"/>
  <c r="E18" i="26"/>
  <c r="H17" i="26"/>
  <c r="G17" i="26"/>
  <c r="E17" i="26"/>
  <c r="I16" i="26"/>
  <c r="G16" i="26"/>
  <c r="J15" i="26"/>
  <c r="I15" i="26"/>
  <c r="H15" i="26"/>
  <c r="E15" i="26"/>
  <c r="J14" i="26"/>
  <c r="G14" i="26"/>
  <c r="F14" i="26"/>
  <c r="E14" i="26"/>
  <c r="I13" i="26"/>
  <c r="F119" i="25"/>
  <c r="E119" i="25"/>
  <c r="F118" i="25"/>
  <c r="E118" i="25"/>
  <c r="F117" i="25"/>
  <c r="E117" i="25"/>
  <c r="F116" i="25"/>
  <c r="E116" i="25"/>
  <c r="F115" i="25"/>
  <c r="E115" i="25"/>
  <c r="F114" i="25"/>
  <c r="E114" i="25"/>
  <c r="F109" i="25"/>
  <c r="F108" i="25"/>
  <c r="F107" i="25"/>
  <c r="F106" i="25"/>
  <c r="F105" i="25"/>
  <c r="F104" i="25"/>
  <c r="F103" i="25"/>
  <c r="E96" i="25"/>
  <c r="D14" i="25" s="1"/>
  <c r="D15" i="25" s="1"/>
  <c r="D16" i="25" s="1"/>
  <c r="E95" i="25"/>
  <c r="D10" i="25"/>
  <c r="E41" i="24"/>
  <c r="I45" i="24" s="1"/>
  <c r="D41" i="24"/>
  <c r="I44" i="24" s="1"/>
  <c r="I39" i="24"/>
  <c r="G39" i="24"/>
  <c r="I38" i="24"/>
  <c r="G38" i="24"/>
  <c r="I37" i="24"/>
  <c r="G37" i="24"/>
  <c r="I36" i="24"/>
  <c r="G36" i="24"/>
  <c r="I35" i="24"/>
  <c r="G35" i="24"/>
  <c r="I34" i="24"/>
  <c r="G34" i="24"/>
  <c r="I33" i="24"/>
  <c r="G33" i="24"/>
  <c r="I32" i="24"/>
  <c r="G32" i="24"/>
  <c r="I31" i="24"/>
  <c r="G31" i="24"/>
  <c r="I30" i="24"/>
  <c r="G30" i="24"/>
  <c r="I29" i="24"/>
  <c r="G29" i="24"/>
  <c r="I28" i="24"/>
  <c r="G28" i="24"/>
  <c r="I27" i="24"/>
  <c r="G27" i="24"/>
  <c r="I26" i="24"/>
  <c r="G26" i="24"/>
  <c r="I25" i="24"/>
  <c r="G25" i="24"/>
  <c r="I24" i="24"/>
  <c r="G24" i="24"/>
  <c r="I23" i="24"/>
  <c r="G23" i="24"/>
  <c r="I22" i="24"/>
  <c r="G22" i="24"/>
  <c r="I21" i="24"/>
  <c r="G21" i="24"/>
  <c r="I20" i="24"/>
  <c r="G20" i="24"/>
  <c r="I19" i="24"/>
  <c r="G19" i="24"/>
  <c r="I18" i="24"/>
  <c r="I17" i="24"/>
  <c r="I16" i="24"/>
  <c r="H69" i="23"/>
  <c r="J68" i="23"/>
  <c r="I68" i="23"/>
  <c r="H68" i="23"/>
  <c r="J67" i="23"/>
  <c r="I67" i="23"/>
  <c r="H67" i="23"/>
  <c r="J66" i="23"/>
  <c r="I66" i="23"/>
  <c r="H66" i="23"/>
  <c r="J65" i="23"/>
  <c r="I65" i="23"/>
  <c r="J64" i="23"/>
  <c r="F34" i="23" s="1"/>
  <c r="G20" i="23" s="1"/>
  <c r="I64" i="23"/>
  <c r="E33" i="23" s="1"/>
  <c r="F19" i="23" s="1"/>
  <c r="J63" i="23"/>
  <c r="F27" i="23" s="1"/>
  <c r="G13" i="23" s="1"/>
  <c r="I63" i="23"/>
  <c r="E26" i="23" s="1"/>
  <c r="F12" i="23" s="1"/>
  <c r="I34" i="23"/>
  <c r="H34" i="23"/>
  <c r="I20" i="23" s="1"/>
  <c r="G34" i="23"/>
  <c r="H20" i="23" s="1"/>
  <c r="D34" i="23"/>
  <c r="E20" i="23" s="1"/>
  <c r="I33" i="23"/>
  <c r="H33" i="23"/>
  <c r="I19" i="23" s="1"/>
  <c r="G33" i="23"/>
  <c r="H19" i="23" s="1"/>
  <c r="F33" i="23"/>
  <c r="G19" i="23" s="1"/>
  <c r="D33" i="23"/>
  <c r="I32" i="23"/>
  <c r="J18" i="23" s="1"/>
  <c r="H32" i="23"/>
  <c r="I18" i="23" s="1"/>
  <c r="G32" i="23"/>
  <c r="H18" i="23" s="1"/>
  <c r="F32" i="23"/>
  <c r="D32" i="23"/>
  <c r="E18" i="23" s="1"/>
  <c r="I31" i="23"/>
  <c r="J17" i="23" s="1"/>
  <c r="H31" i="23"/>
  <c r="G31" i="23"/>
  <c r="F31" i="23"/>
  <c r="G17" i="23" s="1"/>
  <c r="D31" i="23"/>
  <c r="I30" i="23"/>
  <c r="J16" i="23" s="1"/>
  <c r="H30" i="23"/>
  <c r="I16" i="23" s="1"/>
  <c r="G30" i="23"/>
  <c r="H16" i="23" s="1"/>
  <c r="F30" i="23"/>
  <c r="G16" i="23" s="1"/>
  <c r="D30" i="23"/>
  <c r="E16" i="23" s="1"/>
  <c r="I29" i="23"/>
  <c r="J15" i="23" s="1"/>
  <c r="H29" i="23"/>
  <c r="I15" i="23" s="1"/>
  <c r="G29" i="23"/>
  <c r="H15" i="23" s="1"/>
  <c r="F29" i="23"/>
  <c r="D29" i="23"/>
  <c r="E15" i="23" s="1"/>
  <c r="I28" i="23"/>
  <c r="J14" i="23" s="1"/>
  <c r="H28" i="23"/>
  <c r="I14" i="23" s="1"/>
  <c r="G28" i="23"/>
  <c r="H14" i="23" s="1"/>
  <c r="I27" i="23"/>
  <c r="J13" i="23" s="1"/>
  <c r="H27" i="23"/>
  <c r="I13" i="23" s="1"/>
  <c r="G27" i="23"/>
  <c r="H13" i="23" s="1"/>
  <c r="E27" i="23"/>
  <c r="F13" i="23" s="1"/>
  <c r="D27" i="23"/>
  <c r="E13" i="23" s="1"/>
  <c r="I26" i="23"/>
  <c r="J12" i="23" s="1"/>
  <c r="H26" i="23"/>
  <c r="I12" i="23" s="1"/>
  <c r="G26" i="23"/>
  <c r="H12" i="23" s="1"/>
  <c r="D26" i="23"/>
  <c r="J20" i="23"/>
  <c r="J19" i="23"/>
  <c r="E19" i="23"/>
  <c r="G18" i="23"/>
  <c r="I17" i="23"/>
  <c r="H17" i="23"/>
  <c r="E17" i="23"/>
  <c r="G15" i="23"/>
  <c r="G14" i="23"/>
  <c r="F14" i="23"/>
  <c r="E14" i="23"/>
  <c r="E12" i="23"/>
  <c r="F67" i="22"/>
  <c r="E14" i="22" s="1"/>
  <c r="E15" i="22" s="1"/>
  <c r="E16" i="22" s="1"/>
  <c r="H11" i="3" s="1"/>
  <c r="F66" i="22"/>
  <c r="E10" i="22"/>
  <c r="F116" i="17"/>
  <c r="E119" i="17"/>
  <c r="E118" i="17"/>
  <c r="E117" i="17"/>
  <c r="E116" i="17"/>
  <c r="E115" i="17"/>
  <c r="E114" i="17"/>
  <c r="F115" i="17"/>
  <c r="F117" i="17"/>
  <c r="F118" i="17"/>
  <c r="F119" i="17"/>
  <c r="F114" i="17"/>
  <c r="G12" i="7"/>
  <c r="E41" i="21"/>
  <c r="D41" i="21"/>
  <c r="F104" i="17"/>
  <c r="F105" i="17"/>
  <c r="F106" i="17"/>
  <c r="F107" i="17"/>
  <c r="F108" i="17"/>
  <c r="F109" i="17"/>
  <c r="F103" i="17"/>
  <c r="I17" i="21"/>
  <c r="I18" i="21"/>
  <c r="I19" i="21"/>
  <c r="I20" i="21"/>
  <c r="I21" i="21"/>
  <c r="I22" i="21"/>
  <c r="I23" i="21"/>
  <c r="I24" i="21"/>
  <c r="I25" i="21"/>
  <c r="I26" i="21"/>
  <c r="I27" i="21"/>
  <c r="I28" i="21"/>
  <c r="I29" i="21"/>
  <c r="I30" i="21"/>
  <c r="I31" i="21"/>
  <c r="I32" i="21"/>
  <c r="I33" i="21"/>
  <c r="I34" i="21"/>
  <c r="I35" i="21"/>
  <c r="I36" i="21"/>
  <c r="I37" i="21"/>
  <c r="I38" i="21"/>
  <c r="I39" i="21"/>
  <c r="I16" i="21"/>
  <c r="G19" i="21"/>
  <c r="G20" i="21"/>
  <c r="G21" i="21"/>
  <c r="G22" i="21"/>
  <c r="G23" i="21"/>
  <c r="G24" i="21"/>
  <c r="G25" i="21"/>
  <c r="G26" i="21"/>
  <c r="G27" i="21"/>
  <c r="G28" i="21"/>
  <c r="G29" i="21"/>
  <c r="G30" i="21"/>
  <c r="G31" i="21"/>
  <c r="G32" i="21"/>
  <c r="G33" i="21"/>
  <c r="G34" i="21"/>
  <c r="G35" i="21"/>
  <c r="G36" i="21"/>
  <c r="G37" i="21"/>
  <c r="G38" i="21"/>
  <c r="G39" i="21"/>
  <c r="D17" i="25" l="1"/>
  <c r="D18" i="25" s="1"/>
  <c r="O11" i="3" s="1"/>
  <c r="I43" i="24"/>
  <c r="N11" i="3" s="1"/>
  <c r="F26" i="23"/>
  <c r="G12" i="23" s="1"/>
  <c r="M12" i="23" s="1"/>
  <c r="M13" i="23"/>
  <c r="E29" i="23"/>
  <c r="F15" i="23" s="1"/>
  <c r="M15" i="23" s="1"/>
  <c r="E30" i="23"/>
  <c r="F16" i="23" s="1"/>
  <c r="M16" i="23" s="1"/>
  <c r="E32" i="23"/>
  <c r="F18" i="23" s="1"/>
  <c r="M18" i="23" s="1"/>
  <c r="E34" i="23"/>
  <c r="F20" i="23" s="1"/>
  <c r="M20" i="23" s="1"/>
  <c r="M14" i="23"/>
  <c r="M19" i="23"/>
  <c r="E31" i="23"/>
  <c r="F17" i="23" s="1"/>
  <c r="M17" i="23" s="1"/>
  <c r="E28" i="26"/>
  <c r="F12" i="26" s="1"/>
  <c r="M12" i="26" s="1"/>
  <c r="M15" i="26"/>
  <c r="M18" i="26"/>
  <c r="E33" i="26"/>
  <c r="F17" i="26" s="1"/>
  <c r="M17" i="26" s="1"/>
  <c r="M14" i="26"/>
  <c r="E29" i="26"/>
  <c r="F13" i="26" s="1"/>
  <c r="M13" i="26" s="1"/>
  <c r="E32" i="26"/>
  <c r="F16" i="26" s="1"/>
  <c r="M16" i="26" s="1"/>
  <c r="F36" i="26"/>
  <c r="G20" i="26" s="1"/>
  <c r="M20" i="26" s="1"/>
  <c r="E35" i="26"/>
  <c r="F19" i="26" s="1"/>
  <c r="M19" i="26" s="1"/>
  <c r="E37" i="26"/>
  <c r="F21" i="26" s="1"/>
  <c r="M21" i="26" s="1"/>
  <c r="D17" i="17"/>
  <c r="I43" i="21"/>
  <c r="N12" i="3" s="1"/>
  <c r="P37" i="7"/>
  <c r="P42" i="7"/>
  <c r="E31" i="20"/>
  <c r="E30" i="20"/>
  <c r="G9" i="7"/>
  <c r="G10" i="7"/>
  <c r="G8" i="7"/>
  <c r="F30" i="20"/>
  <c r="I34" i="12"/>
  <c r="I33" i="12"/>
  <c r="I32" i="12"/>
  <c r="I31" i="12"/>
  <c r="I30" i="12"/>
  <c r="I29" i="12"/>
  <c r="I28" i="12"/>
  <c r="I27" i="12"/>
  <c r="I26" i="12"/>
  <c r="H34" i="12"/>
  <c r="H33" i="12"/>
  <c r="H32" i="12"/>
  <c r="H31" i="12"/>
  <c r="H30" i="12"/>
  <c r="H29" i="12"/>
  <c r="H28" i="12"/>
  <c r="H27" i="12"/>
  <c r="H26" i="12"/>
  <c r="I44" i="21" l="1"/>
  <c r="I45" i="21" s="1"/>
  <c r="M23" i="26"/>
  <c r="M21" i="23"/>
  <c r="E8" i="16"/>
  <c r="H33" i="24"/>
  <c r="H25" i="24"/>
  <c r="H30" i="24"/>
  <c r="H22" i="24"/>
  <c r="H38" i="24"/>
  <c r="H35" i="24"/>
  <c r="H27" i="24"/>
  <c r="H19" i="24"/>
  <c r="H18" i="24"/>
  <c r="H32" i="24"/>
  <c r="H24" i="24"/>
  <c r="H37" i="24"/>
  <c r="H29" i="24"/>
  <c r="H21" i="24"/>
  <c r="H34" i="24"/>
  <c r="H26" i="24"/>
  <c r="H39" i="24"/>
  <c r="H31" i="24"/>
  <c r="H23" i="24"/>
  <c r="H36" i="24"/>
  <c r="H28" i="24"/>
  <c r="H20" i="24"/>
  <c r="H17" i="24"/>
  <c r="H16" i="24"/>
  <c r="N13" i="3"/>
  <c r="H20" i="21"/>
  <c r="H24" i="21"/>
  <c r="H28" i="21"/>
  <c r="H32" i="21"/>
  <c r="H36" i="21"/>
  <c r="H16" i="21"/>
  <c r="H17" i="21"/>
  <c r="H21" i="21"/>
  <c r="H25" i="21"/>
  <c r="H29" i="21"/>
  <c r="H33" i="21"/>
  <c r="H37" i="21"/>
  <c r="H18" i="21"/>
  <c r="H22" i="21"/>
  <c r="H26" i="21"/>
  <c r="H30" i="21"/>
  <c r="H34" i="21"/>
  <c r="H38" i="21"/>
  <c r="H19" i="21"/>
  <c r="H23" i="21"/>
  <c r="H27" i="21"/>
  <c r="H31" i="21"/>
  <c r="H35" i="21"/>
  <c r="H39" i="21"/>
  <c r="E32" i="20"/>
  <c r="I11" i="3" s="1"/>
  <c r="I13" i="3" s="1"/>
  <c r="D23" i="8"/>
  <c r="E9" i="8" s="1"/>
  <c r="G34" i="12"/>
  <c r="H20" i="12" s="1"/>
  <c r="J19" i="12"/>
  <c r="G33" i="12"/>
  <c r="H19" i="12" s="1"/>
  <c r="I18" i="12"/>
  <c r="G32" i="12"/>
  <c r="H18" i="12" s="1"/>
  <c r="G31" i="12"/>
  <c r="H17" i="12" s="1"/>
  <c r="G30" i="12"/>
  <c r="H16" i="12" s="1"/>
  <c r="G29" i="12"/>
  <c r="H15" i="12" s="1"/>
  <c r="D34" i="12"/>
  <c r="E20" i="12" s="1"/>
  <c r="D33" i="12"/>
  <c r="E19" i="12" s="1"/>
  <c r="D32" i="12"/>
  <c r="D31" i="12"/>
  <c r="D30" i="12"/>
  <c r="E16" i="12" s="1"/>
  <c r="D29" i="12"/>
  <c r="E15" i="12" s="1"/>
  <c r="I12" i="12"/>
  <c r="G27" i="12"/>
  <c r="H13" i="12" s="1"/>
  <c r="G26" i="12"/>
  <c r="D27" i="12"/>
  <c r="E13" i="12" s="1"/>
  <c r="D26" i="12"/>
  <c r="E12" i="12" s="1"/>
  <c r="I63" i="12"/>
  <c r="G11" i="7"/>
  <c r="J63" i="12"/>
  <c r="I65" i="12"/>
  <c r="J65" i="12"/>
  <c r="J12" i="12"/>
  <c r="I13" i="12"/>
  <c r="J13" i="12"/>
  <c r="E14" i="12"/>
  <c r="F14" i="12"/>
  <c r="I14" i="12"/>
  <c r="G14" i="12"/>
  <c r="J14" i="12"/>
  <c r="I64" i="12"/>
  <c r="I15" i="12"/>
  <c r="J64" i="12"/>
  <c r="J15" i="12"/>
  <c r="I16" i="12"/>
  <c r="J16" i="12"/>
  <c r="E17" i="12"/>
  <c r="I17" i="12"/>
  <c r="J17" i="12"/>
  <c r="E18" i="12"/>
  <c r="J18" i="12"/>
  <c r="I19" i="12"/>
  <c r="I20" i="12"/>
  <c r="J20" i="12"/>
  <c r="D14" i="17"/>
  <c r="D10" i="17"/>
  <c r="E10" i="10"/>
  <c r="F67" i="10"/>
  <c r="E14" i="10" s="1"/>
  <c r="D9" i="8"/>
  <c r="E10" i="8"/>
  <c r="H10" i="9"/>
  <c r="D12" i="9"/>
  <c r="G11" i="9"/>
  <c r="G12" i="9" s="1"/>
  <c r="F8" i="11"/>
  <c r="H8" i="11" s="1"/>
  <c r="H12" i="12"/>
  <c r="G28" i="12"/>
  <c r="H14" i="12" s="1"/>
  <c r="H66" i="12"/>
  <c r="I66" i="12"/>
  <c r="J66" i="12"/>
  <c r="H67" i="12"/>
  <c r="I67" i="12"/>
  <c r="J67" i="12"/>
  <c r="H68" i="12"/>
  <c r="I68" i="12"/>
  <c r="J68" i="12"/>
  <c r="H69" i="12"/>
  <c r="F66" i="10"/>
  <c r="F8" i="16"/>
  <c r="E8" i="8"/>
  <c r="E11" i="7" l="1"/>
  <c r="C12" i="3" s="1"/>
  <c r="E33" i="12"/>
  <c r="F19" i="12" s="1"/>
  <c r="E31" i="12"/>
  <c r="F17" i="12" s="1"/>
  <c r="E34" i="12"/>
  <c r="F20" i="12" s="1"/>
  <c r="E30" i="12"/>
  <c r="F16" i="12" s="1"/>
  <c r="E32" i="12"/>
  <c r="F18" i="12" s="1"/>
  <c r="E29" i="12"/>
  <c r="F15" i="12" s="1"/>
  <c r="F26" i="12"/>
  <c r="G12" i="12" s="1"/>
  <c r="F27" i="12"/>
  <c r="G13" i="12" s="1"/>
  <c r="F34" i="12"/>
  <c r="G20" i="12" s="1"/>
  <c r="F32" i="12"/>
  <c r="G18" i="12" s="1"/>
  <c r="F30" i="12"/>
  <c r="G16" i="12" s="1"/>
  <c r="F29" i="12"/>
  <c r="G15" i="12" s="1"/>
  <c r="F33" i="12"/>
  <c r="G19" i="12" s="1"/>
  <c r="F31" i="12"/>
  <c r="G17" i="12" s="1"/>
  <c r="E27" i="12"/>
  <c r="F13" i="12" s="1"/>
  <c r="E26" i="12"/>
  <c r="F12" i="12" s="1"/>
  <c r="D15" i="17"/>
  <c r="D16" i="17" s="1"/>
  <c r="D18" i="17" s="1"/>
  <c r="O12" i="3" s="1"/>
  <c r="H12" i="9"/>
  <c r="D13" i="9" s="1"/>
  <c r="E11" i="8"/>
  <c r="D8" i="8"/>
  <c r="D10" i="8"/>
  <c r="M14" i="12"/>
  <c r="E15" i="10"/>
  <c r="E16" i="10" s="1"/>
  <c r="H12" i="3" s="1"/>
  <c r="F12" i="3" l="1"/>
  <c r="M12" i="3"/>
  <c r="Q12" i="3" s="1"/>
  <c r="D12" i="3"/>
  <c r="K12" i="3"/>
  <c r="L12" i="3"/>
  <c r="E12" i="3"/>
  <c r="C11" i="3"/>
  <c r="E11" i="3" s="1"/>
  <c r="M12" i="12"/>
  <c r="M20" i="12"/>
  <c r="M18" i="12"/>
  <c r="M19" i="12"/>
  <c r="E12" i="8"/>
  <c r="M17" i="12"/>
  <c r="D11" i="8"/>
  <c r="M16" i="12"/>
  <c r="M13" i="12"/>
  <c r="M15" i="12"/>
  <c r="G12" i="3" l="1"/>
  <c r="G11" i="3"/>
  <c r="K11" i="3"/>
  <c r="K13" i="3" s="1"/>
  <c r="M11" i="3"/>
  <c r="M13" i="3" s="1"/>
  <c r="D11" i="3"/>
  <c r="D13" i="3" s="1"/>
  <c r="L11" i="3"/>
  <c r="L13" i="3" s="1"/>
  <c r="F11" i="3"/>
  <c r="F13" i="3" s="1"/>
  <c r="M21" i="12"/>
  <c r="E13" i="3"/>
  <c r="O13" i="3"/>
  <c r="Q11" i="3" l="1"/>
  <c r="J11" i="3"/>
  <c r="P11" i="3" s="1"/>
  <c r="J12" i="3"/>
  <c r="P12" i="3" s="1"/>
  <c r="Q13" i="3"/>
  <c r="B11" i="6" s="1"/>
  <c r="G13" i="3"/>
  <c r="B14" i="6" l="1"/>
  <c r="B13" i="6"/>
  <c r="B15" i="6"/>
  <c r="B16" i="6" s="1"/>
  <c r="J13" i="3"/>
  <c r="H13" i="3" l="1"/>
  <c r="P13"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User</author>
    <author>Eli Netbook</author>
  </authors>
  <commentList>
    <comment ref="I11" authorId="0" shapeId="0" xr:uid="{20A2CA48-4E43-9B42-91BB-C3BF145DC5C4}">
      <text>
        <r>
          <rPr>
            <b/>
            <sz val="10"/>
            <color rgb="FF000000"/>
            <rFont val="Calibri"/>
            <family val="2"/>
          </rPr>
          <t>Depende da composição dos resíduos</t>
        </r>
      </text>
    </comment>
    <comment ref="J11" authorId="1" shapeId="0" xr:uid="{00000000-0006-0000-0300-000001000000}">
      <text>
        <r>
          <rPr>
            <b/>
            <sz val="8"/>
            <color rgb="FF000000"/>
            <rFont val="Tahoma"/>
            <family val="2"/>
          </rPr>
          <t>Depende da km rodada, do tipo de transporte e do rateio por carga (volume ou peso)</t>
        </r>
      </text>
    </comment>
    <comment ref="K11" authorId="1" shapeId="0" xr:uid="{CFE7C733-8A44-F843-A5E9-D987449D0807}">
      <text>
        <r>
          <rPr>
            <b/>
            <sz val="8"/>
            <color rgb="FF000000"/>
            <rFont val="Tahoma"/>
            <family val="2"/>
          </rPr>
          <t>Depende da km rodada, do tipo de transporte e do rateio por carga (volume ou peso)</t>
        </r>
      </text>
    </comment>
    <comment ref="L11" authorId="1" shapeId="0" xr:uid="{71EB259D-4796-9549-950E-2FF20CB91F25}">
      <text>
        <r>
          <rPr>
            <b/>
            <sz val="8"/>
            <color rgb="FF000000"/>
            <rFont val="Tahoma"/>
            <family val="2"/>
          </rPr>
          <t>Depende da km rodada, do tipo de transporte e do rateio por passageiro</t>
        </r>
      </text>
    </comment>
    <comment ref="N11" authorId="0" shapeId="0" xr:uid="{75701ADC-3180-FD45-9D02-7DFA858ADACF}">
      <text>
        <r>
          <rPr>
            <b/>
            <sz val="10"/>
            <color rgb="FF000000"/>
            <rFont val="Calibri"/>
            <family val="2"/>
          </rPr>
          <t>Depende da composição dos resíduos e seu potencial de geração de energia elétrica</t>
        </r>
        <r>
          <rPr>
            <sz val="10"/>
            <color rgb="FF000000"/>
            <rFont val="Calibri"/>
            <family val="2"/>
          </rPr>
          <t xml:space="preserve">
</t>
        </r>
      </text>
    </comment>
    <comment ref="J12" authorId="1" shapeId="0" xr:uid="{4C87D9A9-52B0-954B-AAE0-4100BC18690E}">
      <text>
        <r>
          <rPr>
            <b/>
            <sz val="8"/>
            <color rgb="FF000000"/>
            <rFont val="Tahoma"/>
            <family val="2"/>
          </rPr>
          <t>Depende da km rodada, do tipo de transporte e do rateio por carga (volume ou peso)</t>
        </r>
      </text>
    </comment>
    <comment ref="K12" authorId="1" shapeId="0" xr:uid="{3D4790C5-4714-1F4F-8BDF-31D93283C735}">
      <text>
        <r>
          <rPr>
            <b/>
            <sz val="8"/>
            <color rgb="FF000000"/>
            <rFont val="Tahoma"/>
            <family val="2"/>
          </rPr>
          <t>Depende da km rodada, do tipo de transporte e do rateio por carga (volume ou peso)</t>
        </r>
      </text>
    </comment>
    <comment ref="L12" authorId="1" shapeId="0" xr:uid="{B419795D-37A3-0848-A7C7-AEBFCC72FED1}">
      <text>
        <r>
          <rPr>
            <b/>
            <sz val="8"/>
            <color rgb="FF000000"/>
            <rFont val="Tahoma"/>
            <family val="2"/>
          </rPr>
          <t>Depende da km rodada, do tipo de transporte e do rateio por passageiro</t>
        </r>
      </text>
    </comment>
    <comment ref="N12" authorId="0" shapeId="0" xr:uid="{77E2C70A-E876-3B4F-BA15-3489712ECFFE}">
      <text>
        <r>
          <rPr>
            <b/>
            <sz val="10"/>
            <color rgb="FF000000"/>
            <rFont val="Calibri"/>
            <family val="2"/>
          </rPr>
          <t>Depende da composição dos resíduos e seu potencial de geração de energia elétrica</t>
        </r>
        <r>
          <rPr>
            <sz val="10"/>
            <color rgb="FF000000"/>
            <rFont val="Calibri"/>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Ricardo Mattos e Dinato</author>
    <author>George Magalhães</author>
    <author>GVces</author>
  </authors>
  <commentList>
    <comment ref="C29" authorId="0" shapeId="0" xr:uid="{F707AC47-4A55-7740-A3AC-8ED1F46A8368}">
      <text>
        <r>
          <rPr>
            <sz val="10"/>
            <color rgb="FF000000"/>
            <rFont val="Calibri Light"/>
            <family val="2"/>
          </rPr>
          <t xml:space="preserve">Veículo automotor não derivado de veículo leve de passageiros com massa total máxima autorizada até 3856 kg e massa do veículo em ordem de marcha até 2720 kg, projetado para o transporte de carga ou misto ou seus derivados, ou projetado para o transporte de mais que 12 passageiros, ou ainda com características
</t>
        </r>
        <r>
          <rPr>
            <sz val="10"/>
            <color rgb="FF000000"/>
            <rFont val="Calibri Light"/>
            <family val="2"/>
          </rPr>
          <t xml:space="preserve">especiais para uso fora de estrada.
</t>
        </r>
        <r>
          <rPr>
            <sz val="10"/>
            <color rgb="FF000000"/>
            <rFont val="Calibri Light"/>
            <family val="2"/>
          </rPr>
          <t>Fonte: CONAMA (1995)</t>
        </r>
      </text>
    </comment>
    <comment ref="C30" authorId="0" shapeId="0" xr:uid="{3C64A282-87C6-7948-838E-4E499D29ECC9}">
      <text>
        <r>
          <rPr>
            <sz val="10"/>
            <color rgb="FF000000"/>
            <rFont val="Calibri Light"/>
            <family val="2"/>
          </rPr>
          <t xml:space="preserve">Peso Bruto Total (PBT)
</t>
        </r>
        <r>
          <rPr>
            <sz val="10"/>
            <color rgb="FF000000"/>
            <rFont val="Calibri Light"/>
            <family val="2"/>
          </rPr>
          <t xml:space="preserve">entre 3,5 t e 6 t.
</t>
        </r>
        <r>
          <rPr>
            <sz val="10"/>
            <color rgb="FF000000"/>
            <rFont val="Calibri Light"/>
            <family val="2"/>
          </rPr>
          <t>Fonte: MMA (2014)</t>
        </r>
      </text>
    </comment>
    <comment ref="C31" authorId="0" shapeId="0" xr:uid="{36A94042-04BF-4442-8907-68B4FA92600E}">
      <text>
        <r>
          <rPr>
            <sz val="10"/>
            <color rgb="FF000000"/>
            <rFont val="Calibri Light"/>
            <family val="2"/>
          </rPr>
          <t xml:space="preserve">Peso Bruto Total (PBT)
</t>
        </r>
        <r>
          <rPr>
            <sz val="10"/>
            <color rgb="FF000000"/>
            <rFont val="Calibri Light"/>
            <family val="2"/>
          </rPr>
          <t xml:space="preserve">entre 6 t e 10 t.
</t>
        </r>
        <r>
          <rPr>
            <sz val="10"/>
            <color rgb="FF000000"/>
            <rFont val="Calibri Light"/>
            <family val="2"/>
          </rPr>
          <t>Fonte: MMA (2014)</t>
        </r>
      </text>
    </comment>
    <comment ref="C32" authorId="0" shapeId="0" xr:uid="{3B1D9922-B037-A747-B81C-C0D172FC4457}">
      <text>
        <r>
          <rPr>
            <sz val="10"/>
            <color rgb="FF000000"/>
            <rFont val="Calibri Light"/>
            <family val="2"/>
          </rPr>
          <t xml:space="preserve">Peso Bruto Total (PBT)
</t>
        </r>
        <r>
          <rPr>
            <sz val="10"/>
            <color rgb="FF000000"/>
            <rFont val="Calibri Light"/>
            <family val="2"/>
          </rPr>
          <t xml:space="preserve">entre 10 t e 15 t.
</t>
        </r>
        <r>
          <rPr>
            <sz val="10"/>
            <color rgb="FF000000"/>
            <rFont val="Calibri Light"/>
            <family val="2"/>
          </rPr>
          <t>Fonte: MMA (2014)</t>
        </r>
      </text>
    </comment>
    <comment ref="C33" authorId="0" shapeId="0" xr:uid="{80CBCE62-593F-2B43-9939-1B87C48921BF}">
      <text>
        <r>
          <rPr>
            <sz val="10"/>
            <color rgb="FF000000"/>
            <rFont val="Calibri Light"/>
            <family val="2"/>
          </rPr>
          <t xml:space="preserve">Peso Bruto Total (PBT)
</t>
        </r>
        <r>
          <rPr>
            <sz val="10"/>
            <color rgb="FF000000"/>
            <rFont val="Calibri Light"/>
            <family val="2"/>
          </rPr>
          <t xml:space="preserve">acima de 15 t e Peso Bruto Total Combinado (PBTC) abaixo de 40 t.
</t>
        </r>
        <r>
          <rPr>
            <sz val="10"/>
            <color rgb="FF000000"/>
            <rFont val="Calibri Light"/>
            <family val="2"/>
          </rPr>
          <t>Fonte: MMA (2014)</t>
        </r>
      </text>
    </comment>
    <comment ref="C34" authorId="0" shapeId="0" xr:uid="{8DACC9C9-3240-6743-A1F9-7BB9646078C0}">
      <text>
        <r>
          <rPr>
            <sz val="10"/>
            <color rgb="FF000000"/>
            <rFont val="Calibri Light"/>
            <family val="2"/>
          </rPr>
          <t xml:space="preserve">Peso Bruto Total (PBT)
</t>
        </r>
        <r>
          <rPr>
            <sz val="10"/>
            <color rgb="FF000000"/>
            <rFont val="Calibri Light"/>
            <family val="2"/>
          </rPr>
          <t xml:space="preserve">acima de 15 t e Peso Bruto Total Combinado (PBTC) acima de 40 t.
</t>
        </r>
        <r>
          <rPr>
            <sz val="10"/>
            <color rgb="FF000000"/>
            <rFont val="Calibri Light"/>
            <family val="2"/>
          </rPr>
          <t>Fonte: MMA (2014)</t>
        </r>
      </text>
    </comment>
    <comment ref="E45" authorId="1" shapeId="0" xr:uid="{00000000-0006-0000-0A00-000001000000}">
      <text>
        <r>
          <rPr>
            <sz val="9"/>
            <color rgb="FF000000"/>
            <rFont val="Tahoma"/>
            <family val="2"/>
          </rPr>
          <t>Na referência adotada (MMA, 2014) alguns fatores de emissão não variam de acordo com o ano do veículo. Dessa forma, será adotado o mesmo FE para todos os anos da frota.</t>
        </r>
      </text>
    </comment>
    <comment ref="H63" authorId="0" shapeId="0" xr:uid="{00000000-0006-0000-0A00-000002000000}">
      <text>
        <r>
          <rPr>
            <b/>
            <sz val="9"/>
            <color rgb="FF000000"/>
            <rFont val="Tahoma"/>
            <family val="2"/>
          </rPr>
          <t>Fonte: MMA (2014)</t>
        </r>
      </text>
    </comment>
    <comment ref="I63" authorId="0" shapeId="0" xr:uid="{00000000-0006-0000-0A00-000003000000}">
      <text>
        <r>
          <rPr>
            <b/>
            <sz val="9"/>
            <color rgb="FF000000"/>
            <rFont val="Tahoma"/>
            <family val="2"/>
          </rPr>
          <t>Fonte: IPCC (2006)</t>
        </r>
      </text>
    </comment>
    <comment ref="J63" authorId="0" shapeId="0" xr:uid="{00000000-0006-0000-0A00-000004000000}">
      <text>
        <r>
          <rPr>
            <b/>
            <sz val="9"/>
            <color rgb="FF000000"/>
            <rFont val="Tahoma"/>
            <family val="2"/>
          </rPr>
          <t>Fonte: IPCC (2006)</t>
        </r>
      </text>
    </comment>
    <comment ref="H64" authorId="0" shapeId="0" xr:uid="{00000000-0006-0000-0A00-000005000000}">
      <text>
        <r>
          <rPr>
            <b/>
            <sz val="9"/>
            <color rgb="FF000000"/>
            <rFont val="Tahoma"/>
            <family val="2"/>
          </rPr>
          <t>Fonte: MMA (2014)</t>
        </r>
      </text>
    </comment>
    <comment ref="I64" authorId="0" shapeId="0" xr:uid="{00000000-0006-0000-0A00-000006000000}">
      <text>
        <r>
          <rPr>
            <b/>
            <sz val="9"/>
            <color indexed="81"/>
            <rFont val="Tahoma"/>
            <family val="2"/>
          </rPr>
          <t>Fonte: IPCC (2006)</t>
        </r>
      </text>
    </comment>
    <comment ref="J64" authorId="0" shapeId="0" xr:uid="{00000000-0006-0000-0A00-000007000000}">
      <text>
        <r>
          <rPr>
            <b/>
            <sz val="9"/>
            <color rgb="FF000000"/>
            <rFont val="Tahoma"/>
            <family val="2"/>
          </rPr>
          <t>Fonte: IPCC (2006)</t>
        </r>
      </text>
    </comment>
    <comment ref="C65" authorId="2" shapeId="0" xr:uid="{00000000-0006-0000-0A00-000008000000}">
      <text>
        <r>
          <rPr>
            <b/>
            <sz val="9"/>
            <color rgb="FF000000"/>
            <rFont val="Tahoma"/>
            <family val="2"/>
          </rPr>
          <t>A unidade do Poder Calorífico Inferior do GNV é kcal/m³.</t>
        </r>
      </text>
    </comment>
    <comment ref="H65" authorId="0" shapeId="0" xr:uid="{00000000-0006-0000-0A00-000009000000}">
      <text>
        <r>
          <rPr>
            <b/>
            <sz val="9"/>
            <color rgb="FF000000"/>
            <rFont val="Tahoma"/>
            <family val="2"/>
          </rPr>
          <t>Fonte: MMA (2014)</t>
        </r>
      </text>
    </comment>
    <comment ref="I65" authorId="0" shapeId="0" xr:uid="{00000000-0006-0000-0A00-00000A000000}">
      <text>
        <r>
          <rPr>
            <b/>
            <sz val="9"/>
            <color rgb="FF000000"/>
            <rFont val="Tahoma"/>
            <family val="2"/>
          </rPr>
          <t>Fonte: IPCC (2006)</t>
        </r>
      </text>
    </comment>
    <comment ref="J65" authorId="0" shapeId="0" xr:uid="{00000000-0006-0000-0A00-00000B000000}">
      <text>
        <r>
          <rPr>
            <b/>
            <sz val="9"/>
            <color rgb="FF000000"/>
            <rFont val="Tahoma"/>
            <family val="2"/>
          </rPr>
          <t>Fonte: IPCC (2006)</t>
        </r>
      </text>
    </comment>
    <comment ref="H66" authorId="0" shapeId="0" xr:uid="{00000000-0006-0000-0A00-00000C000000}">
      <text>
        <r>
          <rPr>
            <b/>
            <sz val="9"/>
            <color rgb="FF000000"/>
            <rFont val="Tahoma"/>
            <family val="2"/>
          </rPr>
          <t>Fonte: IPCC (2006)</t>
        </r>
      </text>
    </comment>
    <comment ref="I66" authorId="0" shapeId="0" xr:uid="{00000000-0006-0000-0A00-00000D000000}">
      <text>
        <r>
          <rPr>
            <b/>
            <sz val="9"/>
            <color rgb="FF000000"/>
            <rFont val="Tahoma"/>
            <family val="2"/>
          </rPr>
          <t>Fonte: IPCC (2006)</t>
        </r>
      </text>
    </comment>
    <comment ref="J66" authorId="0" shapeId="0" xr:uid="{00000000-0006-0000-0A00-00000E000000}">
      <text>
        <r>
          <rPr>
            <b/>
            <sz val="9"/>
            <color rgb="FF000000"/>
            <rFont val="Tahoma"/>
            <family val="2"/>
          </rPr>
          <t>Fonte: IPCC (2006)</t>
        </r>
      </text>
    </comment>
    <comment ref="H67" authorId="0" shapeId="0" xr:uid="{00000000-0006-0000-0A00-00000F000000}">
      <text>
        <r>
          <rPr>
            <b/>
            <sz val="9"/>
            <color rgb="FF000000"/>
            <rFont val="Tahoma"/>
            <family val="2"/>
          </rPr>
          <t>Fonte: MCT (2010)</t>
        </r>
      </text>
    </comment>
    <comment ref="I67" authorId="0" shapeId="0" xr:uid="{00000000-0006-0000-0A00-000010000000}">
      <text>
        <r>
          <rPr>
            <b/>
            <sz val="9"/>
            <color rgb="FF000000"/>
            <rFont val="Tahoma"/>
            <family val="2"/>
          </rPr>
          <t>Fonte: MCT (2010)</t>
        </r>
      </text>
    </comment>
    <comment ref="J67" authorId="0" shapeId="0" xr:uid="{00000000-0006-0000-0A00-000011000000}">
      <text>
        <r>
          <rPr>
            <b/>
            <sz val="9"/>
            <color rgb="FF000000"/>
            <rFont val="Tahoma"/>
            <family val="2"/>
          </rPr>
          <t>Fonte: MCT (2010)</t>
        </r>
      </text>
    </comment>
    <comment ref="H68" authorId="0" shapeId="0" xr:uid="{00000000-0006-0000-0A00-000012000000}">
      <text>
        <r>
          <rPr>
            <b/>
            <sz val="9"/>
            <color rgb="FF000000"/>
            <rFont val="Tahoma"/>
            <family val="2"/>
          </rPr>
          <t>Fonte: MCT (2010)</t>
        </r>
      </text>
    </comment>
    <comment ref="I68" authorId="0" shapeId="0" xr:uid="{00000000-0006-0000-0A00-000013000000}">
      <text>
        <r>
          <rPr>
            <b/>
            <sz val="9"/>
            <color rgb="FF000000"/>
            <rFont val="Tahoma"/>
            <family val="2"/>
          </rPr>
          <t>Fonte: MCT (2010)</t>
        </r>
      </text>
    </comment>
    <comment ref="J68" authorId="0" shapeId="0" xr:uid="{00000000-0006-0000-0A00-000014000000}">
      <text>
        <r>
          <rPr>
            <b/>
            <sz val="9"/>
            <color rgb="FF000000"/>
            <rFont val="Tahoma"/>
            <family val="2"/>
          </rPr>
          <t>Fonte: MCT (2010)</t>
        </r>
      </text>
    </comment>
    <comment ref="H69" authorId="0" shapeId="0" xr:uid="{00000000-0006-0000-0A00-000015000000}">
      <text>
        <r>
          <rPr>
            <b/>
            <sz val="9"/>
            <color rgb="FF000000"/>
            <rFont val="Tahoma"/>
            <family val="2"/>
          </rPr>
          <t>Fonte: IPCC (2006)</t>
        </r>
      </text>
    </comment>
    <comment ref="H75" authorId="0" shapeId="0" xr:uid="{00000000-0006-0000-0A00-000016000000}">
      <text>
        <r>
          <rPr>
            <b/>
            <sz val="9"/>
            <color indexed="81"/>
            <rFont val="Tahoma"/>
            <family val="2"/>
          </rPr>
          <t>Fonte: MMA (2014)</t>
        </r>
      </text>
    </comment>
    <comment ref="H76" authorId="0" shapeId="0" xr:uid="{00000000-0006-0000-0A00-000017000000}">
      <text>
        <r>
          <rPr>
            <b/>
            <sz val="9"/>
            <color indexed="81"/>
            <rFont val="Tahoma"/>
            <family val="2"/>
          </rPr>
          <t>Fonte: MMA (2014)</t>
        </r>
      </text>
    </comment>
    <comment ref="H77" authorId="0" shapeId="0" xr:uid="{00000000-0006-0000-0A00-000018000000}">
      <text>
        <r>
          <rPr>
            <b/>
            <sz val="9"/>
            <color indexed="81"/>
            <rFont val="Tahoma"/>
            <family val="2"/>
          </rPr>
          <t>Fonte: MMA (2014)</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Ricardo Mattos e Dinato</author>
    <author>George Magalhães</author>
    <author>GVces</author>
  </authors>
  <commentList>
    <comment ref="C29" authorId="0" shapeId="0" xr:uid="{56DCB828-FC3C-6F49-8A43-B904D465F242}">
      <text>
        <r>
          <rPr>
            <sz val="10"/>
            <color rgb="FF000000"/>
            <rFont val="Calibri Light"/>
            <family val="2"/>
          </rPr>
          <t xml:space="preserve">Veículo automotor não derivado de veículo leve de passageiros com massa total máxima autorizada até 3856 kg e massa do veículo em ordem de marcha até 2720 kg, projetado para o transporte de carga ou misto ou seus derivados, ou projetado para o transporte de mais que 12 passageiros, ou ainda com características
</t>
        </r>
        <r>
          <rPr>
            <sz val="10"/>
            <color rgb="FF000000"/>
            <rFont val="Calibri Light"/>
            <family val="2"/>
          </rPr>
          <t xml:space="preserve">especiais para uso fora de estrada.
</t>
        </r>
        <r>
          <rPr>
            <sz val="10"/>
            <color rgb="FF000000"/>
            <rFont val="Calibri Light"/>
            <family val="2"/>
          </rPr>
          <t>Fonte: CONAMA (1995)</t>
        </r>
      </text>
    </comment>
    <comment ref="C30" authorId="0" shapeId="0" xr:uid="{23182F3C-FDD1-FF47-B4A6-BC41EB0D74B3}">
      <text>
        <r>
          <rPr>
            <sz val="10"/>
            <color rgb="FF000000"/>
            <rFont val="Calibri Light"/>
            <family val="2"/>
          </rPr>
          <t xml:space="preserve">Peso Bruto Total (PBT)
</t>
        </r>
        <r>
          <rPr>
            <sz val="10"/>
            <color rgb="FF000000"/>
            <rFont val="Calibri Light"/>
            <family val="2"/>
          </rPr>
          <t xml:space="preserve">entre 3,5 t e 6 t.
</t>
        </r>
        <r>
          <rPr>
            <sz val="10"/>
            <color rgb="FF000000"/>
            <rFont val="Calibri Light"/>
            <family val="2"/>
          </rPr>
          <t>Fonte: MMA (2014)</t>
        </r>
      </text>
    </comment>
    <comment ref="C31" authorId="0" shapeId="0" xr:uid="{28A8B74D-F420-1448-8F3F-B77A0AEE8C5D}">
      <text>
        <r>
          <rPr>
            <sz val="10"/>
            <color rgb="FF000000"/>
            <rFont val="Calibri Light"/>
            <family val="2"/>
          </rPr>
          <t xml:space="preserve">Peso Bruto Total (PBT)
</t>
        </r>
        <r>
          <rPr>
            <sz val="10"/>
            <color rgb="FF000000"/>
            <rFont val="Calibri Light"/>
            <family val="2"/>
          </rPr>
          <t xml:space="preserve">entre 6 t e 10 t.
</t>
        </r>
        <r>
          <rPr>
            <sz val="10"/>
            <color rgb="FF000000"/>
            <rFont val="Calibri Light"/>
            <family val="2"/>
          </rPr>
          <t>Fonte: MMA (2014)</t>
        </r>
      </text>
    </comment>
    <comment ref="C32" authorId="0" shapeId="0" xr:uid="{72EC1C38-C207-7D43-ACA8-C24EE89637F1}">
      <text>
        <r>
          <rPr>
            <sz val="10"/>
            <color rgb="FF000000"/>
            <rFont val="Calibri Light"/>
            <family val="2"/>
          </rPr>
          <t xml:space="preserve">Peso Bruto Total (PBT)
</t>
        </r>
        <r>
          <rPr>
            <sz val="10"/>
            <color rgb="FF000000"/>
            <rFont val="Calibri Light"/>
            <family val="2"/>
          </rPr>
          <t xml:space="preserve">entre 10 t e 15 t.
</t>
        </r>
        <r>
          <rPr>
            <sz val="10"/>
            <color rgb="FF000000"/>
            <rFont val="Calibri Light"/>
            <family val="2"/>
          </rPr>
          <t>Fonte: MMA (2014)</t>
        </r>
      </text>
    </comment>
    <comment ref="C33" authorId="0" shapeId="0" xr:uid="{4DF523CF-2822-2C47-A2D2-0001CCE83936}">
      <text>
        <r>
          <rPr>
            <sz val="10"/>
            <color rgb="FF000000"/>
            <rFont val="Calibri Light"/>
            <family val="2"/>
          </rPr>
          <t xml:space="preserve">Peso Bruto Total (PBT)
</t>
        </r>
        <r>
          <rPr>
            <sz val="10"/>
            <color rgb="FF000000"/>
            <rFont val="Calibri Light"/>
            <family val="2"/>
          </rPr>
          <t xml:space="preserve">acima de 15 t e Peso Bruto Total Combinado (PBTC) abaixo de 40 t.
</t>
        </r>
        <r>
          <rPr>
            <sz val="10"/>
            <color rgb="FF000000"/>
            <rFont val="Calibri Light"/>
            <family val="2"/>
          </rPr>
          <t>Fonte: MMA (2014)</t>
        </r>
      </text>
    </comment>
    <comment ref="C34" authorId="0" shapeId="0" xr:uid="{8F76FE79-87B1-BF4B-ADCE-754FB2FA3653}">
      <text>
        <r>
          <rPr>
            <sz val="10"/>
            <color rgb="FF000000"/>
            <rFont val="Calibri Light"/>
            <family val="2"/>
          </rPr>
          <t xml:space="preserve">Peso Bruto Total (PBT)
</t>
        </r>
        <r>
          <rPr>
            <sz val="10"/>
            <color rgb="FF000000"/>
            <rFont val="Calibri Light"/>
            <family val="2"/>
          </rPr>
          <t xml:space="preserve">acima de 15 t e Peso Bruto Total Combinado (PBTC) acima de 40 t.
</t>
        </r>
        <r>
          <rPr>
            <sz val="10"/>
            <color rgb="FF000000"/>
            <rFont val="Calibri Light"/>
            <family val="2"/>
          </rPr>
          <t>Fonte: MMA (2014)</t>
        </r>
      </text>
    </comment>
    <comment ref="E45" authorId="1" shapeId="0" xr:uid="{91366271-B2E3-E147-98AF-B8A48564A73C}">
      <text>
        <r>
          <rPr>
            <sz val="9"/>
            <color rgb="FF000000"/>
            <rFont val="Tahoma"/>
            <family val="2"/>
          </rPr>
          <t>Na referência adotada (MMA, 2014) alguns fatores de emissão não variam de acordo com o ano do veículo. Dessa forma, será adotado o mesmo FE para todos os anos da frota.</t>
        </r>
      </text>
    </comment>
    <comment ref="H63" authorId="0" shapeId="0" xr:uid="{3D915793-548F-CA4E-923A-8E1FB3D23D3B}">
      <text>
        <r>
          <rPr>
            <b/>
            <sz val="9"/>
            <color rgb="FF000000"/>
            <rFont val="Tahoma"/>
            <family val="2"/>
          </rPr>
          <t>Fonte: MMA (2014)</t>
        </r>
      </text>
    </comment>
    <comment ref="I63" authorId="0" shapeId="0" xr:uid="{9A88C5ED-24E9-8C47-8EA6-013C0D82B4F0}">
      <text>
        <r>
          <rPr>
            <b/>
            <sz val="9"/>
            <color rgb="FF000000"/>
            <rFont val="Tahoma"/>
            <family val="2"/>
          </rPr>
          <t>Fonte: IPCC (2006)</t>
        </r>
      </text>
    </comment>
    <comment ref="J63" authorId="0" shapeId="0" xr:uid="{4B99ABF7-0EFF-FD4C-9F00-F608BA6FF2DB}">
      <text>
        <r>
          <rPr>
            <b/>
            <sz val="9"/>
            <color rgb="FF000000"/>
            <rFont val="Tahoma"/>
            <family val="2"/>
          </rPr>
          <t>Fonte: IPCC (2006)</t>
        </r>
      </text>
    </comment>
    <comment ref="H64" authorId="0" shapeId="0" xr:uid="{AA8E5ECE-CD9D-D34F-BBCB-37697444E66E}">
      <text>
        <r>
          <rPr>
            <b/>
            <sz val="9"/>
            <color rgb="FF000000"/>
            <rFont val="Tahoma"/>
            <family val="2"/>
          </rPr>
          <t>Fonte: MMA (2014)</t>
        </r>
      </text>
    </comment>
    <comment ref="I64" authorId="0" shapeId="0" xr:uid="{5B498FD0-303E-3D4C-B630-D99A2F554211}">
      <text>
        <r>
          <rPr>
            <b/>
            <sz val="9"/>
            <color indexed="81"/>
            <rFont val="Tahoma"/>
            <family val="2"/>
          </rPr>
          <t>Fonte: IPCC (2006)</t>
        </r>
      </text>
    </comment>
    <comment ref="J64" authorId="0" shapeId="0" xr:uid="{61C6899E-9A67-AD4D-B638-4DD5B3770F42}">
      <text>
        <r>
          <rPr>
            <b/>
            <sz val="9"/>
            <color rgb="FF000000"/>
            <rFont val="Tahoma"/>
            <family val="2"/>
          </rPr>
          <t>Fonte: IPCC (2006)</t>
        </r>
      </text>
    </comment>
    <comment ref="C65" authorId="2" shapeId="0" xr:uid="{7E58E425-372A-4B45-B7A0-9FBDCEAB89B8}">
      <text>
        <r>
          <rPr>
            <b/>
            <sz val="9"/>
            <color rgb="FF000000"/>
            <rFont val="Tahoma"/>
            <family val="2"/>
          </rPr>
          <t>A unidade do Poder Calorífico Inferior do GNV é kcal/m³.</t>
        </r>
      </text>
    </comment>
    <comment ref="H65" authorId="0" shapeId="0" xr:uid="{5176386C-3B88-B74A-8A90-1DD9779663F5}">
      <text>
        <r>
          <rPr>
            <b/>
            <sz val="9"/>
            <color rgb="FF000000"/>
            <rFont val="Tahoma"/>
            <family val="2"/>
          </rPr>
          <t>Fonte: MMA (2014)</t>
        </r>
      </text>
    </comment>
    <comment ref="I65" authorId="0" shapeId="0" xr:uid="{2569D766-9EC4-C941-8A8C-3EE1145D0781}">
      <text>
        <r>
          <rPr>
            <b/>
            <sz val="9"/>
            <color rgb="FF000000"/>
            <rFont val="Tahoma"/>
            <family val="2"/>
          </rPr>
          <t>Fonte: IPCC (2006)</t>
        </r>
      </text>
    </comment>
    <comment ref="J65" authorId="0" shapeId="0" xr:uid="{E646B555-BB9C-1546-8DC6-30C4CAFADCEE}">
      <text>
        <r>
          <rPr>
            <b/>
            <sz val="9"/>
            <color rgb="FF000000"/>
            <rFont val="Tahoma"/>
            <family val="2"/>
          </rPr>
          <t>Fonte: IPCC (2006)</t>
        </r>
      </text>
    </comment>
    <comment ref="H66" authorId="0" shapeId="0" xr:uid="{D4F133F3-F979-3B4A-A330-243A0B32E259}">
      <text>
        <r>
          <rPr>
            <b/>
            <sz val="9"/>
            <color rgb="FF000000"/>
            <rFont val="Tahoma"/>
            <family val="2"/>
          </rPr>
          <t>Fonte: IPCC (2006)</t>
        </r>
      </text>
    </comment>
    <comment ref="I66" authorId="0" shapeId="0" xr:uid="{562F8309-19A5-CB41-B76A-41B725EC4A85}">
      <text>
        <r>
          <rPr>
            <b/>
            <sz val="9"/>
            <color rgb="FF000000"/>
            <rFont val="Tahoma"/>
            <family val="2"/>
          </rPr>
          <t>Fonte: IPCC (2006)</t>
        </r>
      </text>
    </comment>
    <comment ref="J66" authorId="0" shapeId="0" xr:uid="{0318541C-CD68-BD4F-97E2-3632D133DF12}">
      <text>
        <r>
          <rPr>
            <b/>
            <sz val="9"/>
            <color rgb="FF000000"/>
            <rFont val="Tahoma"/>
            <family val="2"/>
          </rPr>
          <t>Fonte: IPCC (2006)</t>
        </r>
      </text>
    </comment>
    <comment ref="H67" authorId="0" shapeId="0" xr:uid="{DB09BA02-CD8E-5F45-8D05-B5DC19A9E86C}">
      <text>
        <r>
          <rPr>
            <b/>
            <sz val="9"/>
            <color rgb="FF000000"/>
            <rFont val="Tahoma"/>
            <family val="2"/>
          </rPr>
          <t>Fonte: MCT (2010)</t>
        </r>
      </text>
    </comment>
    <comment ref="I67" authorId="0" shapeId="0" xr:uid="{9EF7F4EE-B926-D749-828C-05B2545E0860}">
      <text>
        <r>
          <rPr>
            <b/>
            <sz val="9"/>
            <color rgb="FF000000"/>
            <rFont val="Tahoma"/>
            <family val="2"/>
          </rPr>
          <t>Fonte: MCT (2010)</t>
        </r>
      </text>
    </comment>
    <comment ref="J67" authorId="0" shapeId="0" xr:uid="{63997853-9597-394A-9173-6959BA74204B}">
      <text>
        <r>
          <rPr>
            <b/>
            <sz val="9"/>
            <color rgb="FF000000"/>
            <rFont val="Tahoma"/>
            <family val="2"/>
          </rPr>
          <t>Fonte: MCT (2010)</t>
        </r>
      </text>
    </comment>
    <comment ref="H68" authorId="0" shapeId="0" xr:uid="{2FFC94F1-23F2-1642-80F3-570948500A2E}">
      <text>
        <r>
          <rPr>
            <b/>
            <sz val="9"/>
            <color rgb="FF000000"/>
            <rFont val="Tahoma"/>
            <family val="2"/>
          </rPr>
          <t>Fonte: MCT (2010)</t>
        </r>
      </text>
    </comment>
    <comment ref="I68" authorId="0" shapeId="0" xr:uid="{893A53D7-1A6C-9447-902F-6CED258AE3CE}">
      <text>
        <r>
          <rPr>
            <b/>
            <sz val="9"/>
            <color rgb="FF000000"/>
            <rFont val="Tahoma"/>
            <family val="2"/>
          </rPr>
          <t>Fonte: MCT (2010)</t>
        </r>
      </text>
    </comment>
    <comment ref="J68" authorId="0" shapeId="0" xr:uid="{E8D0B6EC-B0DE-7849-81D8-B299178A5078}">
      <text>
        <r>
          <rPr>
            <b/>
            <sz val="9"/>
            <color rgb="FF000000"/>
            <rFont val="Tahoma"/>
            <family val="2"/>
          </rPr>
          <t>Fonte: MCT (2010)</t>
        </r>
      </text>
    </comment>
    <comment ref="H69" authorId="0" shapeId="0" xr:uid="{D100BEEC-EFAD-FB4F-A126-3C0BB16B8B07}">
      <text>
        <r>
          <rPr>
            <b/>
            <sz val="9"/>
            <color rgb="FF000000"/>
            <rFont val="Tahoma"/>
            <family val="2"/>
          </rPr>
          <t>Fonte: IPCC (2006)</t>
        </r>
      </text>
    </comment>
    <comment ref="H75" authorId="0" shapeId="0" xr:uid="{2D5471DB-603F-1E48-B1C9-65511619DEA3}">
      <text>
        <r>
          <rPr>
            <b/>
            <sz val="9"/>
            <color indexed="81"/>
            <rFont val="Tahoma"/>
            <family val="2"/>
          </rPr>
          <t>Fonte: MMA (2014)</t>
        </r>
      </text>
    </comment>
    <comment ref="H76" authorId="0" shapeId="0" xr:uid="{49E83ED0-88B3-C143-BB22-82317DB15520}">
      <text>
        <r>
          <rPr>
            <b/>
            <sz val="9"/>
            <color indexed="81"/>
            <rFont val="Tahoma"/>
            <family val="2"/>
          </rPr>
          <t>Fonte: MMA (2014)</t>
        </r>
      </text>
    </comment>
    <comment ref="H77" authorId="0" shapeId="0" xr:uid="{E219FE31-B1A2-D34A-AB1C-F9811704817E}">
      <text>
        <r>
          <rPr>
            <b/>
            <sz val="9"/>
            <color indexed="81"/>
            <rFont val="Tahoma"/>
            <family val="2"/>
          </rPr>
          <t>Fonte: MMA (2014)</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Ricardo Mattos e Dinato</author>
    <author>George Magalhães</author>
    <author>GVces</author>
  </authors>
  <commentList>
    <comment ref="C35" authorId="0" shapeId="0" xr:uid="{23871069-6531-464C-8856-33087A153830}">
      <text>
        <r>
          <rPr>
            <sz val="10"/>
            <color rgb="FF000000"/>
            <rFont val="Calibri Light"/>
            <family val="2"/>
          </rPr>
          <t xml:space="preserve">Veículo automotor de transporte coletivo com capacidade para até vinte passageiros.
</t>
        </r>
        <r>
          <rPr>
            <sz val="10"/>
            <color rgb="FF000000"/>
            <rFont val="Calibri Light"/>
            <family val="2"/>
          </rPr>
          <t>Fonte: MC (2008)</t>
        </r>
      </text>
    </comment>
    <comment ref="C36" authorId="0" shapeId="0" xr:uid="{AFEE4C0E-D238-5747-8CA0-3C921DA2C065}">
      <text>
        <r>
          <rPr>
            <sz val="10"/>
            <color rgb="FF000000"/>
            <rFont val="Calibri Light"/>
            <family val="2"/>
          </rPr>
          <t xml:space="preserve">Veículo automotor de transporte coletivo com capacidade para mais de vinte passageiros, ainda que, em virtude de adaptações com vista à maior comodidade destes, transporte número menor.
</t>
        </r>
        <r>
          <rPr>
            <sz val="10"/>
            <color rgb="FF000000"/>
            <rFont val="Calibri Light"/>
            <family val="2"/>
          </rPr>
          <t xml:space="preserve">Fonte: MC (2008)
</t>
        </r>
        <r>
          <rPr>
            <sz val="10"/>
            <color rgb="FF000000"/>
            <rFont val="Calibri Light"/>
            <family val="2"/>
          </rPr>
          <t xml:space="preserve">Destinado ao transporte público coletivo rodoviário de passageiros exclusivamente sentados, para percursos de médias e longas distâncias.
</t>
        </r>
        <r>
          <rPr>
            <sz val="10"/>
            <color rgb="FF000000"/>
            <rFont val="Calibri Light"/>
            <family val="2"/>
          </rPr>
          <t>Fonte: CONTRAN (2013)</t>
        </r>
      </text>
    </comment>
    <comment ref="C37" authorId="0" shapeId="0" xr:uid="{3A8417ED-753A-5746-A439-80FB0426123E}">
      <text>
        <r>
          <rPr>
            <sz val="10"/>
            <color rgb="FF000000"/>
            <rFont val="Calibri Light"/>
            <family val="2"/>
          </rPr>
          <t xml:space="preserve">Veículo automotor de transporte coletivo com capacidade para mais de vinte passageiros, ainda que, em virtude de adaptações com vista à maior comodidade destes, transporte número menor.  Fonte: MC (2008)
</t>
        </r>
        <r>
          <rPr>
            <sz val="10"/>
            <color rgb="FF000000"/>
            <rFont val="Calibri Light"/>
            <family val="2"/>
          </rPr>
          <t xml:space="preserve">Destinado ao transporte público coletivo de passageiros em centros urbanos, com assentos para passageiros e provisão para passageiros em pé conforme o tipo de serviço.
</t>
        </r>
        <r>
          <rPr>
            <sz val="10"/>
            <color rgb="FF000000"/>
            <rFont val="Calibri Light"/>
            <family val="2"/>
          </rPr>
          <t>Fonte: CONTRAN (2013)</t>
        </r>
      </text>
    </comment>
    <comment ref="E49" authorId="1" shapeId="0" xr:uid="{26D3364D-81D1-5945-94FC-D2222F40892D}">
      <text>
        <r>
          <rPr>
            <sz val="9"/>
            <color rgb="FF000000"/>
            <rFont val="Tahoma"/>
            <family val="2"/>
          </rPr>
          <t>Na referência adotada (MMA, 2014) alguns fatores de emissão não variam de acordo com o ano do veículo. Dessa forma, será adotado o mesmo FE para todos os anos da frota.</t>
        </r>
      </text>
    </comment>
    <comment ref="H68" authorId="0" shapeId="0" xr:uid="{62E7948E-EA52-364D-AE29-E9B4320DC2A3}">
      <text>
        <r>
          <rPr>
            <b/>
            <sz val="9"/>
            <color rgb="FF000000"/>
            <rFont val="Tahoma"/>
            <family val="2"/>
          </rPr>
          <t>Fonte: MMA (2014)</t>
        </r>
      </text>
    </comment>
    <comment ref="I68" authorId="0" shapeId="0" xr:uid="{CE636C86-84B6-524E-9527-33C36413FCBD}">
      <text>
        <r>
          <rPr>
            <b/>
            <sz val="9"/>
            <color rgb="FF000000"/>
            <rFont val="Tahoma"/>
            <family val="2"/>
          </rPr>
          <t>Fonte: IPCC (2006)</t>
        </r>
      </text>
    </comment>
    <comment ref="J68" authorId="0" shapeId="0" xr:uid="{8E59DAA1-93D8-954C-B3B7-53C92842BB52}">
      <text>
        <r>
          <rPr>
            <b/>
            <sz val="9"/>
            <color rgb="FF000000"/>
            <rFont val="Tahoma"/>
            <family val="2"/>
          </rPr>
          <t>Fonte: IPCC (2006)</t>
        </r>
      </text>
    </comment>
    <comment ref="H69" authorId="0" shapeId="0" xr:uid="{1870C396-51F5-584D-8E64-24523AF0DA64}">
      <text>
        <r>
          <rPr>
            <b/>
            <sz val="9"/>
            <color rgb="FF000000"/>
            <rFont val="Tahoma"/>
            <family val="2"/>
          </rPr>
          <t>Fonte: MMA (2014)</t>
        </r>
      </text>
    </comment>
    <comment ref="I69" authorId="0" shapeId="0" xr:uid="{836BDA0A-075D-D948-860D-29A000327F75}">
      <text>
        <r>
          <rPr>
            <b/>
            <sz val="9"/>
            <color indexed="81"/>
            <rFont val="Tahoma"/>
            <family val="2"/>
          </rPr>
          <t>Fonte: IPCC (2006)</t>
        </r>
      </text>
    </comment>
    <comment ref="J69" authorId="0" shapeId="0" xr:uid="{4CE18808-DEDA-8E49-9B3C-FB21FA3AADA0}">
      <text>
        <r>
          <rPr>
            <b/>
            <sz val="9"/>
            <color rgb="FF000000"/>
            <rFont val="Tahoma"/>
            <family val="2"/>
          </rPr>
          <t>Fonte: IPCC (2006)</t>
        </r>
      </text>
    </comment>
    <comment ref="C70" authorId="2" shapeId="0" xr:uid="{B953085D-6965-4042-89AD-AEDE2909D1B3}">
      <text>
        <r>
          <rPr>
            <b/>
            <sz val="9"/>
            <color rgb="FF000000"/>
            <rFont val="Tahoma"/>
            <family val="2"/>
          </rPr>
          <t>A unidade do Poder Calorífico Inferior do GNV é kcal/m³.</t>
        </r>
      </text>
    </comment>
    <comment ref="H70" authorId="0" shapeId="0" xr:uid="{04608355-DD9C-6046-B9B4-0E66FBA90D01}">
      <text>
        <r>
          <rPr>
            <b/>
            <sz val="9"/>
            <color rgb="FF000000"/>
            <rFont val="Tahoma"/>
            <family val="2"/>
          </rPr>
          <t>Fonte: MMA (2014)</t>
        </r>
      </text>
    </comment>
    <comment ref="I70" authorId="0" shapeId="0" xr:uid="{B71B92AF-4B1F-6D4F-8319-6993710B5944}">
      <text>
        <r>
          <rPr>
            <b/>
            <sz val="9"/>
            <color rgb="FF000000"/>
            <rFont val="Tahoma"/>
            <family val="2"/>
          </rPr>
          <t>Fonte: IPCC (2006)</t>
        </r>
      </text>
    </comment>
    <comment ref="J70" authorId="0" shapeId="0" xr:uid="{6BAFABBA-E829-4544-870A-B35FA15FC2B5}">
      <text>
        <r>
          <rPr>
            <b/>
            <sz val="9"/>
            <color rgb="FF000000"/>
            <rFont val="Tahoma"/>
            <family val="2"/>
          </rPr>
          <t>Fonte: IPCC (2006)</t>
        </r>
      </text>
    </comment>
    <comment ref="H71" authorId="0" shapeId="0" xr:uid="{DAD5C6AA-3C14-1245-890F-7A298916A5C7}">
      <text>
        <r>
          <rPr>
            <b/>
            <sz val="9"/>
            <color rgb="FF000000"/>
            <rFont val="Tahoma"/>
            <family val="2"/>
          </rPr>
          <t>Fonte: IPCC (2006)</t>
        </r>
      </text>
    </comment>
    <comment ref="I71" authorId="0" shapeId="0" xr:uid="{07E2BFD8-6DD7-BB4D-A2C2-C346807AE2F8}">
      <text>
        <r>
          <rPr>
            <b/>
            <sz val="9"/>
            <color rgb="FF000000"/>
            <rFont val="Tahoma"/>
            <family val="2"/>
          </rPr>
          <t>Fonte: IPCC (2006)</t>
        </r>
      </text>
    </comment>
    <comment ref="J71" authorId="0" shapeId="0" xr:uid="{196FEF9E-0CF2-CC45-B038-A2C9991FAA9E}">
      <text>
        <r>
          <rPr>
            <b/>
            <sz val="9"/>
            <color rgb="FF000000"/>
            <rFont val="Tahoma"/>
            <family val="2"/>
          </rPr>
          <t>Fonte: IPCC (2006)</t>
        </r>
      </text>
    </comment>
    <comment ref="H72" authorId="0" shapeId="0" xr:uid="{22F6E3CA-8A94-4745-9F16-212CE3023164}">
      <text>
        <r>
          <rPr>
            <b/>
            <sz val="9"/>
            <color rgb="FF000000"/>
            <rFont val="Tahoma"/>
            <family val="2"/>
          </rPr>
          <t>Fonte: MCT (2010)</t>
        </r>
      </text>
    </comment>
    <comment ref="I72" authorId="0" shapeId="0" xr:uid="{CF5A0719-84BF-2546-9506-CAB757FD2999}">
      <text>
        <r>
          <rPr>
            <b/>
            <sz val="9"/>
            <color rgb="FF000000"/>
            <rFont val="Tahoma"/>
            <family val="2"/>
          </rPr>
          <t>Fonte: MCT (2010)</t>
        </r>
      </text>
    </comment>
    <comment ref="J72" authorId="0" shapeId="0" xr:uid="{8EBE7FDA-6D94-9948-A35C-6445AF910388}">
      <text>
        <r>
          <rPr>
            <b/>
            <sz val="9"/>
            <color rgb="FF000000"/>
            <rFont val="Tahoma"/>
            <family val="2"/>
          </rPr>
          <t>Fonte: MCT (2010)</t>
        </r>
      </text>
    </comment>
    <comment ref="H73" authorId="0" shapeId="0" xr:uid="{7F010C3D-6EFD-0148-881D-D67C6011B105}">
      <text>
        <r>
          <rPr>
            <b/>
            <sz val="9"/>
            <color rgb="FF000000"/>
            <rFont val="Tahoma"/>
            <family val="2"/>
          </rPr>
          <t>Fonte: MCT (2010)</t>
        </r>
      </text>
    </comment>
    <comment ref="I73" authorId="0" shapeId="0" xr:uid="{90728B36-DF75-BA42-90F5-346FCC7E559E}">
      <text>
        <r>
          <rPr>
            <b/>
            <sz val="9"/>
            <color rgb="FF000000"/>
            <rFont val="Tahoma"/>
            <family val="2"/>
          </rPr>
          <t>Fonte: MCT (2010)</t>
        </r>
      </text>
    </comment>
    <comment ref="J73" authorId="0" shapeId="0" xr:uid="{11D56C39-11A6-B745-B9BF-5507181DF7E9}">
      <text>
        <r>
          <rPr>
            <b/>
            <sz val="9"/>
            <color rgb="FF000000"/>
            <rFont val="Tahoma"/>
            <family val="2"/>
          </rPr>
          <t>Fonte: MCT (2010)</t>
        </r>
      </text>
    </comment>
    <comment ref="H74" authorId="0" shapeId="0" xr:uid="{488AF648-6512-3C4F-8257-1F01797B3A38}">
      <text>
        <r>
          <rPr>
            <b/>
            <sz val="9"/>
            <color rgb="FF000000"/>
            <rFont val="Tahoma"/>
            <family val="2"/>
          </rPr>
          <t>Fonte: IPCC (2006)</t>
        </r>
      </text>
    </comment>
    <comment ref="H80" authorId="0" shapeId="0" xr:uid="{95C34739-98BB-0C49-AC98-82DB359EB7FD}">
      <text>
        <r>
          <rPr>
            <b/>
            <sz val="9"/>
            <color indexed="81"/>
            <rFont val="Tahoma"/>
            <family val="2"/>
          </rPr>
          <t>Fonte: MMA (2014)</t>
        </r>
      </text>
    </comment>
    <comment ref="H81" authorId="0" shapeId="0" xr:uid="{075EEAB7-4957-624C-8BEB-D1FCE3B4C20A}">
      <text>
        <r>
          <rPr>
            <b/>
            <sz val="9"/>
            <color indexed="81"/>
            <rFont val="Tahoma"/>
            <family val="2"/>
          </rPr>
          <t>Fonte: MMA (2014)</t>
        </r>
      </text>
    </comment>
    <comment ref="H82" authorId="0" shapeId="0" xr:uid="{3C940C92-47D0-254B-8C1D-7F2D9E4C5808}">
      <text>
        <r>
          <rPr>
            <b/>
            <sz val="9"/>
            <color indexed="81"/>
            <rFont val="Tahoma"/>
            <family val="2"/>
          </rPr>
          <t>Fonte: MMA (2014)</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C19" authorId="0" shapeId="0" xr:uid="{2359CA00-5EC2-7543-A195-4E53A5D647E3}">
      <text>
        <r>
          <rPr>
            <b/>
            <sz val="8"/>
            <color rgb="FF000000"/>
            <rFont val="Tahoma"/>
            <family val="2"/>
          </rPr>
          <t>Stationary machines for routine housekeeping tasks e.g. cookers / fridges</t>
        </r>
      </text>
    </comment>
    <comment ref="C29" authorId="0" shapeId="0" xr:uid="{85254958-0EA5-7346-8587-B8D474FE6D27}">
      <text>
        <r>
          <rPr>
            <b/>
            <sz val="8"/>
            <color rgb="FF000000"/>
            <rFont val="Tahoma"/>
            <family val="2"/>
          </rPr>
          <t>An opaque plastic commonly used for milk bottles</t>
        </r>
      </text>
    </comment>
    <comment ref="C30" authorId="0" shapeId="0" xr:uid="{D255BD20-5910-FD46-A8C7-35770AC4F67D}">
      <text>
        <r>
          <rPr>
            <b/>
            <sz val="8"/>
            <color rgb="FF000000"/>
            <rFont val="Tahoma"/>
            <family val="2"/>
          </rPr>
          <t>Packaging material (foils, plastic bags etc.)</t>
        </r>
      </text>
    </comment>
    <comment ref="C31" authorId="0" shapeId="0" xr:uid="{5967BF3C-B6F2-6C47-981F-D1520F2D95A9}">
      <text>
        <r>
          <rPr>
            <b/>
            <sz val="8"/>
            <color rgb="FF000000"/>
            <rFont val="Tahoma"/>
            <family val="2"/>
          </rPr>
          <t>For example clear drink bottles/ sandwich wrappers</t>
        </r>
      </text>
    </comment>
    <comment ref="C32" authorId="0" shapeId="0" xr:uid="{1E0A0758-4866-A845-B157-93BDB874013A}">
      <text>
        <r>
          <rPr>
            <b/>
            <sz val="8"/>
            <color rgb="FF000000"/>
            <rFont val="Tahoma"/>
            <family val="2"/>
          </rPr>
          <t>Mainly used in injection moulding i.e. for cutlery, containers, and automotive parts</t>
        </r>
      </text>
    </comment>
    <comment ref="C33" authorId="0" shapeId="0" xr:uid="{9E4C1221-3944-014E-A4C0-3903B0B1152B}">
      <text>
        <r>
          <rPr>
            <b/>
            <sz val="8"/>
            <color rgb="FF000000"/>
            <rFont val="Tahoma"/>
            <family val="2"/>
          </rPr>
          <t>Commonly used for foam based insulation and cheap disposable items i.e. protective packaging and disposable cutlery</t>
        </r>
      </text>
    </comment>
    <comment ref="C34" authorId="0" shapeId="0" xr:uid="{8B68E896-130D-9740-B866-99E7A43CCB29}">
      <text>
        <r>
          <rPr>
            <b/>
            <sz val="8"/>
            <color rgb="FF000000"/>
            <rFont val="Tahoma"/>
            <family val="2"/>
          </rPr>
          <t>Widespread use in building, transport, packaging, electrical/electronic and healthcare applications</t>
        </r>
      </text>
    </comment>
    <comment ref="C35" authorId="0" shapeId="0" xr:uid="{03B2D403-CCC9-154A-ABE6-B693ED33699B}">
      <text>
        <r>
          <rPr>
            <b/>
            <sz val="8"/>
            <color rgb="FF000000"/>
            <rFont val="Tahoma"/>
            <family val="2"/>
          </rPr>
          <t>Average: 78% corrugate and 22% cartonboard</t>
        </r>
      </text>
    </comment>
    <comment ref="C36" authorId="0" shapeId="0" xr:uid="{E1EA2D16-E901-0649-816F-73508C1120CC}">
      <text>
        <r>
          <rPr>
            <b/>
            <sz val="8"/>
            <color rgb="FF000000"/>
            <rFont val="Tahoma"/>
            <family val="2"/>
          </rPr>
          <t>Assumes 25% paper, 75% board</t>
        </r>
      </text>
    </comment>
    <comment ref="C38" authorId="0" shapeId="0" xr:uid="{A05CB6FD-7F35-0A4B-9552-BB1D4026726F}">
      <text>
        <r>
          <rPr>
            <b/>
            <sz val="8"/>
            <color rgb="FF000000"/>
            <rFont val="Tahoma"/>
            <family val="2"/>
          </rPr>
          <t>Waste generated by businesses or industrial operations</t>
        </r>
      </text>
    </comment>
    <comment ref="E57" authorId="0" shapeId="0" xr:uid="{B03935AF-93D1-CB4A-BB3C-DE08449E579E}">
      <text>
        <r>
          <rPr>
            <b/>
            <sz val="8"/>
            <color rgb="FF000000"/>
            <rFont val="Tahoma"/>
            <family val="2"/>
          </rPr>
          <t>Energy is recovered from the waste through incineration and subsequent generation of electricity.</t>
        </r>
      </text>
    </comment>
    <comment ref="E58" authorId="0" shapeId="0" xr:uid="{30DB06DD-4370-4D4B-859A-E96CE289FE13}">
      <text>
        <r>
          <rPr>
            <b/>
            <sz val="8"/>
            <color rgb="FF000000"/>
            <rFont val="Tahoma"/>
            <family val="2"/>
          </rPr>
          <t>kg CO₂e per unit</t>
        </r>
      </text>
    </comment>
    <comment ref="C59" authorId="0" shapeId="0" xr:uid="{61B4590A-CE01-E747-ACB6-88ADB03CD34E}">
      <text>
        <r>
          <rPr>
            <b/>
            <sz val="8"/>
            <color rgb="FF000000"/>
            <rFont val="Tahoma"/>
            <family val="2"/>
          </rPr>
          <t>Stationary machines for routine housekeeping tasks e.g. cookers / fridges</t>
        </r>
      </text>
    </comment>
    <comment ref="C69" authorId="0" shapeId="0" xr:uid="{B14CD4BA-6385-A649-9CC6-6FBF4FAD55E3}">
      <text>
        <r>
          <rPr>
            <b/>
            <sz val="8"/>
            <color rgb="FF000000"/>
            <rFont val="Tahoma"/>
            <family val="2"/>
          </rPr>
          <t>An opaque plastic commonly used for milk bottles</t>
        </r>
      </text>
    </comment>
    <comment ref="C70" authorId="0" shapeId="0" xr:uid="{1727ED45-FE05-524D-A7C0-B20FE0FBCB88}">
      <text>
        <r>
          <rPr>
            <b/>
            <sz val="8"/>
            <color rgb="FF000000"/>
            <rFont val="Tahoma"/>
            <family val="2"/>
          </rPr>
          <t>Packaging material (foils, plastic bags etc.)</t>
        </r>
      </text>
    </comment>
    <comment ref="C71" authorId="0" shapeId="0" xr:uid="{284223EC-FD3B-EC41-8F7B-30E2DC00403A}">
      <text>
        <r>
          <rPr>
            <b/>
            <sz val="8"/>
            <color rgb="FF000000"/>
            <rFont val="Tahoma"/>
            <family val="2"/>
          </rPr>
          <t>For example clear drink bottles/ sandwich wrappers</t>
        </r>
      </text>
    </comment>
    <comment ref="C72" authorId="0" shapeId="0" xr:uid="{0424E5DE-2E46-9A4E-B2EE-0BAD882F6CD7}">
      <text>
        <r>
          <rPr>
            <b/>
            <sz val="8"/>
            <color rgb="FF000000"/>
            <rFont val="Tahoma"/>
            <family val="2"/>
          </rPr>
          <t>Mainly used in injection moulding i.e. for cutlery, containers, and automotive parts</t>
        </r>
      </text>
    </comment>
    <comment ref="C73" authorId="0" shapeId="0" xr:uid="{F2CF56F5-DF91-E44D-91AA-AF6F659A2130}">
      <text>
        <r>
          <rPr>
            <b/>
            <sz val="8"/>
            <color rgb="FF000000"/>
            <rFont val="Tahoma"/>
            <family val="2"/>
          </rPr>
          <t>Commonly used for foam based insulation and cheap disposable items i.e. protective packaging and disposable cutlery</t>
        </r>
      </text>
    </comment>
    <comment ref="C74" authorId="0" shapeId="0" xr:uid="{8E57AE82-B35E-194D-BD35-31CDC82781F8}">
      <text>
        <r>
          <rPr>
            <b/>
            <sz val="8"/>
            <color rgb="FF000000"/>
            <rFont val="Tahoma"/>
            <family val="2"/>
          </rPr>
          <t>Widespread use in building, transport, packaging, electrical/electronic and healthcare applications</t>
        </r>
      </text>
    </comment>
    <comment ref="C75" authorId="0" shapeId="0" xr:uid="{DC4A6D47-8D4F-F041-8E92-334A8BCC51DE}">
      <text>
        <r>
          <rPr>
            <b/>
            <sz val="8"/>
            <color rgb="FF000000"/>
            <rFont val="Tahoma"/>
            <family val="2"/>
          </rPr>
          <t>Average: 78% corrugate and 22% cartonboard</t>
        </r>
      </text>
    </comment>
    <comment ref="C76" authorId="0" shapeId="0" xr:uid="{482EF799-1AAB-6C4F-8C29-3EBE25B48084}">
      <text>
        <r>
          <rPr>
            <b/>
            <sz val="8"/>
            <color rgb="FF000000"/>
            <rFont val="Tahoma"/>
            <family val="2"/>
          </rPr>
          <t>Assumes 25% paper, 75% board</t>
        </r>
      </text>
    </comment>
    <comment ref="C78" authorId="0" shapeId="0" xr:uid="{EA646410-90C8-9344-8347-29DDD5C423EA}">
      <text>
        <r>
          <rPr>
            <b/>
            <sz val="8"/>
            <color rgb="FF000000"/>
            <rFont val="Tahoma"/>
            <family val="2"/>
          </rPr>
          <t>Waste generated by businesses or industrial operations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C19" authorId="0" shapeId="0" xr:uid="{72F0135B-A2AF-1D4D-BD95-B5FED53F8CD9}">
      <text>
        <r>
          <rPr>
            <b/>
            <sz val="8"/>
            <color rgb="FF000000"/>
            <rFont val="Tahoma"/>
            <family val="2"/>
          </rPr>
          <t>Stationary machines for routine housekeeping tasks e.g. cookers / fridges</t>
        </r>
      </text>
    </comment>
    <comment ref="C29" authorId="0" shapeId="0" xr:uid="{A5F13C05-8688-BA41-9591-05B68C0868F0}">
      <text>
        <r>
          <rPr>
            <b/>
            <sz val="8"/>
            <color rgb="FF000000"/>
            <rFont val="Tahoma"/>
            <family val="2"/>
          </rPr>
          <t>An opaque plastic commonly used for milk bottles</t>
        </r>
      </text>
    </comment>
    <comment ref="C30" authorId="0" shapeId="0" xr:uid="{CBDD067D-804C-0C4E-B290-520265AEDB25}">
      <text>
        <r>
          <rPr>
            <b/>
            <sz val="8"/>
            <color rgb="FF000000"/>
            <rFont val="Tahoma"/>
            <family val="2"/>
          </rPr>
          <t>Packaging material (foils, plastic bags etc.)</t>
        </r>
      </text>
    </comment>
    <comment ref="C31" authorId="0" shapeId="0" xr:uid="{DE81F33E-1824-E040-ACB4-6CC07ECCAD1F}">
      <text>
        <r>
          <rPr>
            <b/>
            <sz val="8"/>
            <color rgb="FF000000"/>
            <rFont val="Tahoma"/>
            <family val="2"/>
          </rPr>
          <t>For example clear drink bottles/ sandwich wrappers</t>
        </r>
      </text>
    </comment>
    <comment ref="C32" authorId="0" shapeId="0" xr:uid="{F0F4F36D-8800-0C4D-964A-DA2E00A4099F}">
      <text>
        <r>
          <rPr>
            <b/>
            <sz val="8"/>
            <color rgb="FF000000"/>
            <rFont val="Tahoma"/>
            <family val="2"/>
          </rPr>
          <t>Mainly used in injection moulding i.e. for cutlery, containers, and automotive parts</t>
        </r>
      </text>
    </comment>
    <comment ref="C33" authorId="0" shapeId="0" xr:uid="{540D04D3-D007-7644-8063-B1216BDB952A}">
      <text>
        <r>
          <rPr>
            <b/>
            <sz val="8"/>
            <color rgb="FF000000"/>
            <rFont val="Tahoma"/>
            <family val="2"/>
          </rPr>
          <t>Commonly used for foam based insulation and cheap disposable items i.e. protective packaging and disposable cutlery</t>
        </r>
      </text>
    </comment>
    <comment ref="C34" authorId="0" shapeId="0" xr:uid="{F27CFD2F-4AAE-CA4A-89DF-315D20E03A3F}">
      <text>
        <r>
          <rPr>
            <b/>
            <sz val="8"/>
            <color rgb="FF000000"/>
            <rFont val="Tahoma"/>
            <family val="2"/>
          </rPr>
          <t>Widespread use in building, transport, packaging, electrical/electronic and healthcare applications</t>
        </r>
      </text>
    </comment>
    <comment ref="C35" authorId="0" shapeId="0" xr:uid="{A11F21DD-4DC1-724F-AA1A-A8237EEF1A3C}">
      <text>
        <r>
          <rPr>
            <b/>
            <sz val="8"/>
            <color rgb="FF000000"/>
            <rFont val="Tahoma"/>
            <family val="2"/>
          </rPr>
          <t>Average: 78% corrugate and 22% cartonboard</t>
        </r>
      </text>
    </comment>
    <comment ref="C36" authorId="0" shapeId="0" xr:uid="{BD3105FD-6B22-0048-B94A-08F0D676B605}">
      <text>
        <r>
          <rPr>
            <b/>
            <sz val="8"/>
            <color rgb="FF000000"/>
            <rFont val="Tahoma"/>
            <family val="2"/>
          </rPr>
          <t>Assumes 25% paper, 75% board</t>
        </r>
      </text>
    </comment>
    <comment ref="C38" authorId="0" shapeId="0" xr:uid="{1ED4D1D6-39EA-D749-B459-29BCBC2B51AC}">
      <text>
        <r>
          <rPr>
            <b/>
            <sz val="8"/>
            <color rgb="FF000000"/>
            <rFont val="Tahoma"/>
            <family val="2"/>
          </rPr>
          <t>Waste generated by businesses or industrial operations</t>
        </r>
      </text>
    </comment>
    <comment ref="E57" authorId="0" shapeId="0" xr:uid="{588B5F2F-10AD-074C-87F9-7770ADE604B1}">
      <text>
        <r>
          <rPr>
            <b/>
            <sz val="8"/>
            <color rgb="FF000000"/>
            <rFont val="Tahoma"/>
            <family val="2"/>
          </rPr>
          <t>Energy is recovered from the waste through incineration and subsequent generation of electricity.</t>
        </r>
      </text>
    </comment>
    <comment ref="E58" authorId="0" shapeId="0" xr:uid="{C0F82439-8B88-AD49-896A-AA654B985302}">
      <text>
        <r>
          <rPr>
            <b/>
            <sz val="8"/>
            <color rgb="FF000000"/>
            <rFont val="Tahoma"/>
            <family val="2"/>
          </rPr>
          <t>kg CO₂e per unit</t>
        </r>
      </text>
    </comment>
    <comment ref="C59" authorId="0" shapeId="0" xr:uid="{A325698F-2CFB-6C44-9B92-1C6CA4F82CF2}">
      <text>
        <r>
          <rPr>
            <b/>
            <sz val="8"/>
            <color rgb="FF000000"/>
            <rFont val="Tahoma"/>
            <family val="2"/>
          </rPr>
          <t>Stationary machines for routine housekeeping tasks e.g. cookers / fridges</t>
        </r>
      </text>
    </comment>
    <comment ref="C69" authorId="0" shapeId="0" xr:uid="{845E3CC3-3965-634F-A53E-1284C3214E1F}">
      <text>
        <r>
          <rPr>
            <b/>
            <sz val="8"/>
            <color rgb="FF000000"/>
            <rFont val="Tahoma"/>
            <family val="2"/>
          </rPr>
          <t>An opaque plastic commonly used for milk bottles</t>
        </r>
      </text>
    </comment>
    <comment ref="C70" authorId="0" shapeId="0" xr:uid="{59EA954D-64D7-6548-BB23-0AE4E70B134B}">
      <text>
        <r>
          <rPr>
            <b/>
            <sz val="8"/>
            <color rgb="FF000000"/>
            <rFont val="Tahoma"/>
            <family val="2"/>
          </rPr>
          <t>Packaging material (foils, plastic bags etc.)</t>
        </r>
      </text>
    </comment>
    <comment ref="C71" authorId="0" shapeId="0" xr:uid="{1E326FA2-0481-3F45-A502-5118EB0D13DD}">
      <text>
        <r>
          <rPr>
            <b/>
            <sz val="8"/>
            <color rgb="FF000000"/>
            <rFont val="Tahoma"/>
            <family val="2"/>
          </rPr>
          <t>For example clear drink bottles/ sandwich wrappers</t>
        </r>
      </text>
    </comment>
    <comment ref="C72" authorId="0" shapeId="0" xr:uid="{944C55DC-471E-4D43-A14C-CCA36B5CE0EC}">
      <text>
        <r>
          <rPr>
            <b/>
            <sz val="8"/>
            <color rgb="FF000000"/>
            <rFont val="Tahoma"/>
            <family val="2"/>
          </rPr>
          <t>Mainly used in injection moulding i.e. for cutlery, containers, and automotive parts</t>
        </r>
      </text>
    </comment>
    <comment ref="C73" authorId="0" shapeId="0" xr:uid="{D59340DC-EDE2-B043-A565-6E9304C2A7C8}">
      <text>
        <r>
          <rPr>
            <b/>
            <sz val="8"/>
            <color rgb="FF000000"/>
            <rFont val="Tahoma"/>
            <family val="2"/>
          </rPr>
          <t>Commonly used for foam based insulation and cheap disposable items i.e. protective packaging and disposable cutlery</t>
        </r>
      </text>
    </comment>
    <comment ref="C74" authorId="0" shapeId="0" xr:uid="{F0351776-E4A8-D84A-ABAE-7BC785F16425}">
      <text>
        <r>
          <rPr>
            <b/>
            <sz val="8"/>
            <color rgb="FF000000"/>
            <rFont val="Tahoma"/>
            <family val="2"/>
          </rPr>
          <t>Widespread use in building, transport, packaging, electrical/electronic and healthcare applications</t>
        </r>
      </text>
    </comment>
    <comment ref="C75" authorId="0" shapeId="0" xr:uid="{3BDF52FD-B090-8746-897C-3572B71C840C}">
      <text>
        <r>
          <rPr>
            <b/>
            <sz val="8"/>
            <color rgb="FF000000"/>
            <rFont val="Tahoma"/>
            <family val="2"/>
          </rPr>
          <t>Average: 78% corrugate and 22% cartonboard</t>
        </r>
      </text>
    </comment>
    <comment ref="C76" authorId="0" shapeId="0" xr:uid="{AF016CB3-F9F6-DF45-9E78-E3CB8E5591E3}">
      <text>
        <r>
          <rPr>
            <b/>
            <sz val="8"/>
            <color rgb="FF000000"/>
            <rFont val="Tahoma"/>
            <family val="2"/>
          </rPr>
          <t>Assumes 25% paper, 75% board</t>
        </r>
      </text>
    </comment>
    <comment ref="C78" authorId="0" shapeId="0" xr:uid="{2B553221-A7EF-D946-8789-E24B4F3A794C}">
      <text>
        <r>
          <rPr>
            <b/>
            <sz val="8"/>
            <color rgb="FF000000"/>
            <rFont val="Tahoma"/>
            <family val="2"/>
          </rPr>
          <t>Waste generated by businesses or industrial operations</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C65" authorId="0" shapeId="0" xr:uid="{B3844EBA-FE8C-2945-9CB7-E4FC69B9B228}">
      <text>
        <r>
          <rPr>
            <b/>
            <sz val="8"/>
            <color rgb="FF000000"/>
            <rFont val="Tahoma"/>
            <family val="2"/>
          </rPr>
          <t>Average: 78% corrugate and 22% cartonboard</t>
        </r>
      </text>
    </comment>
    <comment ref="C66" authorId="0" shapeId="0" xr:uid="{5A53F65B-AEAB-874C-888F-C949C27E3518}">
      <text>
        <r>
          <rPr>
            <b/>
            <sz val="8"/>
            <color rgb="FF000000"/>
            <rFont val="Tahoma"/>
            <family val="2"/>
          </rPr>
          <t>Assumes 25% paper, 75% board</t>
        </r>
      </text>
    </comment>
    <comment ref="C69" authorId="0" shapeId="0" xr:uid="{41BEBA6D-743F-4A48-91A9-5072AABBC142}">
      <text>
        <r>
          <rPr>
            <b/>
            <sz val="8"/>
            <color rgb="FF000000"/>
            <rFont val="Tahoma"/>
            <family val="2"/>
          </rPr>
          <t>Stationary machines for routine housekeeping tasks e.g. cookers / fridges</t>
        </r>
      </text>
    </comment>
    <comment ref="C73" authorId="0" shapeId="0" xr:uid="{3F89AFE8-D8FA-DA4D-8B36-C143BBE6C9DD}">
      <text>
        <r>
          <rPr>
            <b/>
            <sz val="8"/>
            <color rgb="FF000000"/>
            <rFont val="Tahoma"/>
            <family val="2"/>
          </rPr>
          <t>Small power equipment</t>
        </r>
      </text>
    </comment>
    <comment ref="C74" authorId="0" shapeId="0" xr:uid="{5278C24E-8FEB-A34F-A347-82C1F4424034}">
      <text>
        <r>
          <rPr>
            <b/>
            <sz val="8"/>
            <color rgb="FF000000"/>
            <rFont val="Tahoma"/>
            <family val="2"/>
          </rPr>
          <t>Excludes car batteries</t>
        </r>
      </text>
    </comment>
    <comment ref="C88" authorId="0" shapeId="0" xr:uid="{60E8086E-D6AC-9D46-9F80-0B0159778994}">
      <text>
        <r>
          <rPr>
            <b/>
            <sz val="8"/>
            <color rgb="FF000000"/>
            <rFont val="Tahoma"/>
            <family val="2"/>
          </rPr>
          <t>An opaque plastic commonly used for milk bottles</t>
        </r>
      </text>
    </comment>
    <comment ref="C89" authorId="0" shapeId="0" xr:uid="{302D5C3F-455D-8A47-9762-FB7CB0A80872}">
      <text>
        <r>
          <rPr>
            <b/>
            <sz val="8"/>
            <color rgb="FF000000"/>
            <rFont val="Tahoma"/>
            <family val="2"/>
          </rPr>
          <t>Packaging material (foils, plastic bags etc.)</t>
        </r>
      </text>
    </comment>
    <comment ref="C90" authorId="0" shapeId="0" xr:uid="{28CDE569-4825-BD45-BEF5-D3262C4DB543}">
      <text>
        <r>
          <rPr>
            <b/>
            <sz val="8"/>
            <color rgb="FF000000"/>
            <rFont val="Tahoma"/>
            <family val="2"/>
          </rPr>
          <t>For example clear drink bottles/ sandwich wrappers</t>
        </r>
      </text>
    </comment>
    <comment ref="C91" authorId="0" shapeId="0" xr:uid="{D822CF56-5A3B-AE40-A4F6-6C8C3838506C}">
      <text>
        <r>
          <rPr>
            <b/>
            <sz val="8"/>
            <color rgb="FF000000"/>
            <rFont val="Tahoma"/>
            <family val="2"/>
          </rPr>
          <t>Mainly used in injection moulding i.e. for cutlery, containers, and automotive parts</t>
        </r>
      </text>
    </comment>
    <comment ref="C92" authorId="0" shapeId="0" xr:uid="{454D159A-6D91-AD4A-9F44-74DDA5A69471}">
      <text>
        <r>
          <rPr>
            <b/>
            <sz val="8"/>
            <color rgb="FF000000"/>
            <rFont val="Tahoma"/>
            <family val="2"/>
          </rPr>
          <t>Commonly used for foam based insulation and cheap disposable items i.e. protective packaging and disposable cutlery</t>
        </r>
      </text>
    </comment>
    <comment ref="C93" authorId="0" shapeId="0" xr:uid="{995B0EA3-77F6-3642-AC3E-5713236AA80E}">
      <text>
        <r>
          <rPr>
            <b/>
            <sz val="8"/>
            <color rgb="FF000000"/>
            <rFont val="Tahoma"/>
            <family val="2"/>
          </rPr>
          <t>Widespread use in building, transport, packaging, electrical/electronic and healthcare applications</t>
        </r>
      </text>
    </comment>
    <comment ref="E98" authorId="0" shapeId="0" xr:uid="{AEF567E7-576F-DC40-B6F4-28ECF88CC2CC}">
      <text>
        <r>
          <rPr>
            <b/>
            <sz val="8"/>
            <color rgb="FF000000"/>
            <rFont val="Tahoma"/>
            <family val="2"/>
          </rPr>
          <t>Whereby the materials are made from virgin stock</t>
        </r>
      </text>
    </comment>
    <comment ref="F98" authorId="0" shapeId="0" xr:uid="{CF4BFEB1-3599-794B-9962-72BD1770C9D3}">
      <text>
        <r>
          <rPr>
            <b/>
            <sz val="8"/>
            <color rgb="FF000000"/>
            <rFont val="Tahoma"/>
            <family val="2"/>
          </rPr>
          <t>The materials  are made from recycled content where the previous product was the same as the new product.</t>
        </r>
      </text>
    </comment>
    <comment ref="E99" authorId="0" shapeId="0" xr:uid="{92B89FD1-79A1-394E-9644-FE38A571BA5E}">
      <text>
        <r>
          <rPr>
            <b/>
            <sz val="8"/>
            <color rgb="FF000000"/>
            <rFont val="Tahoma"/>
            <family val="2"/>
          </rPr>
          <t>kg CO₂e per unit</t>
        </r>
      </text>
    </comment>
    <comment ref="F99" authorId="0" shapeId="0" xr:uid="{AD6CFE64-0184-3F41-B379-2500563A30C3}">
      <text>
        <r>
          <rPr>
            <b/>
            <sz val="8"/>
            <color rgb="FF000000"/>
            <rFont val="Tahoma"/>
            <family val="2"/>
          </rPr>
          <t>kg CO₂e per unit</t>
        </r>
      </text>
    </comment>
    <comment ref="C100" authorId="0" shapeId="0" xr:uid="{460AE762-6DAF-994F-9CD7-94870AE341B3}">
      <text>
        <r>
          <rPr>
            <b/>
            <sz val="8"/>
            <color rgb="FF000000"/>
            <rFont val="Tahoma"/>
            <family val="2"/>
          </rPr>
          <t>Average: 78% corrugate and 22% cartonboard</t>
        </r>
      </text>
    </comment>
    <comment ref="C101" authorId="0" shapeId="0" xr:uid="{05F8AB10-9ECA-774D-8A3F-664F0B6D5C02}">
      <text>
        <r>
          <rPr>
            <b/>
            <sz val="8"/>
            <color rgb="FF000000"/>
            <rFont val="Tahoma"/>
            <family val="2"/>
          </rPr>
          <t>Assumes 25% paper, 75% board</t>
        </r>
      </text>
    </comment>
    <comment ref="F103" authorId="1" shapeId="0" xr:uid="{1917419F-E6C8-764C-8575-D62785A788E6}">
      <text>
        <r>
          <rPr>
            <sz val="10"/>
            <color rgb="FF000000"/>
            <rFont val="Tahoma"/>
            <family val="2"/>
          </rPr>
          <t xml:space="preserve">Valor genérico para "reciclados mistos" proveniente da ferramenta do GHG Protocol Waste Sector 2013 </t>
        </r>
      </text>
    </comment>
    <comment ref="C104" authorId="0" shapeId="0" xr:uid="{205C95B8-F43B-5B4D-A332-21C5F4CF35DF}">
      <text>
        <r>
          <rPr>
            <b/>
            <sz val="8"/>
            <color rgb="FF000000"/>
            <rFont val="Tahoma"/>
            <family val="2"/>
          </rPr>
          <t>Stationary machines for routine housekeeping tasks e.g. cookers / fridges</t>
        </r>
      </text>
    </comment>
    <comment ref="F104" authorId="1" shapeId="0" xr:uid="{D82403BB-8007-664B-B077-AD00B2B5C0B1}">
      <text>
        <r>
          <rPr>
            <sz val="10"/>
            <color rgb="FF000000"/>
            <rFont val="Tahoma"/>
            <family val="2"/>
          </rPr>
          <t xml:space="preserve">Valor genérico para "reciclados mistos" proveniente da ferramenta do GHG Protocol Waste Sector 2013 
</t>
        </r>
      </text>
    </comment>
    <comment ref="F105" authorId="1" shapeId="0" xr:uid="{ED3F3737-1456-8E47-B01B-74D82B29F328}">
      <text>
        <r>
          <rPr>
            <sz val="10"/>
            <color rgb="FF000000"/>
            <rFont val="Calibri"/>
            <family val="2"/>
          </rPr>
          <t xml:space="preserve">Valor genérico para "reciclados mistos" proveniente da ferramenta do GHG Protocol Waste Sector 2013 
</t>
        </r>
      </text>
    </comment>
    <comment ref="F106" authorId="1" shapeId="0" xr:uid="{46AEDBE3-1AD4-FD4F-88FF-1E036DDA0927}">
      <text>
        <r>
          <rPr>
            <sz val="10"/>
            <color rgb="FF000000"/>
            <rFont val="Calibri"/>
            <family val="2"/>
            <scheme val="minor"/>
          </rPr>
          <t xml:space="preserve">Valor genérico para "reciclados mistos" proveniente da ferramenta do GHG Protocol Waste Sector 2013 </t>
        </r>
        <r>
          <rPr>
            <sz val="10"/>
            <color rgb="FF000000"/>
            <rFont val="Calibri"/>
            <family val="2"/>
            <scheme val="minor"/>
          </rPr>
          <t xml:space="preserve">
</t>
        </r>
      </text>
    </comment>
    <comment ref="F107" authorId="1" shapeId="0" xr:uid="{288AD695-B2FA-F24A-9504-7005B39ECE0A}">
      <text>
        <r>
          <rPr>
            <sz val="10"/>
            <color rgb="FF000000"/>
            <rFont val="Calibri"/>
            <family val="2"/>
            <scheme val="minor"/>
          </rPr>
          <t xml:space="preserve">Valor genérico para "reciclados mistos" proveniente da ferramenta do GHG Protocol Waste Sector 2013 </t>
        </r>
        <r>
          <rPr>
            <sz val="10"/>
            <color rgb="FF000000"/>
            <rFont val="Calibri"/>
            <family val="2"/>
            <scheme val="minor"/>
          </rPr>
          <t xml:space="preserve">
</t>
        </r>
      </text>
    </comment>
    <comment ref="C108" authorId="0" shapeId="0" xr:uid="{B1B402BB-6775-954C-8927-F6412AB8405A}">
      <text>
        <r>
          <rPr>
            <b/>
            <sz val="8"/>
            <color rgb="FF000000"/>
            <rFont val="Tahoma"/>
            <family val="2"/>
          </rPr>
          <t>Small power equipment</t>
        </r>
      </text>
    </comment>
    <comment ref="F108" authorId="1" shapeId="0" xr:uid="{C68A820E-24F7-384C-A687-A8250AF39FFB}">
      <text>
        <r>
          <rPr>
            <sz val="10"/>
            <color rgb="FF000000"/>
            <rFont val="Calibri"/>
            <family val="2"/>
          </rPr>
          <t xml:space="preserve">Valor genérico para "reciclados mistos" proveniente da ferramenta do GHG Protocol Waste Sector 2013 
</t>
        </r>
      </text>
    </comment>
    <comment ref="C109" authorId="0" shapeId="0" xr:uid="{E0B66DE9-6E3A-8644-A5EA-63A791965913}">
      <text>
        <r>
          <rPr>
            <b/>
            <sz val="8"/>
            <color rgb="FF000000"/>
            <rFont val="Tahoma"/>
            <family val="2"/>
          </rPr>
          <t>Excludes car batteries</t>
        </r>
      </text>
    </comment>
    <comment ref="F109" authorId="1" shapeId="0" xr:uid="{D421C04A-2B9F-A74C-B9D7-2E7249903E66}">
      <text>
        <r>
          <rPr>
            <sz val="10"/>
            <color rgb="FF000000"/>
            <rFont val="Calibri"/>
            <family val="2"/>
          </rPr>
          <t xml:space="preserve">Valor genérico para "reciclados mistos" proveniente da ferramenta do GHG Protocol Waste Sector 2013 
</t>
        </r>
      </text>
    </comment>
    <comment ref="E114" authorId="1" shapeId="0" xr:uid="{F1591510-3945-AC47-9B0C-C57232BE3F58}">
      <text>
        <r>
          <rPr>
            <sz val="10"/>
            <color rgb="FF000000"/>
            <rFont val="Tahoma"/>
            <family val="2"/>
          </rPr>
          <t>Adotou-se o mesmo valor que sucata de metal por falta de um valor melhor</t>
        </r>
      </text>
    </comment>
    <comment ref="F114" authorId="1" shapeId="0" xr:uid="{48756D9A-E6CC-544C-A61B-EA60EBDEC915}">
      <text>
        <r>
          <rPr>
            <sz val="10"/>
            <color rgb="FF000000"/>
            <rFont val="Tahoma"/>
            <family val="2"/>
          </rPr>
          <t>Valor retirado do Planilha do GHG Protocol 2013, Waste Sector</t>
        </r>
      </text>
    </comment>
    <comment ref="E115" authorId="1" shapeId="0" xr:uid="{1348D783-8BDA-0B43-85D4-08DE8648A42A}">
      <text>
        <r>
          <rPr>
            <sz val="10"/>
            <color rgb="FF000000"/>
            <rFont val="Tahoma"/>
            <family val="2"/>
          </rPr>
          <t>Adotou-se o mesmo valor que sucata de metal por falta de um valor melhor</t>
        </r>
      </text>
    </comment>
    <comment ref="F115" authorId="1" shapeId="0" xr:uid="{B3808606-81E5-064C-A77A-D178BE1546F0}">
      <text>
        <r>
          <rPr>
            <b/>
            <sz val="10"/>
            <color rgb="FF000000"/>
            <rFont val="Tahoma"/>
            <family val="2"/>
          </rPr>
          <t xml:space="preserve">Valor retirado do Planilha do GHG Protocol 2013, Waste Sector
</t>
        </r>
      </text>
    </comment>
    <comment ref="E116" authorId="1" shapeId="0" xr:uid="{CD610407-01FB-B14F-8650-2CE75A9B9EE1}">
      <text>
        <r>
          <rPr>
            <sz val="10"/>
            <color rgb="FF000000"/>
            <rFont val="Tahoma"/>
            <family val="2"/>
          </rPr>
          <t>Adotou-se o mesmo valor que sucata de metal por falta de um valor melhor</t>
        </r>
      </text>
    </comment>
    <comment ref="F116" authorId="1" shapeId="0" xr:uid="{799C7549-2D22-AF45-8F29-C90CE412EE9C}">
      <text>
        <r>
          <rPr>
            <sz val="10"/>
            <color rgb="FF000000"/>
            <rFont val="Calibri"/>
            <family val="2"/>
          </rPr>
          <t xml:space="preserve">Valor retirado do Planilha do GHG Protocol 2013, Waste Sector
</t>
        </r>
      </text>
    </comment>
    <comment ref="E117" authorId="1" shapeId="0" xr:uid="{F76FCD38-0138-AF44-BE66-B9B22AA4E088}">
      <text>
        <r>
          <rPr>
            <sz val="10"/>
            <color rgb="FF000000"/>
            <rFont val="Tahoma"/>
            <family val="2"/>
          </rPr>
          <t>Adotou-se o mesmo valor que sucata de metal por falta de um valor melhor</t>
        </r>
      </text>
    </comment>
    <comment ref="F117" authorId="1" shapeId="0" xr:uid="{951E3B49-0A37-B346-9E63-4B1F80FD600C}">
      <text>
        <r>
          <rPr>
            <sz val="10"/>
            <color rgb="FF000000"/>
            <rFont val="Calibri"/>
            <family val="2"/>
          </rPr>
          <t xml:space="preserve">Valor retirado do Planilha do GHG Protocol 2013, Waste Sector
</t>
        </r>
      </text>
    </comment>
    <comment ref="E118" authorId="1" shapeId="0" xr:uid="{85F6E2C4-8157-9E43-ADA8-6430E81600B6}">
      <text>
        <r>
          <rPr>
            <sz val="10"/>
            <color rgb="FF000000"/>
            <rFont val="Tahoma"/>
            <family val="2"/>
          </rPr>
          <t>Adotou-se o mesmo valor que sucata de metal por falta de um valor melhor</t>
        </r>
      </text>
    </comment>
    <comment ref="F118" authorId="1" shapeId="0" xr:uid="{CC549F64-FE20-A147-9D3A-ABA937C25D7C}">
      <text>
        <r>
          <rPr>
            <sz val="10"/>
            <color rgb="FF000000"/>
            <rFont val="Calibri"/>
            <family val="2"/>
          </rPr>
          <t xml:space="preserve">Valor retirado do Planilha do GHG Protocol 2013, Waste Sector
</t>
        </r>
      </text>
    </comment>
    <comment ref="E119" authorId="1" shapeId="0" xr:uid="{3145803E-8B9A-B94A-82A3-9CD6E1FE86E6}">
      <text>
        <r>
          <rPr>
            <sz val="10"/>
            <color rgb="FF000000"/>
            <rFont val="Tahoma"/>
            <family val="2"/>
          </rPr>
          <t>Adotou-se o mesmo valor que sucata de metal por falta de um valor melhor</t>
        </r>
      </text>
    </comment>
    <comment ref="F119" authorId="1" shapeId="0" xr:uid="{087F78FD-77BE-FE4E-9285-39E1F8AF0D40}">
      <text>
        <r>
          <rPr>
            <sz val="10"/>
            <color rgb="FF000000"/>
            <rFont val="Calibri"/>
            <family val="2"/>
          </rPr>
          <t xml:space="preserve">Valor retirado do Planilha do GHG Protocol 2013, Waste Sector
</t>
        </r>
      </text>
    </comment>
    <comment ref="C123" authorId="0" shapeId="0" xr:uid="{82D1BD6E-7183-E04A-9143-7AA3E3B5EE85}">
      <text>
        <r>
          <rPr>
            <b/>
            <sz val="8"/>
            <color rgb="FF000000"/>
            <rFont val="Tahoma"/>
            <family val="2"/>
          </rPr>
          <t>An opaque plastic commonly used for milk bottles</t>
        </r>
      </text>
    </comment>
    <comment ref="C124" authorId="0" shapeId="0" xr:uid="{0CD899E4-2990-B046-A732-D857A218848B}">
      <text>
        <r>
          <rPr>
            <b/>
            <sz val="8"/>
            <color rgb="FF000000"/>
            <rFont val="Tahoma"/>
            <family val="2"/>
          </rPr>
          <t>Packaging material (foils, plastic bags etc.)</t>
        </r>
      </text>
    </comment>
    <comment ref="C125" authorId="0" shapeId="0" xr:uid="{06EBCBD6-61A6-EB4D-83BA-221C2DA884D9}">
      <text>
        <r>
          <rPr>
            <b/>
            <sz val="8"/>
            <color rgb="FF000000"/>
            <rFont val="Tahoma"/>
            <family val="2"/>
          </rPr>
          <t>For example clear drink bottles/ sandwich wrappers</t>
        </r>
      </text>
    </comment>
    <comment ref="C126" authorId="0" shapeId="0" xr:uid="{13E54B25-820F-C34A-969E-468C2A0859AE}">
      <text>
        <r>
          <rPr>
            <b/>
            <sz val="8"/>
            <color rgb="FF000000"/>
            <rFont val="Tahoma"/>
            <family val="2"/>
          </rPr>
          <t>Mainly used in injection moulding i.e. for cutlery, containers, and automotive parts</t>
        </r>
      </text>
    </comment>
    <comment ref="C127" authorId="0" shapeId="0" xr:uid="{D97620FD-0FBB-814E-AF87-E0B01F4EE636}">
      <text>
        <r>
          <rPr>
            <b/>
            <sz val="8"/>
            <color rgb="FF000000"/>
            <rFont val="Tahoma"/>
            <family val="2"/>
          </rPr>
          <t>Commonly used for foam based insulation and cheap disposable items i.e. protective packaging and disposable cutlery</t>
        </r>
      </text>
    </comment>
    <comment ref="C128" authorId="0" shapeId="0" xr:uid="{43E8C40A-22D2-C34B-9BD4-979E2A581624}">
      <text>
        <r>
          <rPr>
            <b/>
            <sz val="8"/>
            <color rgb="FF000000"/>
            <rFont val="Tahoma"/>
            <family val="2"/>
          </rPr>
          <t>Widespread use in building, transport, packaging, electrical/electronic and healthcare applications</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C65" authorId="0" shapeId="0" xr:uid="{73EE8EF4-2F97-3C4C-B42D-214A80A99011}">
      <text>
        <r>
          <rPr>
            <b/>
            <sz val="8"/>
            <color rgb="FF000000"/>
            <rFont val="Tahoma"/>
            <family val="2"/>
          </rPr>
          <t>Average: 78% corrugate and 22% cartonboard</t>
        </r>
      </text>
    </comment>
    <comment ref="C66" authorId="0" shapeId="0" xr:uid="{BC2B7E37-4F3B-A84B-B3CA-DC533C2931CD}">
      <text>
        <r>
          <rPr>
            <b/>
            <sz val="8"/>
            <color rgb="FF000000"/>
            <rFont val="Tahoma"/>
            <family val="2"/>
          </rPr>
          <t>Assumes 25% paper, 75% board</t>
        </r>
      </text>
    </comment>
    <comment ref="C69" authorId="0" shapeId="0" xr:uid="{E7443BA5-2496-4445-BA3E-ED8FB7FC5DCE}">
      <text>
        <r>
          <rPr>
            <b/>
            <sz val="8"/>
            <color rgb="FF000000"/>
            <rFont val="Tahoma"/>
            <family val="2"/>
          </rPr>
          <t>Stationary machines for routine housekeeping tasks e.g. cookers / fridges</t>
        </r>
      </text>
    </comment>
    <comment ref="C73" authorId="0" shapeId="0" xr:uid="{E6793DF0-7FB7-7A4A-B2D7-BA18B10FC82D}">
      <text>
        <r>
          <rPr>
            <b/>
            <sz val="8"/>
            <color rgb="FF000000"/>
            <rFont val="Tahoma"/>
            <family val="2"/>
          </rPr>
          <t>Small power equipment</t>
        </r>
      </text>
    </comment>
    <comment ref="C74" authorId="0" shapeId="0" xr:uid="{120D06A2-27D0-5749-8D94-7D242F3A067C}">
      <text>
        <r>
          <rPr>
            <b/>
            <sz val="8"/>
            <color rgb="FF000000"/>
            <rFont val="Tahoma"/>
            <family val="2"/>
          </rPr>
          <t>Excludes car batteries</t>
        </r>
      </text>
    </comment>
    <comment ref="C88" authorId="0" shapeId="0" xr:uid="{541F7EA0-2984-A848-A905-846E7AB8B8F7}">
      <text>
        <r>
          <rPr>
            <b/>
            <sz val="8"/>
            <color rgb="FF000000"/>
            <rFont val="Tahoma"/>
            <family val="2"/>
          </rPr>
          <t>An opaque plastic commonly used for milk bottles</t>
        </r>
      </text>
    </comment>
    <comment ref="C89" authorId="0" shapeId="0" xr:uid="{5B5680B1-C010-B743-A4D3-C07E676EB4C5}">
      <text>
        <r>
          <rPr>
            <b/>
            <sz val="8"/>
            <color rgb="FF000000"/>
            <rFont val="Tahoma"/>
            <family val="2"/>
          </rPr>
          <t>Packaging material (foils, plastic bags etc.)</t>
        </r>
      </text>
    </comment>
    <comment ref="C90" authorId="0" shapeId="0" xr:uid="{98ED1805-5CD3-744D-99A7-BF7AFE5D607E}">
      <text>
        <r>
          <rPr>
            <b/>
            <sz val="8"/>
            <color rgb="FF000000"/>
            <rFont val="Tahoma"/>
            <family val="2"/>
          </rPr>
          <t>For example clear drink bottles/ sandwich wrappers</t>
        </r>
      </text>
    </comment>
    <comment ref="C91" authorId="0" shapeId="0" xr:uid="{F056D0DF-CE65-2A41-BBA0-893279722297}">
      <text>
        <r>
          <rPr>
            <b/>
            <sz val="8"/>
            <color rgb="FF000000"/>
            <rFont val="Tahoma"/>
            <family val="2"/>
          </rPr>
          <t>Mainly used in injection moulding i.e. for cutlery, containers, and automotive parts</t>
        </r>
      </text>
    </comment>
    <comment ref="C92" authorId="0" shapeId="0" xr:uid="{23FDB151-B0A5-9642-ADA9-7020C1B25753}">
      <text>
        <r>
          <rPr>
            <b/>
            <sz val="8"/>
            <color rgb="FF000000"/>
            <rFont val="Tahoma"/>
            <family val="2"/>
          </rPr>
          <t>Commonly used for foam based insulation and cheap disposable items i.e. protective packaging and disposable cutlery</t>
        </r>
      </text>
    </comment>
    <comment ref="C93" authorId="0" shapeId="0" xr:uid="{885C9AFA-22C5-284F-85B0-D668AAE8E509}">
      <text>
        <r>
          <rPr>
            <b/>
            <sz val="8"/>
            <color rgb="FF000000"/>
            <rFont val="Tahoma"/>
            <family val="2"/>
          </rPr>
          <t>Widespread use in building, transport, packaging, electrical/electronic and healthcare applications</t>
        </r>
      </text>
    </comment>
    <comment ref="E98" authorId="0" shapeId="0" xr:uid="{22D475E9-AC97-4840-BF30-27AC81DB7C8A}">
      <text>
        <r>
          <rPr>
            <b/>
            <sz val="8"/>
            <color rgb="FF000000"/>
            <rFont val="Tahoma"/>
            <family val="2"/>
          </rPr>
          <t>Whereby the materials are made from virgin stock</t>
        </r>
      </text>
    </comment>
    <comment ref="F98" authorId="0" shapeId="0" xr:uid="{59E5710D-6597-1F4E-BE69-B6CD537065EC}">
      <text>
        <r>
          <rPr>
            <b/>
            <sz val="8"/>
            <color rgb="FF000000"/>
            <rFont val="Tahoma"/>
            <family val="2"/>
          </rPr>
          <t>The materials  are made from recycled content where the previous product was the same as the new product.</t>
        </r>
      </text>
    </comment>
    <comment ref="E99" authorId="0" shapeId="0" xr:uid="{4C72B913-2CC2-8C44-9B6A-AB22AC025F27}">
      <text>
        <r>
          <rPr>
            <b/>
            <sz val="8"/>
            <color rgb="FF000000"/>
            <rFont val="Tahoma"/>
            <family val="2"/>
          </rPr>
          <t>kg CO₂e per unit</t>
        </r>
      </text>
    </comment>
    <comment ref="F99" authorId="0" shapeId="0" xr:uid="{E1FA4DF2-1BF6-7449-8FB7-27F9A42EC3D1}">
      <text>
        <r>
          <rPr>
            <b/>
            <sz val="8"/>
            <color rgb="FF000000"/>
            <rFont val="Tahoma"/>
            <family val="2"/>
          </rPr>
          <t>kg CO₂e per unit</t>
        </r>
      </text>
    </comment>
    <comment ref="C100" authorId="0" shapeId="0" xr:uid="{94697516-E8D2-5441-880C-5EC548E3BCB5}">
      <text>
        <r>
          <rPr>
            <b/>
            <sz val="8"/>
            <color rgb="FF000000"/>
            <rFont val="Tahoma"/>
            <family val="2"/>
          </rPr>
          <t>Average: 78% corrugate and 22% cartonboard</t>
        </r>
      </text>
    </comment>
    <comment ref="C101" authorId="0" shapeId="0" xr:uid="{CEC6E478-008F-A347-93A6-4A23DA0AB8F1}">
      <text>
        <r>
          <rPr>
            <b/>
            <sz val="8"/>
            <color rgb="FF000000"/>
            <rFont val="Tahoma"/>
            <family val="2"/>
          </rPr>
          <t>Assumes 25% paper, 75% board</t>
        </r>
      </text>
    </comment>
    <comment ref="F103" authorId="1" shapeId="0" xr:uid="{7E6C05C7-F5A3-2043-BF4C-DDF78B835007}">
      <text>
        <r>
          <rPr>
            <sz val="10"/>
            <color rgb="FF000000"/>
            <rFont val="Tahoma"/>
            <family val="2"/>
          </rPr>
          <t xml:space="preserve">Valor genérico para "reciclados mistos" proveniente da ferramenta do GHG Protocol Waste Sector 2013 </t>
        </r>
      </text>
    </comment>
    <comment ref="C104" authorId="0" shapeId="0" xr:uid="{9FB6CF2E-0394-2A4A-8E2A-82832423C643}">
      <text>
        <r>
          <rPr>
            <b/>
            <sz val="8"/>
            <color rgb="FF000000"/>
            <rFont val="Tahoma"/>
            <family val="2"/>
          </rPr>
          <t>Stationary machines for routine housekeeping tasks e.g. cookers / fridges</t>
        </r>
      </text>
    </comment>
    <comment ref="F104" authorId="1" shapeId="0" xr:uid="{D5F8F6E1-D6EB-7644-93B2-7D1695FDB574}">
      <text>
        <r>
          <rPr>
            <sz val="10"/>
            <color rgb="FF000000"/>
            <rFont val="Tahoma"/>
            <family val="2"/>
          </rPr>
          <t xml:space="preserve">Valor genérico para "reciclados mistos" proveniente da ferramenta do GHG Protocol Waste Sector 2013 
</t>
        </r>
      </text>
    </comment>
    <comment ref="F105" authorId="1" shapeId="0" xr:uid="{8D59F724-9FE3-304D-AB66-66B12031ECAC}">
      <text>
        <r>
          <rPr>
            <sz val="10"/>
            <color rgb="FF000000"/>
            <rFont val="Calibri"/>
            <family val="2"/>
          </rPr>
          <t xml:space="preserve">Valor genérico para "reciclados mistos" proveniente da ferramenta do GHG Protocol Waste Sector 2013 
</t>
        </r>
      </text>
    </comment>
    <comment ref="F106" authorId="1" shapeId="0" xr:uid="{C7C35789-4586-764E-8134-6F1AE3B957AA}">
      <text>
        <r>
          <rPr>
            <sz val="10"/>
            <color rgb="FF000000"/>
            <rFont val="Calibri"/>
            <family val="2"/>
            <scheme val="minor"/>
          </rPr>
          <t xml:space="preserve">Valor genérico para "reciclados mistos" proveniente da ferramenta do GHG Protocol Waste Sector 2013 </t>
        </r>
        <r>
          <rPr>
            <sz val="10"/>
            <color rgb="FF000000"/>
            <rFont val="Calibri"/>
            <family val="2"/>
            <scheme val="minor"/>
          </rPr>
          <t xml:space="preserve">
</t>
        </r>
      </text>
    </comment>
    <comment ref="F107" authorId="1" shapeId="0" xr:uid="{0A80C9DA-0AB8-704B-8FEB-C23325DC26F7}">
      <text>
        <r>
          <rPr>
            <sz val="10"/>
            <color rgb="FF000000"/>
            <rFont val="Calibri"/>
            <family val="2"/>
            <scheme val="minor"/>
          </rPr>
          <t xml:space="preserve">Valor genérico para "reciclados mistos" proveniente da ferramenta do GHG Protocol Waste Sector 2013 </t>
        </r>
        <r>
          <rPr>
            <sz val="10"/>
            <color rgb="FF000000"/>
            <rFont val="Calibri"/>
            <family val="2"/>
            <scheme val="minor"/>
          </rPr>
          <t xml:space="preserve">
</t>
        </r>
      </text>
    </comment>
    <comment ref="C108" authorId="0" shapeId="0" xr:uid="{C9C4287A-D700-354C-90AB-887DC2FFFFB7}">
      <text>
        <r>
          <rPr>
            <b/>
            <sz val="8"/>
            <color rgb="FF000000"/>
            <rFont val="Tahoma"/>
            <family val="2"/>
          </rPr>
          <t>Small power equipment</t>
        </r>
      </text>
    </comment>
    <comment ref="F108" authorId="1" shapeId="0" xr:uid="{12BF5B42-89A9-2840-9E4F-45AD9EEBD5EC}">
      <text>
        <r>
          <rPr>
            <sz val="10"/>
            <color rgb="FF000000"/>
            <rFont val="Calibri"/>
            <family val="2"/>
          </rPr>
          <t xml:space="preserve">Valor genérico para "reciclados mistos" proveniente da ferramenta do GHG Protocol Waste Sector 2013 
</t>
        </r>
      </text>
    </comment>
    <comment ref="C109" authorId="0" shapeId="0" xr:uid="{8C807846-D8E6-C649-A7C1-4E97E7D13C38}">
      <text>
        <r>
          <rPr>
            <b/>
            <sz val="8"/>
            <color rgb="FF000000"/>
            <rFont val="Tahoma"/>
            <family val="2"/>
          </rPr>
          <t>Excludes car batteries</t>
        </r>
      </text>
    </comment>
    <comment ref="F109" authorId="1" shapeId="0" xr:uid="{0F307C61-CFE9-AB48-A52B-AC1333877319}">
      <text>
        <r>
          <rPr>
            <sz val="10"/>
            <color rgb="FF000000"/>
            <rFont val="Calibri"/>
            <family val="2"/>
          </rPr>
          <t xml:space="preserve">Valor genérico para "reciclados mistos" proveniente da ferramenta do GHG Protocol Waste Sector 2013 
</t>
        </r>
      </text>
    </comment>
    <comment ref="E114" authorId="1" shapeId="0" xr:uid="{133C498C-3965-6441-8773-241B85EBC56E}">
      <text>
        <r>
          <rPr>
            <sz val="10"/>
            <color rgb="FF000000"/>
            <rFont val="Tahoma"/>
            <family val="2"/>
          </rPr>
          <t>Adotou-se o mesmo valor que sucata de metal por falta de um valor melhor</t>
        </r>
      </text>
    </comment>
    <comment ref="F114" authorId="1" shapeId="0" xr:uid="{09CC90AF-91CA-5D49-856B-CC3ADF2E7D93}">
      <text>
        <r>
          <rPr>
            <sz val="10"/>
            <color rgb="FF000000"/>
            <rFont val="Tahoma"/>
            <family val="2"/>
          </rPr>
          <t>Valor retirado do Planilha do GHG Protocol 2013, Waste Sector</t>
        </r>
      </text>
    </comment>
    <comment ref="E115" authorId="1" shapeId="0" xr:uid="{AEABAC06-ED80-744F-ADBB-D2D4515AFBC3}">
      <text>
        <r>
          <rPr>
            <sz val="10"/>
            <color rgb="FF000000"/>
            <rFont val="Tahoma"/>
            <family val="2"/>
          </rPr>
          <t>Adotou-se o mesmo valor que sucata de metal por falta de um valor melhor</t>
        </r>
      </text>
    </comment>
    <comment ref="F115" authorId="1" shapeId="0" xr:uid="{4AE262B5-0DA0-6D4A-8DAB-8B7E5831E37B}">
      <text>
        <r>
          <rPr>
            <b/>
            <sz val="10"/>
            <color rgb="FF000000"/>
            <rFont val="Tahoma"/>
            <family val="2"/>
          </rPr>
          <t xml:space="preserve">Valor retirado do Planilha do GHG Protocol 2013, Waste Sector
</t>
        </r>
      </text>
    </comment>
    <comment ref="E116" authorId="1" shapeId="0" xr:uid="{96266F66-93F9-C146-AAAF-A4BC05337AAC}">
      <text>
        <r>
          <rPr>
            <sz val="10"/>
            <color rgb="FF000000"/>
            <rFont val="Tahoma"/>
            <family val="2"/>
          </rPr>
          <t>Adotou-se o mesmo valor que sucata de metal por falta de um valor melhor</t>
        </r>
      </text>
    </comment>
    <comment ref="F116" authorId="1" shapeId="0" xr:uid="{349FE972-1900-714A-8128-BD1D1F33AAA7}">
      <text>
        <r>
          <rPr>
            <sz val="10"/>
            <color rgb="FF000000"/>
            <rFont val="Calibri"/>
            <family val="2"/>
            <scheme val="minor"/>
          </rPr>
          <t>Valor retirado do Planilha do GHG Protocol 2013, Waste Sector</t>
        </r>
        <r>
          <rPr>
            <sz val="10"/>
            <color rgb="FF000000"/>
            <rFont val="Calibri"/>
            <family val="2"/>
            <scheme val="minor"/>
          </rPr>
          <t xml:space="preserve">
</t>
        </r>
      </text>
    </comment>
    <comment ref="E117" authorId="1" shapeId="0" xr:uid="{6CD83A16-E1C7-A84A-BD88-B5DDE50B7AA7}">
      <text>
        <r>
          <rPr>
            <sz val="10"/>
            <color rgb="FF000000"/>
            <rFont val="Tahoma"/>
            <family val="2"/>
          </rPr>
          <t>Adotou-se o mesmo valor que sucata de metal por falta de um valor melhor</t>
        </r>
      </text>
    </comment>
    <comment ref="F117" authorId="1" shapeId="0" xr:uid="{966634B2-6A1E-1B44-BACC-AA38C992FCC5}">
      <text>
        <r>
          <rPr>
            <sz val="10"/>
            <color rgb="FF000000"/>
            <rFont val="Calibri"/>
            <family val="2"/>
            <scheme val="minor"/>
          </rPr>
          <t>Valor retirado do Planilha do GHG Protocol 2013, Waste Sector</t>
        </r>
        <r>
          <rPr>
            <sz val="10"/>
            <color rgb="FF000000"/>
            <rFont val="Calibri"/>
            <family val="2"/>
            <scheme val="minor"/>
          </rPr>
          <t xml:space="preserve">
</t>
        </r>
      </text>
    </comment>
    <comment ref="E118" authorId="1" shapeId="0" xr:uid="{59872BC8-4860-CA48-89C4-E7B22B417EA8}">
      <text>
        <r>
          <rPr>
            <sz val="10"/>
            <color rgb="FF000000"/>
            <rFont val="Tahoma"/>
            <family val="2"/>
          </rPr>
          <t>Adotou-se o mesmo valor que sucata de metal por falta de um valor melhor</t>
        </r>
      </text>
    </comment>
    <comment ref="F118" authorId="1" shapeId="0" xr:uid="{4128F18E-7639-D64C-BA24-D66DE52D855B}">
      <text>
        <r>
          <rPr>
            <sz val="10"/>
            <color rgb="FF000000"/>
            <rFont val="Calibri"/>
            <family val="2"/>
            <scheme val="minor"/>
          </rPr>
          <t>Valor retirado do Planilha do GHG Protocol 2013, Waste Sector</t>
        </r>
        <r>
          <rPr>
            <sz val="10"/>
            <color rgb="FF000000"/>
            <rFont val="Calibri"/>
            <family val="2"/>
            <scheme val="minor"/>
          </rPr>
          <t xml:space="preserve">
</t>
        </r>
      </text>
    </comment>
    <comment ref="E119" authorId="1" shapeId="0" xr:uid="{5392BE13-7426-B246-945F-1D24DFEF03C0}">
      <text>
        <r>
          <rPr>
            <sz val="10"/>
            <color rgb="FF000000"/>
            <rFont val="Tahoma"/>
            <family val="2"/>
          </rPr>
          <t>Adotou-se o mesmo valor que sucata de metal por falta de um valor melhor</t>
        </r>
      </text>
    </comment>
    <comment ref="F119" authorId="1" shapeId="0" xr:uid="{22B844F3-66CA-D54F-8376-B9556FFAEE9D}">
      <text>
        <r>
          <rPr>
            <sz val="10"/>
            <color rgb="FF000000"/>
            <rFont val="Calibri"/>
            <family val="2"/>
            <scheme val="minor"/>
          </rPr>
          <t>Valor retirado do Planilha do GHG Protocol 2013, Waste Sector</t>
        </r>
        <r>
          <rPr>
            <sz val="10"/>
            <color rgb="FF000000"/>
            <rFont val="Calibri"/>
            <family val="2"/>
            <scheme val="minor"/>
          </rPr>
          <t xml:space="preserve">
</t>
        </r>
      </text>
    </comment>
    <comment ref="C123" authorId="0" shapeId="0" xr:uid="{D69C7E11-0FF8-E34D-8513-B87AA09D9C0A}">
      <text>
        <r>
          <rPr>
            <b/>
            <sz val="8"/>
            <color rgb="FF000000"/>
            <rFont val="Tahoma"/>
            <family val="2"/>
          </rPr>
          <t>An opaque plastic commonly used for milk bottles</t>
        </r>
      </text>
    </comment>
    <comment ref="C124" authorId="0" shapeId="0" xr:uid="{4973815C-3596-4C41-922F-7252D17C6FF9}">
      <text>
        <r>
          <rPr>
            <b/>
            <sz val="8"/>
            <color rgb="FF000000"/>
            <rFont val="Tahoma"/>
            <family val="2"/>
          </rPr>
          <t>Packaging material (foils, plastic bags etc.)</t>
        </r>
      </text>
    </comment>
    <comment ref="C125" authorId="0" shapeId="0" xr:uid="{CD983CA9-5461-E84F-8460-4C9BB534FA2B}">
      <text>
        <r>
          <rPr>
            <b/>
            <sz val="8"/>
            <color rgb="FF000000"/>
            <rFont val="Tahoma"/>
            <family val="2"/>
          </rPr>
          <t>For example clear drink bottles/ sandwich wrappers</t>
        </r>
      </text>
    </comment>
    <comment ref="C126" authorId="0" shapeId="0" xr:uid="{ABD2670E-68AD-074B-AAD5-A6591B8803D7}">
      <text>
        <r>
          <rPr>
            <b/>
            <sz val="8"/>
            <color rgb="FF000000"/>
            <rFont val="Tahoma"/>
            <family val="2"/>
          </rPr>
          <t>Mainly used in injection moulding i.e. for cutlery, containers, and automotive parts</t>
        </r>
      </text>
    </comment>
    <comment ref="C127" authorId="0" shapeId="0" xr:uid="{5BF9BC6C-CCC5-6A43-B7E0-3093E5D9929B}">
      <text>
        <r>
          <rPr>
            <b/>
            <sz val="8"/>
            <color rgb="FF000000"/>
            <rFont val="Tahoma"/>
            <family val="2"/>
          </rPr>
          <t>Commonly used for foam based insulation and cheap disposable items i.e. protective packaging and disposable cutlery</t>
        </r>
      </text>
    </comment>
    <comment ref="C128" authorId="0" shapeId="0" xr:uid="{379E82C5-CD8F-2A4F-ABB9-A1CB831A0367}">
      <text>
        <r>
          <rPr>
            <b/>
            <sz val="8"/>
            <color rgb="FF000000"/>
            <rFont val="Tahoma"/>
            <family val="2"/>
          </rPr>
          <t>Widespread use in building, transport, packaging, electrical/electronic and healthcare applications</t>
        </r>
      </text>
    </comment>
  </commentList>
</comments>
</file>

<file path=xl/sharedStrings.xml><?xml version="1.0" encoding="utf-8"?>
<sst xmlns="http://schemas.openxmlformats.org/spreadsheetml/2006/main" count="1969" uniqueCount="736">
  <si>
    <t>Qual a quantidade total de gas refrigerante utilizado no sistema? Qual a perda de gas refrigerante em % ao ano de acordo com as especificações do equipamento? Qual o(s) gas(es) refrigerante(s) utilizado(s)?</t>
  </si>
  <si>
    <t>Energia</t>
  </si>
  <si>
    <t>Combustivel</t>
  </si>
  <si>
    <t>Residuos</t>
  </si>
  <si>
    <t>Gases refrigerantes</t>
  </si>
  <si>
    <t>Sem estas informações a única forma de calcular emissões é a partir do input de informação da equipe de manutenção</t>
  </si>
  <si>
    <t>Fontes</t>
  </si>
  <si>
    <t>Grupo</t>
  </si>
  <si>
    <t>Orientador</t>
  </si>
  <si>
    <t>Contato</t>
  </si>
  <si>
    <t>Linha de cálculo</t>
  </si>
  <si>
    <t>Referências</t>
  </si>
  <si>
    <t>Premissas</t>
  </si>
  <si>
    <t>Resíduos</t>
  </si>
  <si>
    <t>Gases Refrigerantes</t>
  </si>
  <si>
    <t>Transportes</t>
  </si>
  <si>
    <t>Total</t>
  </si>
  <si>
    <t>kg</t>
  </si>
  <si>
    <r>
      <t>m</t>
    </r>
    <r>
      <rPr>
        <vertAlign val="superscript"/>
        <sz val="11"/>
        <color theme="1"/>
        <rFont val="Calibri"/>
        <family val="2"/>
        <scheme val="minor"/>
      </rPr>
      <t>3</t>
    </r>
  </si>
  <si>
    <t>volume</t>
  </si>
  <si>
    <t>DBO</t>
  </si>
  <si>
    <r>
      <t>kg DBO/m</t>
    </r>
    <r>
      <rPr>
        <vertAlign val="superscript"/>
        <sz val="11"/>
        <color theme="1"/>
        <rFont val="Calibri"/>
        <family val="2"/>
        <scheme val="minor"/>
      </rPr>
      <t>3</t>
    </r>
  </si>
  <si>
    <t>Dados</t>
  </si>
  <si>
    <t>Unidade</t>
  </si>
  <si>
    <t>%</t>
  </si>
  <si>
    <r>
      <t>kg CH</t>
    </r>
    <r>
      <rPr>
        <vertAlign val="subscript"/>
        <sz val="11"/>
        <color theme="1"/>
        <rFont val="Calibri"/>
        <family val="2"/>
        <scheme val="minor"/>
      </rPr>
      <t>4</t>
    </r>
    <r>
      <rPr>
        <sz val="11"/>
        <color theme="1"/>
        <rFont val="Calibri"/>
        <family val="2"/>
        <scheme val="minor"/>
      </rPr>
      <t>/kg DBO</t>
    </r>
  </si>
  <si>
    <t>CARACTERIZAÇÃO QUALITATIVA DOS ESGOTO</t>
  </si>
  <si>
    <t>Características químicas dos esgotos domésticos brutos</t>
  </si>
  <si>
    <t>CPC (g/hab.d)</t>
  </si>
  <si>
    <t>Concentração (mg/L)</t>
  </si>
  <si>
    <t>Parâmetro</t>
  </si>
  <si>
    <t>Faixa</t>
  </si>
  <si>
    <t>Típico</t>
  </si>
  <si>
    <t>Sólidos totais</t>
  </si>
  <si>
    <t>• Em suspensão</t>
  </si>
  <si>
    <t>Fixos</t>
  </si>
  <si>
    <t>Voláteis</t>
  </si>
  <si>
    <t>• Dissolvidos</t>
  </si>
  <si>
    <t>• Sedimentáveis</t>
  </si>
  <si>
    <t>120–220</t>
  </si>
  <si>
    <t>35–70</t>
  </si>
  <si>
    <t>7–14</t>
  </si>
  <si>
    <t>25–60</t>
  </si>
  <si>
    <t>85–150</t>
  </si>
  <si>
    <t>50–90</t>
  </si>
  <si>
    <t>35–60</t>
  </si>
  <si>
    <t>–</t>
  </si>
  <si>
    <t>700–1350</t>
  </si>
  <si>
    <t>200–450</t>
  </si>
  <si>
    <t>40–100</t>
  </si>
  <si>
    <t>165–350</t>
  </si>
  <si>
    <t>500–900</t>
  </si>
  <si>
    <t>300–550</t>
  </si>
  <si>
    <t>200–350</t>
  </si>
  <si>
    <t>10–20</t>
  </si>
  <si>
    <t>Matéria Orgânica</t>
  </si>
  <si>
    <r>
      <t>• DBO</t>
    </r>
    <r>
      <rPr>
        <sz val="6"/>
        <color theme="1"/>
        <rFont val="Times"/>
        <family val="1"/>
      </rPr>
      <t>5</t>
    </r>
  </si>
  <si>
    <t>• DQO</t>
  </si>
  <si>
    <r>
      <t>• DBO</t>
    </r>
    <r>
      <rPr>
        <sz val="6"/>
        <color theme="1"/>
        <rFont val="Times"/>
        <family val="1"/>
      </rPr>
      <t>u</t>
    </r>
  </si>
  <si>
    <t>40–60</t>
  </si>
  <si>
    <t>80–130</t>
  </si>
  <si>
    <t>60–90</t>
  </si>
  <si>
    <t>200–500</t>
  </si>
  <si>
    <t>400–800</t>
  </si>
  <si>
    <t>350–600</t>
  </si>
  <si>
    <t>Nitrogênio total</t>
  </si>
  <si>
    <t>• Nitrogênio orgânico</t>
  </si>
  <si>
    <t>• Amônia</t>
  </si>
  <si>
    <t>•Nitrito</t>
  </si>
  <si>
    <t>• Nitrato</t>
  </si>
  <si>
    <t>6,0–112,0</t>
  </si>
  <si>
    <t>2,5–5,0</t>
  </si>
  <si>
    <t>3,5–7,0</t>
  </si>
  <si>
    <t>≈0</t>
  </si>
  <si>
    <t>0,0–0,5</t>
  </si>
  <si>
    <t>15–30</t>
  </si>
  <si>
    <t>20–40</t>
  </si>
  <si>
    <t>0–2</t>
  </si>
  <si>
    <t>Fósforo</t>
  </si>
  <si>
    <t>• Fósforo orgânico</t>
  </si>
  <si>
    <t>• Fósforo inorgânico</t>
  </si>
  <si>
    <t>1,0–4,5</t>
  </si>
  <si>
    <t>0,3–1,5</t>
  </si>
  <si>
    <t>0,7–3,0</t>
  </si>
  <si>
    <t>5–25</t>
  </si>
  <si>
    <t>2–8</t>
  </si>
  <si>
    <t>4–17</t>
  </si>
  <si>
    <t>pH</t>
  </si>
  <si>
    <t>6,7–7,5</t>
  </si>
  <si>
    <r>
      <t>Alcalinidade (mgCaCO</t>
    </r>
    <r>
      <rPr>
        <sz val="5"/>
        <color theme="1"/>
        <rFont val="Times"/>
        <family val="1"/>
      </rPr>
      <t>3</t>
    </r>
    <r>
      <rPr>
        <sz val="9"/>
        <color theme="1"/>
        <rFont val="Times"/>
        <family val="1"/>
      </rPr>
      <t>/L)</t>
    </r>
  </si>
  <si>
    <t>20–30</t>
  </si>
  <si>
    <t>20–50</t>
  </si>
  <si>
    <t>Cloretos</t>
  </si>
  <si>
    <t>4–8</t>
  </si>
  <si>
    <t>Óleos e graxas</t>
  </si>
  <si>
    <t>10–30</t>
  </si>
  <si>
    <t>55–170</t>
  </si>
  <si>
    <t>Prof. Carlos Ernando da Silva - Tratamento de Resíduos e Impactos Ambientais – UFSM/CT/HDS</t>
  </si>
  <si>
    <t>http://jararaca.ufsm.br/websites/ces/download/A1.pdf</t>
  </si>
  <si>
    <t>Nitrogênio</t>
  </si>
  <si>
    <t>Matéria orgânica</t>
  </si>
  <si>
    <t>kgN/m3</t>
  </si>
  <si>
    <t>kgN2O-N/kgN</t>
  </si>
  <si>
    <r>
      <t>t CH</t>
    </r>
    <r>
      <rPr>
        <vertAlign val="subscript"/>
        <sz val="11"/>
        <color theme="1"/>
        <rFont val="Calibri"/>
        <family val="2"/>
        <scheme val="minor"/>
      </rPr>
      <t>4</t>
    </r>
  </si>
  <si>
    <t>t N2O</t>
  </si>
  <si>
    <t>tCO2e</t>
  </si>
  <si>
    <t>IPCC, 2006; Tratamento de Resíduos e Impactos Ambientais – UFSM/CT/HDS</t>
  </si>
  <si>
    <t xml:space="preserve">Segundo a ferramenta “Tool to determine methane emissions avoided from disposal of waste at a solid waste disposal site” </t>
  </si>
  <si>
    <r>
      <t>aprovada pela UNFCCC, para se efetuar o cálculo da geração de CO</t>
    </r>
    <r>
      <rPr>
        <vertAlign val="subscript"/>
        <sz val="12"/>
        <rFont val="Calibri"/>
        <family val="2"/>
      </rPr>
      <t>2</t>
    </r>
    <r>
      <rPr>
        <sz val="12"/>
        <rFont val="Calibri"/>
        <family val="2"/>
      </rPr>
      <t>e a partir dos RSUs produzidos, deve-se seguir a fórmula abaixo:</t>
    </r>
  </si>
  <si>
    <t>Onde:</t>
  </si>
  <si>
    <r>
      <t>BE</t>
    </r>
    <r>
      <rPr>
        <b/>
        <i/>
        <vertAlign val="subscript"/>
        <sz val="11"/>
        <color indexed="8"/>
        <rFont val="Calibri"/>
        <family val="2"/>
      </rPr>
      <t>CH4,SWDS,y</t>
    </r>
    <r>
      <rPr>
        <b/>
        <i/>
        <sz val="11"/>
        <color indexed="8"/>
        <rFont val="Calibri"/>
        <family val="2"/>
      </rPr>
      <t xml:space="preserve"> </t>
    </r>
    <r>
      <rPr>
        <sz val="11"/>
        <color indexed="8"/>
        <rFont val="Calibri"/>
        <family val="2"/>
      </rPr>
      <t>= Emissões de metano pela disposição  de resíduos sólidos no sítio (SWDS) até o fim ou ano y (kgCO</t>
    </r>
    <r>
      <rPr>
        <vertAlign val="subscript"/>
        <sz val="11"/>
        <color indexed="8"/>
        <rFont val="Calibri"/>
        <family val="2"/>
      </rPr>
      <t>2</t>
    </r>
    <r>
      <rPr>
        <sz val="11"/>
        <color indexed="8"/>
        <rFont val="Calibri"/>
        <family val="2"/>
      </rPr>
      <t>e);</t>
    </r>
  </si>
  <si>
    <r>
      <t xml:space="preserve">φ </t>
    </r>
    <r>
      <rPr>
        <sz val="11"/>
        <color indexed="8"/>
        <rFont val="Calibri"/>
        <family val="2"/>
      </rPr>
      <t>= Fator de correção para contabilizar as incertezas;</t>
    </r>
  </si>
  <si>
    <r>
      <t xml:space="preserve">f </t>
    </r>
    <r>
      <rPr>
        <sz val="11"/>
        <color indexed="8"/>
        <rFont val="Calibri"/>
        <family val="2"/>
      </rPr>
      <t>= Fração do metano capturada no SWDS e queimada, ou usada de outras maneiras;</t>
    </r>
  </si>
  <si>
    <r>
      <t>GWP</t>
    </r>
    <r>
      <rPr>
        <b/>
        <i/>
        <vertAlign val="subscript"/>
        <sz val="11"/>
        <color indexed="8"/>
        <rFont val="Calibri"/>
        <family val="2"/>
      </rPr>
      <t>CH4</t>
    </r>
    <r>
      <rPr>
        <b/>
        <i/>
        <sz val="11"/>
        <color indexed="8"/>
        <rFont val="Calibri"/>
        <family val="2"/>
      </rPr>
      <t xml:space="preserve"> </t>
    </r>
    <r>
      <rPr>
        <sz val="11"/>
        <color indexed="8"/>
        <rFont val="Calibri"/>
        <family val="2"/>
      </rPr>
      <t>= Poder de aquecimento global (GWP) do metano, válido para o período de compromisso re;evante.</t>
    </r>
  </si>
  <si>
    <r>
      <t xml:space="preserve">OX </t>
    </r>
    <r>
      <rPr>
        <sz val="11"/>
        <color indexed="8"/>
        <rFont val="Calibri"/>
        <family val="2"/>
      </rPr>
      <t>= Fator de oxidação (reflete o montante de metano do SWDS que é oxidado no solo ou outro mate;ial durante a conversão dos resíduos).</t>
    </r>
  </si>
  <si>
    <r>
      <t xml:space="preserve">F </t>
    </r>
    <r>
      <rPr>
        <sz val="11"/>
        <color indexed="8"/>
        <rFont val="Calibri"/>
        <family val="2"/>
      </rPr>
      <t>= Fração do metano no gás de SWDS (fração do volume);</t>
    </r>
  </si>
  <si>
    <r>
      <t>DOC</t>
    </r>
    <r>
      <rPr>
        <b/>
        <i/>
        <vertAlign val="subscript"/>
        <sz val="11"/>
        <color indexed="8"/>
        <rFont val="Calibri"/>
        <family val="2"/>
      </rPr>
      <t xml:space="preserve">f </t>
    </r>
    <r>
      <rPr>
        <sz val="11"/>
        <color indexed="8"/>
        <rFont val="Calibri"/>
        <family val="2"/>
      </rPr>
      <t>= Fração de carbono degradável (DOC) que pode ser decomposta;</t>
    </r>
  </si>
  <si>
    <r>
      <t xml:space="preserve">MCF </t>
    </r>
    <r>
      <rPr>
        <sz val="11"/>
        <color indexed="8"/>
        <rFont val="Calibri"/>
        <family val="2"/>
      </rPr>
      <t>= Fator de correção de metano;</t>
    </r>
  </si>
  <si>
    <r>
      <t>W</t>
    </r>
    <r>
      <rPr>
        <b/>
        <i/>
        <vertAlign val="subscript"/>
        <sz val="11"/>
        <color indexed="8"/>
        <rFont val="Calibri"/>
        <family val="2"/>
      </rPr>
      <t>j,x</t>
    </r>
    <r>
      <rPr>
        <b/>
        <i/>
        <sz val="11"/>
        <color indexed="8"/>
        <rFont val="Calibri"/>
        <family val="2"/>
      </rPr>
      <t xml:space="preserve"> </t>
    </r>
    <r>
      <rPr>
        <sz val="11"/>
        <color indexed="8"/>
        <rFont val="Calibri"/>
        <family val="2"/>
      </rPr>
      <t xml:space="preserve">= Montante de resíduos orgânicos </t>
    </r>
    <r>
      <rPr>
        <i/>
        <sz val="11"/>
        <color indexed="8"/>
        <rFont val="Calibri"/>
        <family val="2"/>
      </rPr>
      <t xml:space="preserve">j </t>
    </r>
    <r>
      <rPr>
        <sz val="11"/>
        <color indexed="8"/>
        <rFont val="Calibri"/>
        <family val="2"/>
      </rPr>
      <t xml:space="preserve">que não foram dispostos no SWDS no ano </t>
    </r>
    <r>
      <rPr>
        <i/>
        <sz val="11"/>
        <color indexed="8"/>
        <rFont val="Calibri"/>
        <family val="2"/>
      </rPr>
      <t xml:space="preserve">x </t>
    </r>
    <r>
      <rPr>
        <sz val="11"/>
        <color indexed="8"/>
        <rFont val="Calibri"/>
        <family val="2"/>
      </rPr>
      <t>(quilos);</t>
    </r>
  </si>
  <si>
    <r>
      <t>DOC</t>
    </r>
    <r>
      <rPr>
        <b/>
        <i/>
        <vertAlign val="subscript"/>
        <sz val="11"/>
        <color indexed="8"/>
        <rFont val="Calibri"/>
        <family val="2"/>
      </rPr>
      <t>j</t>
    </r>
    <r>
      <rPr>
        <b/>
        <i/>
        <sz val="11"/>
        <color indexed="8"/>
        <rFont val="Calibri"/>
        <family val="2"/>
      </rPr>
      <t xml:space="preserve"> </t>
    </r>
    <r>
      <rPr>
        <sz val="11"/>
        <color indexed="8"/>
        <rFont val="Calibri"/>
        <family val="2"/>
      </rPr>
      <t xml:space="preserve">= Fração do carbono degradável (por peso) no resíduo </t>
    </r>
    <r>
      <rPr>
        <i/>
        <sz val="11"/>
        <color indexed="8"/>
        <rFont val="Calibri"/>
        <family val="2"/>
      </rPr>
      <t>j;</t>
    </r>
  </si>
  <si>
    <r>
      <t>k</t>
    </r>
    <r>
      <rPr>
        <b/>
        <i/>
        <vertAlign val="subscript"/>
        <sz val="11"/>
        <color indexed="8"/>
        <rFont val="Calibri"/>
        <family val="2"/>
      </rPr>
      <t>j</t>
    </r>
    <r>
      <rPr>
        <b/>
        <i/>
        <sz val="11"/>
        <color indexed="8"/>
        <rFont val="Calibri"/>
        <family val="2"/>
      </rPr>
      <t xml:space="preserve"> </t>
    </r>
    <r>
      <rPr>
        <sz val="11"/>
        <color indexed="8"/>
        <rFont val="Calibri"/>
        <family val="2"/>
      </rPr>
      <t xml:space="preserve">= Constante de decaimento do resíduo </t>
    </r>
    <r>
      <rPr>
        <i/>
        <sz val="11"/>
        <color indexed="8"/>
        <rFont val="Calibri"/>
        <family val="2"/>
      </rPr>
      <t xml:space="preserve">j </t>
    </r>
    <r>
      <rPr>
        <sz val="11"/>
        <color indexed="8"/>
        <rFont val="Calibri"/>
        <family val="2"/>
      </rPr>
      <t xml:space="preserve">determinado usando MAT&gt;20°C and MAP </t>
    </r>
    <r>
      <rPr>
        <sz val="11"/>
        <color indexed="8"/>
        <rFont val="Calibri"/>
        <family val="2"/>
      </rPr>
      <t>±</t>
    </r>
    <r>
      <rPr>
        <sz val="11"/>
        <color indexed="8"/>
        <rFont val="Calibri"/>
        <family val="2"/>
      </rPr>
      <t xml:space="preserve"> 1000 mm;</t>
    </r>
  </si>
  <si>
    <r>
      <t xml:space="preserve">j </t>
    </r>
    <r>
      <rPr>
        <sz val="11"/>
        <color indexed="8"/>
        <rFont val="Calibri"/>
        <family val="2"/>
      </rPr>
      <t>= Tipo da categoria do resíduo (indexado);</t>
    </r>
  </si>
  <si>
    <r>
      <t xml:space="preserve">x </t>
    </r>
    <r>
      <rPr>
        <sz val="11"/>
        <color indexed="8"/>
        <rFont val="Calibri"/>
        <family val="2"/>
      </rPr>
      <t>= Ano durante o período de creditação: x corre a partir do primeiro ano do primeiro período de creditação (x = 1) até o ano y para o qual as emissões evitadas são calculadas (x = y);</t>
    </r>
  </si>
  <si>
    <r>
      <t xml:space="preserve">y </t>
    </r>
    <r>
      <rPr>
        <sz val="11"/>
        <color indexed="8"/>
        <rFont val="Calibri"/>
        <family val="2"/>
      </rPr>
      <t>= Ano para o qual as emissões de metano são calculadas.</t>
    </r>
  </si>
  <si>
    <r>
      <t>Para efeito de contabilização das emissões de CO</t>
    </r>
    <r>
      <rPr>
        <vertAlign val="subscript"/>
        <sz val="12"/>
        <rFont val="Calibri"/>
        <family val="2"/>
      </rPr>
      <t>2</t>
    </r>
    <r>
      <rPr>
        <sz val="12"/>
        <rFont val="Calibri"/>
        <family val="2"/>
      </rPr>
      <t xml:space="preserve">e, considerou-se que todo o RSU disposto no aterro se degrade no mesmo ano, sendo que o resultado da equação </t>
    </r>
  </si>
  <si>
    <t>é o potencial de geração de metano. Portanto foi desconsiderada a contante de decaimento e fatores que não influenciam na geração do metano. Vide fórmula a seguir:</t>
  </si>
  <si>
    <t>Valor padrão (UNFCCC);</t>
  </si>
  <si>
    <t>OX=</t>
  </si>
  <si>
    <t>Considerou-se aterro sanitário (anaeróbio) - Medida conservadora;</t>
  </si>
  <si>
    <t>16/12=</t>
  </si>
  <si>
    <t>Rateio Molecular por peso;</t>
  </si>
  <si>
    <t>F=</t>
  </si>
  <si>
    <t>Valor utilizado utilizado em PDDs;</t>
  </si>
  <si>
    <t>Valor padrão (IPCC 2006);</t>
  </si>
  <si>
    <t xml:space="preserve">MCF = </t>
  </si>
  <si>
    <t>Valor padrão para mistura de RSU (IPCC 2006).</t>
  </si>
  <si>
    <t>Quantidade Resíduos em toneladas</t>
  </si>
  <si>
    <t>Emissão de tCH4</t>
  </si>
  <si>
    <t>Emissão de tCO2e</t>
  </si>
  <si>
    <t>Óleo Diesel</t>
  </si>
  <si>
    <t>litros</t>
  </si>
  <si>
    <t>IPCC2006</t>
  </si>
  <si>
    <t>Combustível</t>
  </si>
  <si>
    <t>Unidades</t>
  </si>
  <si>
    <t>Poder calorífico INFERIOR (GJ / t)</t>
  </si>
  <si>
    <t>Densidade</t>
  </si>
  <si>
    <t>Fatores de Emissão</t>
  </si>
  <si>
    <r>
      <t>CO</t>
    </r>
    <r>
      <rPr>
        <b/>
        <vertAlign val="subscript"/>
        <sz val="12"/>
        <rFont val="Calibri"/>
        <family val="2"/>
      </rPr>
      <t>2</t>
    </r>
    <r>
      <rPr>
        <b/>
        <sz val="12"/>
        <rFont val="Calibri"/>
        <family val="2"/>
      </rPr>
      <t xml:space="preserve"> (kg/un.)</t>
    </r>
  </si>
  <si>
    <r>
      <t>CH</t>
    </r>
    <r>
      <rPr>
        <b/>
        <vertAlign val="subscript"/>
        <sz val="12"/>
        <rFont val="Calibri"/>
        <family val="2"/>
      </rPr>
      <t>4</t>
    </r>
    <r>
      <rPr>
        <b/>
        <sz val="12"/>
        <rFont val="Calibri"/>
        <family val="2"/>
      </rPr>
      <t xml:space="preserve"> (kg/un.) por setor de atividade</t>
    </r>
  </si>
  <si>
    <r>
      <t>N</t>
    </r>
    <r>
      <rPr>
        <b/>
        <vertAlign val="subscript"/>
        <sz val="12"/>
        <rFont val="Calibri"/>
        <family val="2"/>
      </rPr>
      <t>2</t>
    </r>
    <r>
      <rPr>
        <b/>
        <sz val="12"/>
        <rFont val="Calibri"/>
        <family val="2"/>
      </rPr>
      <t>O (kg/un.) por setor de atividade</t>
    </r>
  </si>
  <si>
    <t>(kg/ unidade)</t>
  </si>
  <si>
    <t>Biodiesel</t>
  </si>
  <si>
    <t>Diesel</t>
  </si>
  <si>
    <t>Quantidade de biodiesel no Diesel</t>
  </si>
  <si>
    <t>em litros</t>
  </si>
  <si>
    <t>tCO2 No caso de Biodiesel, CO2 é contabilizado à parte pois é renovável.</t>
  </si>
  <si>
    <t>tCH4</t>
  </si>
  <si>
    <t>tN2O</t>
  </si>
  <si>
    <t>Emissão em tCO2e</t>
  </si>
  <si>
    <t>Fonte: Table 7.9 of Volume 3 of the IPCC guidelines.</t>
  </si>
  <si>
    <t>Perda Anual</t>
  </si>
  <si>
    <t>Preencha a composição do resíduo gerado pela organização. Preencha apenas para os anos em que houve disposição de resíduos.</t>
  </si>
  <si>
    <t>Preencha com a porcentagem, de 0 a 100, correspondente a cada tipo de resíduo, em relação ao resíduo total.</t>
  </si>
  <si>
    <r>
      <t xml:space="preserve">Caso a soma da composição não atinja 100%, a diferença será automaticamente atribuída à categoria </t>
    </r>
    <r>
      <rPr>
        <i/>
        <sz val="10"/>
        <rFont val="Arial"/>
        <family val="2"/>
      </rPr>
      <t>Outros</t>
    </r>
    <r>
      <rPr>
        <sz val="11"/>
        <color theme="1"/>
        <rFont val="Calibri"/>
        <family val="2"/>
        <scheme val="minor"/>
      </rPr>
      <t>.</t>
    </r>
  </si>
  <si>
    <r>
      <t xml:space="preserve">A categoria </t>
    </r>
    <r>
      <rPr>
        <i/>
        <sz val="10"/>
        <rFont val="Arial"/>
        <family val="2"/>
      </rPr>
      <t>Outros</t>
    </r>
    <r>
      <rPr>
        <sz val="11"/>
        <color theme="1"/>
        <rFont val="Calibri"/>
        <family val="2"/>
        <scheme val="minor"/>
      </rPr>
      <t xml:space="preserve"> representa os resíduos inertes que, em condições anaeróbicas, não geram metano (CH</t>
    </r>
    <r>
      <rPr>
        <vertAlign val="subscript"/>
        <sz val="10"/>
        <rFont val="Arial"/>
        <family val="2"/>
      </rPr>
      <t>4</t>
    </r>
    <r>
      <rPr>
        <sz val="11"/>
        <color theme="1"/>
        <rFont val="Calibri"/>
        <family val="2"/>
        <scheme val="minor"/>
      </rPr>
      <t>) como produto de sua decomposição.</t>
    </r>
  </si>
  <si>
    <t>Composição do resíduo</t>
  </si>
  <si>
    <t>A - Papéis/papelão</t>
  </si>
  <si>
    <t>A / Total       [%]</t>
  </si>
  <si>
    <t>B - Resíduos têxteis</t>
  </si>
  <si>
    <t>B / Total       [%]</t>
  </si>
  <si>
    <t>C - Resíduos alimentares</t>
  </si>
  <si>
    <t>C / Total       [%]</t>
  </si>
  <si>
    <t>D - Madeira</t>
  </si>
  <si>
    <t>D / Total       [%]</t>
  </si>
  <si>
    <t>E - Resíduos de jardim e parque</t>
  </si>
  <si>
    <t>E / Total       [%]</t>
  </si>
  <si>
    <t>F - Fraldas</t>
  </si>
  <si>
    <t>F / Total       [%]</t>
  </si>
  <si>
    <t>G - Borracha e couro</t>
  </si>
  <si>
    <t>G / Total      [%]</t>
  </si>
  <si>
    <t>Outros materiais inertes</t>
  </si>
  <si>
    <t>[%]</t>
  </si>
  <si>
    <t>DOC - Carbono Orgânico Degradável no ano</t>
  </si>
  <si>
    <t>[tC/tMSW]</t>
  </si>
  <si>
    <t>Emissão em toneladas de metano pelo resíduo gerado</t>
  </si>
  <si>
    <t>Emissão em toneladas de CO2 equivalente pelo resíduo gerado</t>
  </si>
  <si>
    <t>Carga Inicial (Kg)</t>
  </si>
  <si>
    <t>Perda Anual (KG)</t>
  </si>
  <si>
    <t>Fator GWP R410a</t>
  </si>
  <si>
    <t>(escopo 1)</t>
  </si>
  <si>
    <t>resultado mensal teste</t>
  </si>
  <si>
    <t>Recomendação</t>
  </si>
  <si>
    <t>Por andares ativos (percentual de consumo real)</t>
  </si>
  <si>
    <t>Total tCO2e</t>
  </si>
  <si>
    <t>Energia elétrica em kWh</t>
  </si>
  <si>
    <t>Efluentes</t>
  </si>
  <si>
    <t xml:space="preserve">UNFCCC “Tool to determine methane emissions avoided from disposal of waste at a solid waste disposal site” </t>
  </si>
  <si>
    <t>F de emissão (tCO2e/MWh)</t>
  </si>
  <si>
    <t>Resíduos Reciclados</t>
  </si>
  <si>
    <t>Composição do resíduo Média</t>
  </si>
  <si>
    <t>P.Solares</t>
  </si>
  <si>
    <t>Evitadas</t>
  </si>
  <si>
    <t>Emissões (tCO2e)</t>
  </si>
  <si>
    <t xml:space="preserve"> tCO2e</t>
  </si>
  <si>
    <t>H / Total      [%]</t>
  </si>
  <si>
    <t>I / Total      [%]</t>
  </si>
  <si>
    <t>J / Total      [%]</t>
  </si>
  <si>
    <t>H - Plástico</t>
  </si>
  <si>
    <t>I - Vidro</t>
  </si>
  <si>
    <t>Quantidade Resíduos reciclados em t</t>
  </si>
  <si>
    <t>Deve ser inserido o valor total dos resíduos reciclados como Vidro, Plástico, Alumínio, Papéis somados</t>
  </si>
  <si>
    <t>Emissão evitada em toneladas de metano pela reciclagem do papel</t>
  </si>
  <si>
    <t>Consumo médio de combustível por tipo de frota</t>
  </si>
  <si>
    <t>Tipo do Veículo</t>
  </si>
  <si>
    <t>Todos os anos</t>
  </si>
  <si>
    <t>Automóvel a gasolina</t>
  </si>
  <si>
    <t>km / litro</t>
  </si>
  <si>
    <t>-</t>
  </si>
  <si>
    <t>Automóvel flex a gasolina</t>
  </si>
  <si>
    <t>Automóvel flex a etanol</t>
  </si>
  <si>
    <t>Automóvel a GNV</t>
  </si>
  <si>
    <t>km / m³</t>
  </si>
  <si>
    <t>Motocicleta a gasolina</t>
  </si>
  <si>
    <t>Motocicleta flex a gasolina</t>
  </si>
  <si>
    <t>Motocicleta flex a etanol</t>
  </si>
  <si>
    <t>Veículo comercial leve a gasolina</t>
  </si>
  <si>
    <t>Veículo comercial leve flex a gasolina</t>
  </si>
  <si>
    <t>Veículo comercial leve flex a etanol</t>
  </si>
  <si>
    <t>Veículo comercial leve a diesel</t>
  </si>
  <si>
    <t>Micro-ônibus a diesel</t>
  </si>
  <si>
    <t>Ônibus rodoviário a diesel</t>
  </si>
  <si>
    <t>Ônibus urbano a diesel</t>
  </si>
  <si>
    <t>Caminhão semileve a diesel</t>
  </si>
  <si>
    <t>Caminhão leve a diesel</t>
  </si>
  <si>
    <t>Caminhão médio a diesel</t>
  </si>
  <si>
    <t>Caminhão semipesado a diesel</t>
  </si>
  <si>
    <t>Caminhão pesado a diesel</t>
  </si>
  <si>
    <t>Fonte: MMA (2014)</t>
  </si>
  <si>
    <t>Fator de emissão por tipo de combustível</t>
  </si>
  <si>
    <t>Fonte</t>
  </si>
  <si>
    <t>Fatores de Emissão (kg GEE/un.)</t>
  </si>
  <si>
    <t>(kcal/kg)</t>
  </si>
  <si>
    <t>(kg/unidade)</t>
  </si>
  <si>
    <r>
      <t>CO</t>
    </r>
    <r>
      <rPr>
        <b/>
        <vertAlign val="subscript"/>
        <sz val="10"/>
        <rFont val="Arial"/>
        <family val="2"/>
      </rPr>
      <t>2</t>
    </r>
    <r>
      <rPr>
        <b/>
        <sz val="10"/>
        <rFont val="Arial"/>
        <family val="2"/>
      </rPr>
      <t xml:space="preserve"> </t>
    </r>
  </si>
  <si>
    <r>
      <t>CH</t>
    </r>
    <r>
      <rPr>
        <b/>
        <vertAlign val="subscript"/>
        <sz val="10"/>
        <rFont val="Arial"/>
        <family val="2"/>
      </rPr>
      <t>4</t>
    </r>
  </si>
  <si>
    <r>
      <t>N</t>
    </r>
    <r>
      <rPr>
        <b/>
        <vertAlign val="subscript"/>
        <sz val="10"/>
        <rFont val="Arial"/>
        <family val="2"/>
      </rPr>
      <t>2</t>
    </r>
    <r>
      <rPr>
        <b/>
        <sz val="10"/>
        <rFont val="Arial"/>
        <family val="2"/>
      </rPr>
      <t>O</t>
    </r>
  </si>
  <si>
    <t>Gasolina Automotiva (pura)</t>
  </si>
  <si>
    <t>Óleo Diesel (puro)</t>
  </si>
  <si>
    <t>Gás Natural Veicular (GNV)</t>
  </si>
  <si>
    <t>m³</t>
  </si>
  <si>
    <t>Gás Liquefeito de Petróleo (GLP)</t>
  </si>
  <si>
    <t>Querosene de Aviação</t>
  </si>
  <si>
    <t>Gasolina de Aviação</t>
  </si>
  <si>
    <t>Lubrificantes</t>
  </si>
  <si>
    <t>Óleo Combustível</t>
  </si>
  <si>
    <r>
      <t>CO</t>
    </r>
    <r>
      <rPr>
        <b/>
        <vertAlign val="subscript"/>
        <sz val="10"/>
        <rFont val="Arial"/>
        <family val="2"/>
      </rPr>
      <t>2</t>
    </r>
  </si>
  <si>
    <t>Etanol Hidratado</t>
  </si>
  <si>
    <t>Biodiesel (B100)</t>
  </si>
  <si>
    <t>Etanol Anidro</t>
  </si>
  <si>
    <t>* O etanol anidro é adicionado à gasolina.</t>
  </si>
  <si>
    <t>Tabela 1. Consumo médio de combustível por tipo de frota</t>
  </si>
  <si>
    <t>Tabela 2. Fatores de emissão por utilização de combustíveis fósseis em fontes móveis</t>
  </si>
  <si>
    <t>Tabela 3. Fatores de emissão por utilização biocombustível em fontes móveis</t>
  </si>
  <si>
    <t>CO2</t>
  </si>
  <si>
    <t>CH4</t>
  </si>
  <si>
    <t>N2O</t>
  </si>
  <si>
    <t>Parcela Fóssil</t>
  </si>
  <si>
    <t>Parcela renovável</t>
  </si>
  <si>
    <t>EMISSÃO POR QUILOMETRO (kg CO2e/km)</t>
  </si>
  <si>
    <t>Material</t>
  </si>
  <si>
    <t>Reciclagem do material</t>
  </si>
  <si>
    <t>Vidro</t>
  </si>
  <si>
    <t>Papel</t>
  </si>
  <si>
    <t>toneladas</t>
  </si>
  <si>
    <t>Emissão evitada em toneladas por não produzir Papel, Vidro, Plástico e Alumínio do início</t>
  </si>
  <si>
    <t>Emissão evitada em toneladas de CO2 equivalente por não jogá-lo no aterro sanitário</t>
  </si>
  <si>
    <t>Emissãototal evitada de tCO2e</t>
  </si>
  <si>
    <t>Metrô/trem</t>
  </si>
  <si>
    <t>gCO2e.pessoa/km</t>
  </si>
  <si>
    <t>kgCO2e</t>
  </si>
  <si>
    <r>
      <t>f</t>
    </r>
    <r>
      <rPr>
        <b/>
        <vertAlign val="subscript"/>
        <sz val="11"/>
        <color theme="1"/>
        <rFont val="Calibri"/>
        <family val="2"/>
        <scheme val="minor"/>
      </rPr>
      <t>DBO</t>
    </r>
  </si>
  <si>
    <r>
      <t>fc</t>
    </r>
    <r>
      <rPr>
        <b/>
        <vertAlign val="subscript"/>
        <sz val="11"/>
        <color theme="1"/>
        <rFont val="Calibri"/>
        <family val="2"/>
        <scheme val="minor"/>
      </rPr>
      <t>METANO</t>
    </r>
  </si>
  <si>
    <t>Comunicação</t>
  </si>
  <si>
    <t>Introdução</t>
  </si>
  <si>
    <t>INPUTS (KM RODADOS)</t>
  </si>
  <si>
    <t xml:space="preserve"> kg CO2e/km</t>
  </si>
  <si>
    <t>Resultado</t>
  </si>
  <si>
    <t>representatividade da carga em m3 ou peso sobre o total transportado</t>
  </si>
  <si>
    <t>Por passageiro</t>
  </si>
  <si>
    <t>Por carga, enomenda ou documentação</t>
  </si>
  <si>
    <t>não aplicável</t>
  </si>
  <si>
    <t>φ=</t>
  </si>
  <si>
    <r>
      <t>DOC</t>
    </r>
    <r>
      <rPr>
        <b/>
        <vertAlign val="subscript"/>
        <sz val="10"/>
        <rFont val="Arial"/>
        <family val="2"/>
      </rPr>
      <t>f</t>
    </r>
    <r>
      <rPr>
        <b/>
        <sz val="6"/>
        <rFont val="Arial"/>
        <family val="2"/>
      </rPr>
      <t xml:space="preserve"> </t>
    </r>
    <r>
      <rPr>
        <b/>
        <sz val="10"/>
        <rFont val="Arial"/>
        <family val="2"/>
      </rPr>
      <t>=</t>
    </r>
  </si>
  <si>
    <r>
      <t>DOC</t>
    </r>
    <r>
      <rPr>
        <b/>
        <vertAlign val="subscript"/>
        <sz val="10"/>
        <rFont val="Arial"/>
        <family val="2"/>
      </rPr>
      <t>j</t>
    </r>
    <r>
      <rPr>
        <b/>
        <sz val="6"/>
        <rFont val="Arial"/>
        <family val="2"/>
      </rPr>
      <t xml:space="preserve"> </t>
    </r>
    <r>
      <rPr>
        <b/>
        <sz val="10"/>
        <rFont val="Arial"/>
        <family val="2"/>
      </rPr>
      <t>=</t>
    </r>
  </si>
  <si>
    <t>Painel Solar</t>
  </si>
  <si>
    <t>Ministério da Ciência e Tecnologia</t>
  </si>
  <si>
    <t>(-) Emissões de Gases do Efeito Estufa</t>
  </si>
  <si>
    <t>(+) Emissões Evitadas ou Remoções</t>
  </si>
  <si>
    <t>Instruções/Recomendações de Alimentação</t>
  </si>
  <si>
    <t>Início</t>
  </si>
  <si>
    <t>Tabela de Resultados em KgCO2e/km</t>
  </si>
  <si>
    <t>Tabela de Input de KM rodados</t>
  </si>
  <si>
    <t>Informar carga inicial total em Kg e perda do sistema (%)</t>
  </si>
  <si>
    <t>Informar quantidade de resíduos em toneladas</t>
  </si>
  <si>
    <t>(+) Fontes de Emissões de Gases do Efeito Estufa</t>
  </si>
  <si>
    <t>(-) Emissões Evitadas ou Remoções de GEE</t>
  </si>
  <si>
    <t>Informar km rodados, modal de transporte e outras infos</t>
  </si>
  <si>
    <t>Informar energia elétrica gerada em kWh</t>
  </si>
  <si>
    <t>Dúvidas Respondidas</t>
  </si>
  <si>
    <t>Cálculo</t>
  </si>
  <si>
    <t>Cada planilha possui detalhes sobre o cálculo, premissas e referências utilizadas.</t>
  </si>
  <si>
    <t>Cada fonte de emissão ou remoção de gases do efeito estufa (GEE) possui uma planilha para cálculo específico.</t>
  </si>
  <si>
    <t>dividir pelo numero de ocupantes médio</t>
  </si>
  <si>
    <t>dividir por 25 ocupantes</t>
  </si>
  <si>
    <t>dividir por 45 ocupantes</t>
  </si>
  <si>
    <t>dividir por 75 ocupantes</t>
  </si>
  <si>
    <t>Representatividade</t>
  </si>
  <si>
    <t>Residências iluminadas por um mês</t>
  </si>
  <si>
    <t>Emissões reduzidas em toneladas</t>
  </si>
  <si>
    <t>Árvores plantadas</t>
  </si>
  <si>
    <t>ou</t>
  </si>
  <si>
    <t>Quilômetros rodados com um automóvel à gasolina</t>
  </si>
  <si>
    <t>e</t>
  </si>
  <si>
    <t>Equivale a número de voltas ao redor Terra, na linha do Equador, com automóvel à gasolina</t>
  </si>
  <si>
    <t>Total kg CO2e/km</t>
  </si>
  <si>
    <t>Manual</t>
  </si>
  <si>
    <t>Compostagem</t>
  </si>
  <si>
    <t>GALPÕES 06 E 07/Nº INSTALAÇÃO: 0200594790</t>
  </si>
  <si>
    <t>GALPÕES 25/Nº INSTALAÇÃO: 200689122</t>
  </si>
  <si>
    <t>GALPÕES 26 e 27/Nº INSTALAÇÃO: 0200594802</t>
  </si>
  <si>
    <t>Input de Energia</t>
  </si>
  <si>
    <t>Fatores de Energia</t>
  </si>
  <si>
    <t>Fator Médio Mensal (tCO2/MWh)</t>
  </si>
  <si>
    <t>MÊS</t>
  </si>
  <si>
    <t>ANO - 2020</t>
  </si>
  <si>
    <t>Janeiro</t>
  </si>
  <si>
    <t>Fevereiro</t>
  </si>
  <si>
    <t>Março</t>
  </si>
  <si>
    <t>Abril</t>
  </si>
  <si>
    <t>Maio</t>
  </si>
  <si>
    <t>Junho</t>
  </si>
  <si>
    <t>Julho</t>
  </si>
  <si>
    <t>Agosto</t>
  </si>
  <si>
    <t>Setembro</t>
  </si>
  <si>
    <t>Outubro</t>
  </si>
  <si>
    <t>Novembro</t>
  </si>
  <si>
    <t>Dezembro</t>
  </si>
  <si>
    <t>ANO - 2021</t>
  </si>
  <si>
    <t>Galpão</t>
  </si>
  <si>
    <t>06 e 07</t>
  </si>
  <si>
    <t>https://antigo.mctic.gov.br/mctic/opencms/ciencia/SEPED/clima/textogeral/emissao_corporativos.html</t>
  </si>
  <si>
    <t>Ministério da Ciência e Tecnologia, https://antigo.mctic.gov.br/mctic/opencms/ciencia/SEPED/clima/textogeral/emissao_corporativos.html</t>
  </si>
  <si>
    <t>MMA 2014, BEN 2020, Ferramenta GHG Protocol 2021, http://www.metro.sp.gov.br/metro/sustentabilidade/menos-emissao-gases.aspx</t>
  </si>
  <si>
    <t>BEN 2020</t>
  </si>
  <si>
    <t>Cálculo de Fatores</t>
  </si>
  <si>
    <t>Nome</t>
  </si>
  <si>
    <t>e-mail</t>
  </si>
  <si>
    <t>Telefone</t>
  </si>
  <si>
    <t>Perc. de etanol na gasolina</t>
  </si>
  <si>
    <t>Perc. de Biodiesel no Diesel</t>
  </si>
  <si>
    <t>Ano</t>
  </si>
  <si>
    <t>Parâmetros</t>
  </si>
  <si>
    <t>Mês</t>
  </si>
  <si>
    <t>Média Anual</t>
  </si>
  <si>
    <t>Jan</t>
  </si>
  <si>
    <t>Fev</t>
  </si>
  <si>
    <t>Mar</t>
  </si>
  <si>
    <t>Abr</t>
  </si>
  <si>
    <t>Mai</t>
  </si>
  <si>
    <t>Jun</t>
  </si>
  <si>
    <t>Jul</t>
  </si>
  <si>
    <t>Ago</t>
  </si>
  <si>
    <t>Set</t>
  </si>
  <si>
    <t>Out</t>
  </si>
  <si>
    <t>Nov</t>
  </si>
  <si>
    <t>Dez</t>
  </si>
  <si>
    <t>Porcentagem de etanol na gasolina</t>
  </si>
  <si>
    <t>http://extranet.agricultura.gov.br/sislegis-consulta/consultarLegislacao.do?operacao=visualizar&amp;id=338</t>
  </si>
  <si>
    <t xml:space="preserve">http://www.anp.gov.br/?pg=22999&amp;m=teste&amp;t1=&amp;t2=teste&amp;t3=&amp;t4=&amp;ar=0&amp;ps=1&amp;cachebust=1287660579265 </t>
  </si>
  <si>
    <t>Porcentagem de biodiesel no diesel</t>
  </si>
  <si>
    <t>https://www.gov.br/pt-br/noticias/energia-minerais-e-combustiveis/2020/03/percentual-obrigatorio-de-biodiesel-no-oleo-diesel-sobe-para-12</t>
  </si>
  <si>
    <t>https://epbr.com.br/anp-reduz-mistura-obrigatoria-de-biodiesel-para-10/#:~:text=%E2%80%9CA%20Diretoria%20Colegiada%20da%20ANP,21%20de%20junho%20de%202020.</t>
  </si>
  <si>
    <t>https://www.in.gov.br/en/web/dou/-/resolucao-anp-n-831-de-7-de-outubro-de-2020-281791734#:~:text=de%202020%2C%20resolve%3A-,Art.,abastecimento%20interno%20de%20diesel%20B.</t>
  </si>
  <si>
    <t xml:space="preserve">https://www.in.gov.br/en/web/dou/-/resolucao-n-824-de-13-de-agosto-de-2020-272239257 </t>
  </si>
  <si>
    <t>Considerado o valor médio de biodiesel para 2020.</t>
  </si>
  <si>
    <t>http://pesquisa.in.gov.br/imprensa/jsp/visualiza/index.jsp?data=06/03/2015&amp;jornal=1&amp;pagina=17&amp;totalArquivos=200</t>
  </si>
  <si>
    <t>Foram utilizados todos os meses apresentados desde que o fator de emissão estivesse disponível. A partir de julho de 2021 os fatores não estavam disponíveis.</t>
  </si>
  <si>
    <t>Tabela 21. Potencial de aquecimento global (GWP) dos gases de efeito estufa controlados pelo Protocolo de Quioto.</t>
  </si>
  <si>
    <t>Gás</t>
  </si>
  <si>
    <t>GWP</t>
  </si>
  <si>
    <t>Referência</t>
  </si>
  <si>
    <r>
      <t>Dióxido de carbono (CO</t>
    </r>
    <r>
      <rPr>
        <vertAlign val="subscript"/>
        <sz val="11"/>
        <rFont val="Calibri Light"/>
        <family val="2"/>
      </rPr>
      <t>2</t>
    </r>
    <r>
      <rPr>
        <sz val="11"/>
        <rFont val="Calibri Light"/>
        <family val="2"/>
      </rPr>
      <t>)</t>
    </r>
  </si>
  <si>
    <t>IPCC 2007</t>
  </si>
  <si>
    <r>
      <t>Metano (CH</t>
    </r>
    <r>
      <rPr>
        <vertAlign val="subscript"/>
        <sz val="11"/>
        <rFont val="Calibri Light"/>
        <family val="2"/>
      </rPr>
      <t>4</t>
    </r>
    <r>
      <rPr>
        <sz val="11"/>
        <rFont val="Calibri Light"/>
        <family val="2"/>
      </rPr>
      <t>)</t>
    </r>
  </si>
  <si>
    <r>
      <t>Óxido nitroso (N</t>
    </r>
    <r>
      <rPr>
        <vertAlign val="subscript"/>
        <sz val="11"/>
        <rFont val="Calibri Light"/>
        <family val="2"/>
      </rPr>
      <t>2</t>
    </r>
    <r>
      <rPr>
        <sz val="11"/>
        <rFont val="Calibri Light"/>
        <family val="2"/>
      </rPr>
      <t>O)</t>
    </r>
  </si>
  <si>
    <t>HFC-23</t>
  </si>
  <si>
    <t>HFC-32</t>
  </si>
  <si>
    <t>HFC-41</t>
  </si>
  <si>
    <t>HFC-125</t>
  </si>
  <si>
    <t>HFC-134</t>
  </si>
  <si>
    <t>HFC-134a</t>
  </si>
  <si>
    <t>HFC-143</t>
  </si>
  <si>
    <t>HFC-143a</t>
  </si>
  <si>
    <t>HFC-152</t>
  </si>
  <si>
    <t>HFC-152a</t>
  </si>
  <si>
    <t>HFC-161</t>
  </si>
  <si>
    <t>HFC-227ea</t>
  </si>
  <si>
    <t>HFC-236cb</t>
  </si>
  <si>
    <t>HFC-236ea</t>
  </si>
  <si>
    <t>HFC-236fa</t>
  </si>
  <si>
    <t>HFC-245ca</t>
  </si>
  <si>
    <t>HFC-245fa</t>
  </si>
  <si>
    <t>HFC-365mfc</t>
  </si>
  <si>
    <t>HFC-43-10mee</t>
  </si>
  <si>
    <r>
      <t>Hexafluoreto de enxofre (SF</t>
    </r>
    <r>
      <rPr>
        <vertAlign val="subscript"/>
        <sz val="11"/>
        <rFont val="Calibri Light"/>
        <family val="2"/>
      </rPr>
      <t>6</t>
    </r>
    <r>
      <rPr>
        <sz val="11"/>
        <rFont val="Calibri Light"/>
        <family val="2"/>
      </rPr>
      <t>)</t>
    </r>
  </si>
  <si>
    <r>
      <t>Trifluoreto de nitrogênio (NF</t>
    </r>
    <r>
      <rPr>
        <vertAlign val="subscript"/>
        <sz val="11"/>
        <rFont val="Calibri Light"/>
        <family val="2"/>
      </rPr>
      <t>3</t>
    </r>
    <r>
      <rPr>
        <sz val="11"/>
        <rFont val="Calibri Light"/>
        <family val="2"/>
      </rPr>
      <t>)</t>
    </r>
  </si>
  <si>
    <t>PFC-14</t>
  </si>
  <si>
    <t>PFC-116</t>
  </si>
  <si>
    <t>PFC-218</t>
  </si>
  <si>
    <t>PFC-318</t>
  </si>
  <si>
    <t>PFC-3-1-10</t>
  </si>
  <si>
    <t>PFC-4-1-12</t>
  </si>
  <si>
    <t>PFC-5-1-14</t>
  </si>
  <si>
    <t>PFC-9-1-18</t>
  </si>
  <si>
    <t>Trifluorometil pentafluoreto de enxofre</t>
  </si>
  <si>
    <t>Perfluorociclopropano</t>
  </si>
  <si>
    <t>R-400</t>
  </si>
  <si>
    <t>IPCC 2007
e
ASHRAE 2010</t>
  </si>
  <si>
    <t>R-401A</t>
  </si>
  <si>
    <t>R-401B</t>
  </si>
  <si>
    <t>R-401C</t>
  </si>
  <si>
    <t>R-402A</t>
  </si>
  <si>
    <t>R-402B</t>
  </si>
  <si>
    <t>R-403A</t>
  </si>
  <si>
    <t>R-403B</t>
  </si>
  <si>
    <t>R-404A</t>
  </si>
  <si>
    <t>R-406A</t>
  </si>
  <si>
    <t>R-407A</t>
  </si>
  <si>
    <t>R-407B</t>
  </si>
  <si>
    <t>R-407C</t>
  </si>
  <si>
    <t>R-407D</t>
  </si>
  <si>
    <t>R-407E</t>
  </si>
  <si>
    <t>R-407F</t>
  </si>
  <si>
    <t>R-408A</t>
  </si>
  <si>
    <t>R-409A</t>
  </si>
  <si>
    <t>R-409B</t>
  </si>
  <si>
    <t>R-410A</t>
  </si>
  <si>
    <t>R-410B</t>
  </si>
  <si>
    <t>R-411A</t>
  </si>
  <si>
    <t>R-411B</t>
  </si>
  <si>
    <t>R-412A</t>
  </si>
  <si>
    <t>R-413A</t>
  </si>
  <si>
    <t>R-414A</t>
  </si>
  <si>
    <t>R-414B</t>
  </si>
  <si>
    <t>R-415A</t>
  </si>
  <si>
    <t>R-415B</t>
  </si>
  <si>
    <t>R-416A</t>
  </si>
  <si>
    <t>R-417A</t>
  </si>
  <si>
    <t>R-417B</t>
  </si>
  <si>
    <t>R-417C</t>
  </si>
  <si>
    <t>R-418A</t>
  </si>
  <si>
    <t>R-419A</t>
  </si>
  <si>
    <t>R-419B</t>
  </si>
  <si>
    <t>R-420A</t>
  </si>
  <si>
    <t>R-421A</t>
  </si>
  <si>
    <t>R-421B</t>
  </si>
  <si>
    <t>R-422A</t>
  </si>
  <si>
    <t>R-422B</t>
  </si>
  <si>
    <t>R-422C</t>
  </si>
  <si>
    <t>R-422D</t>
  </si>
  <si>
    <t>R-422E</t>
  </si>
  <si>
    <t>R-423A</t>
  </si>
  <si>
    <t>R-424A</t>
  </si>
  <si>
    <t>R-425A</t>
  </si>
  <si>
    <t>R-426A</t>
  </si>
  <si>
    <t>R-427A</t>
  </si>
  <si>
    <t>R-428A</t>
  </si>
  <si>
    <t>R-429A</t>
  </si>
  <si>
    <t>R-430A</t>
  </si>
  <si>
    <t>R-431A</t>
  </si>
  <si>
    <t>R-432A</t>
  </si>
  <si>
    <t>R-433A</t>
  </si>
  <si>
    <t>R-434A</t>
  </si>
  <si>
    <t>R-435A</t>
  </si>
  <si>
    <t>R-436A</t>
  </si>
  <si>
    <t>R-436B</t>
  </si>
  <si>
    <t>R-437A</t>
  </si>
  <si>
    <t>R-438A</t>
  </si>
  <si>
    <t>R-439A</t>
  </si>
  <si>
    <t>R-440A</t>
  </si>
  <si>
    <t>R-441A</t>
  </si>
  <si>
    <t>R-442A</t>
  </si>
  <si>
    <t>R-443A</t>
  </si>
  <si>
    <t>R-444A</t>
  </si>
  <si>
    <t>R-445A</t>
  </si>
  <si>
    <t>R-500</t>
  </si>
  <si>
    <t>R-501</t>
  </si>
  <si>
    <t>R-502</t>
  </si>
  <si>
    <t>R-503</t>
  </si>
  <si>
    <t>R-504</t>
  </si>
  <si>
    <t>R-505</t>
  </si>
  <si>
    <t>R-506</t>
  </si>
  <si>
    <t>R-507 ou R-507A</t>
  </si>
  <si>
    <t>R-508A</t>
  </si>
  <si>
    <t>R-508B</t>
  </si>
  <si>
    <t>R-509 ou R-509A</t>
  </si>
  <si>
    <t>R-510A</t>
  </si>
  <si>
    <t>R-511A</t>
  </si>
  <si>
    <t>R-512A</t>
  </si>
  <si>
    <t>Potencial de Aquecimento Global para GEE controlados pelo Protocolo de Quioto</t>
  </si>
  <si>
    <t>Compostagem anaeróbica</t>
  </si>
  <si>
    <t>Orientações:</t>
  </si>
  <si>
    <r>
      <t xml:space="preserve">     as emissões de CH</t>
    </r>
    <r>
      <rPr>
        <vertAlign val="subscript"/>
        <sz val="11"/>
        <rFont val="Calibri Light"/>
        <family val="2"/>
      </rPr>
      <t>4</t>
    </r>
    <r>
      <rPr>
        <sz val="11"/>
        <rFont val="Calibri Light"/>
        <family val="2"/>
      </rPr>
      <t xml:space="preserve"> e N</t>
    </r>
    <r>
      <rPr>
        <vertAlign val="subscript"/>
        <sz val="11"/>
        <rFont val="Calibri Light"/>
        <family val="2"/>
      </rPr>
      <t>2</t>
    </r>
    <r>
      <rPr>
        <sz val="11"/>
        <rFont val="Calibri Light"/>
        <family val="2"/>
      </rPr>
      <t xml:space="preserve">O da compostagem de resíduos. </t>
    </r>
  </si>
  <si>
    <t>Passo 1.   Quantidade de resíduo destinado a compostagem (caso não haja compostagem, deixe esta seção em branco)</t>
  </si>
  <si>
    <t>Massa de resíduo* destinado à compostagem</t>
  </si>
  <si>
    <t>[t/ano]</t>
  </si>
  <si>
    <t>* O cálculo das emissões por compostagem é baseado na massa úmida de resíduo.</t>
  </si>
  <si>
    <t>Passo 2.    Outros elementos</t>
  </si>
  <si>
    <r>
      <t>Se possuir um fator de emissão de CH</t>
    </r>
    <r>
      <rPr>
        <vertAlign val="subscript"/>
        <sz val="11"/>
        <rFont val="Calibri Light"/>
        <family val="2"/>
      </rPr>
      <t>4</t>
    </r>
    <r>
      <rPr>
        <sz val="11"/>
        <rFont val="Calibri Light"/>
        <family val="2"/>
      </rPr>
      <t xml:space="preserve"> e N</t>
    </r>
    <r>
      <rPr>
        <vertAlign val="subscript"/>
        <sz val="11"/>
        <rFont val="Calibri Light"/>
        <family val="2"/>
      </rPr>
      <t>2</t>
    </r>
    <r>
      <rPr>
        <sz val="11"/>
        <rFont val="Calibri Light"/>
        <family val="2"/>
      </rPr>
      <t>O específico para o resíduo e/ou a região que se localiza o centro de compostagem, preencha os campos dos fatores de emissão abaixo.</t>
    </r>
  </si>
  <si>
    <r>
      <t>Caso não os possua, deixe os campos em branco, serão utilizados os valores padrão (</t>
    </r>
    <r>
      <rPr>
        <i/>
        <sz val="11"/>
        <rFont val="Calibri Light"/>
        <family val="2"/>
      </rPr>
      <t>defaults</t>
    </r>
    <r>
      <rPr>
        <sz val="11"/>
        <rFont val="Calibri Light"/>
        <family val="2"/>
      </rPr>
      <t>) sugeridos pelo IPCC (2006).</t>
    </r>
  </si>
  <si>
    <r>
      <t>Fator de emissão de CH</t>
    </r>
    <r>
      <rPr>
        <vertAlign val="subscript"/>
        <sz val="11"/>
        <rFont val="Calibri Light"/>
        <family val="2"/>
      </rPr>
      <t>4</t>
    </r>
  </si>
  <si>
    <r>
      <t xml:space="preserve"> [gCH</t>
    </r>
    <r>
      <rPr>
        <vertAlign val="subscript"/>
        <sz val="11"/>
        <rFont val="Calibri Light"/>
        <family val="2"/>
      </rPr>
      <t>4</t>
    </r>
    <r>
      <rPr>
        <sz val="11"/>
        <rFont val="Calibri Light"/>
        <family val="2"/>
      </rPr>
      <t>/kg</t>
    </r>
    <r>
      <rPr>
        <vertAlign val="subscript"/>
        <sz val="11"/>
        <rFont val="Calibri Light"/>
        <family val="2"/>
      </rPr>
      <t>resíduo</t>
    </r>
    <r>
      <rPr>
        <sz val="11"/>
        <rFont val="Calibri Light"/>
        <family val="2"/>
      </rPr>
      <t>]</t>
    </r>
  </si>
  <si>
    <r>
      <t>Fator de emissão de N</t>
    </r>
    <r>
      <rPr>
        <vertAlign val="subscript"/>
        <sz val="11"/>
        <rFont val="Calibri Light"/>
        <family val="2"/>
      </rPr>
      <t>2</t>
    </r>
    <r>
      <rPr>
        <sz val="11"/>
        <rFont val="Calibri Light"/>
        <family val="2"/>
      </rPr>
      <t>O</t>
    </r>
  </si>
  <si>
    <r>
      <t>[gN</t>
    </r>
    <r>
      <rPr>
        <vertAlign val="subscript"/>
        <sz val="11"/>
        <rFont val="Calibri Light"/>
        <family val="2"/>
      </rPr>
      <t>2</t>
    </r>
    <r>
      <rPr>
        <sz val="11"/>
        <rFont val="Calibri Light"/>
        <family val="2"/>
      </rPr>
      <t>O/kg</t>
    </r>
    <r>
      <rPr>
        <vertAlign val="subscript"/>
        <sz val="11"/>
        <rFont val="Calibri Light"/>
        <family val="2"/>
      </rPr>
      <t>resíduo</t>
    </r>
    <r>
      <rPr>
        <sz val="11"/>
        <rFont val="Calibri Light"/>
        <family val="2"/>
      </rPr>
      <t>]</t>
    </r>
  </si>
  <si>
    <r>
      <t>Passo 3.    Recuperação de CH</t>
    </r>
    <r>
      <rPr>
        <b/>
        <vertAlign val="subscript"/>
        <sz val="11"/>
        <rFont val="Calibri Light"/>
        <family val="2"/>
      </rPr>
      <t>4</t>
    </r>
  </si>
  <si>
    <r>
      <t>Quantidade de CH</t>
    </r>
    <r>
      <rPr>
        <vertAlign val="subscript"/>
        <sz val="11"/>
        <rFont val="Calibri Light"/>
        <family val="2"/>
      </rPr>
      <t>4</t>
    </r>
    <r>
      <rPr>
        <sz val="11"/>
        <rFont val="Calibri Light"/>
        <family val="2"/>
      </rPr>
      <t xml:space="preserve"> recuperada do tratamento por compostagem</t>
    </r>
  </si>
  <si>
    <r>
      <t>[tCH</t>
    </r>
    <r>
      <rPr>
        <vertAlign val="subscript"/>
        <sz val="11"/>
        <rFont val="Calibri Light"/>
        <family val="2"/>
      </rPr>
      <t>4</t>
    </r>
    <r>
      <rPr>
        <sz val="11"/>
        <rFont val="Calibri Light"/>
        <family val="2"/>
      </rPr>
      <t>/ano]</t>
    </r>
  </si>
  <si>
    <r>
      <t>*CH</t>
    </r>
    <r>
      <rPr>
        <vertAlign val="subscript"/>
        <sz val="11"/>
        <rFont val="Calibri Light"/>
        <family val="2"/>
      </rPr>
      <t>4</t>
    </r>
    <r>
      <rPr>
        <sz val="11"/>
        <rFont val="Calibri Light"/>
        <family val="2"/>
      </rPr>
      <t xml:space="preserve"> Recuperado - Metano gerado que é recuperado, ou seja não é emitido, e queimado em um queimador ("flare") ou utilizado para geração de energia (eletricidade, calor, etc).</t>
    </r>
  </si>
  <si>
    <t>Tabela 2.   Emissões totais de resíduos tratados por compostagem no ano inventariado</t>
  </si>
  <si>
    <r>
      <t>Emissões de CH</t>
    </r>
    <r>
      <rPr>
        <b/>
        <vertAlign val="subscript"/>
        <sz val="11"/>
        <rFont val="Calibri Light"/>
        <family val="2"/>
      </rPr>
      <t>4</t>
    </r>
    <r>
      <rPr>
        <b/>
        <sz val="11"/>
        <rFont val="Calibri Light"/>
        <family val="2"/>
      </rPr>
      <t xml:space="preserve">  por compostagem</t>
    </r>
  </si>
  <si>
    <r>
      <t>[tCH</t>
    </r>
    <r>
      <rPr>
        <b/>
        <vertAlign val="subscript"/>
        <sz val="11"/>
        <rFont val="Calibri Light"/>
        <family val="2"/>
      </rPr>
      <t>4</t>
    </r>
    <r>
      <rPr>
        <b/>
        <sz val="11"/>
        <rFont val="Calibri Light"/>
        <family val="2"/>
      </rPr>
      <t>/ano]</t>
    </r>
  </si>
  <si>
    <r>
      <t>Emissões de N</t>
    </r>
    <r>
      <rPr>
        <b/>
        <vertAlign val="subscript"/>
        <sz val="11"/>
        <rFont val="Calibri Light"/>
        <family val="2"/>
      </rPr>
      <t>2</t>
    </r>
    <r>
      <rPr>
        <b/>
        <sz val="11"/>
        <rFont val="Calibri Light"/>
        <family val="2"/>
      </rPr>
      <t>O por compostagem</t>
    </r>
  </si>
  <si>
    <r>
      <t>[tN</t>
    </r>
    <r>
      <rPr>
        <b/>
        <vertAlign val="subscript"/>
        <sz val="11"/>
        <rFont val="Calibri Light"/>
        <family val="2"/>
      </rPr>
      <t>2</t>
    </r>
    <r>
      <rPr>
        <b/>
        <sz val="11"/>
        <rFont val="Calibri Light"/>
        <family val="2"/>
      </rPr>
      <t>O/ano]</t>
    </r>
  </si>
  <si>
    <r>
      <t>Emissões em tCO</t>
    </r>
    <r>
      <rPr>
        <b/>
        <vertAlign val="subscript"/>
        <sz val="11"/>
        <rFont val="Calibri Light"/>
        <family val="2"/>
      </rPr>
      <t>2</t>
    </r>
    <r>
      <rPr>
        <b/>
        <sz val="11"/>
        <rFont val="Calibri Light"/>
        <family val="2"/>
      </rPr>
      <t>e por compostagem</t>
    </r>
  </si>
  <si>
    <r>
      <t>[tCO</t>
    </r>
    <r>
      <rPr>
        <b/>
        <vertAlign val="subscript"/>
        <sz val="11"/>
        <rFont val="Calibri Light"/>
        <family val="2"/>
      </rPr>
      <t>2</t>
    </r>
    <r>
      <rPr>
        <b/>
        <sz val="11"/>
        <rFont val="Calibri Light"/>
        <family val="2"/>
      </rPr>
      <t>e/ano]</t>
    </r>
  </si>
  <si>
    <r>
      <t xml:space="preserve">(A) Esta aba deve ser aplicada apenas ao tratamento de resíduos sólidos por compostagem </t>
    </r>
    <r>
      <rPr>
        <b/>
        <u/>
        <sz val="11"/>
        <rFont val="Calibri Light"/>
        <family val="2"/>
      </rPr>
      <t>anaeróbica</t>
    </r>
    <r>
      <rPr>
        <sz val="11"/>
        <rFont val="Calibri Light"/>
        <family val="2"/>
      </rPr>
      <t>. São calculadas nessa seção apenas as</t>
    </r>
  </si>
  <si>
    <r>
      <t>Se houver, preencha a quantidade de CH</t>
    </r>
    <r>
      <rPr>
        <vertAlign val="subscript"/>
        <sz val="11"/>
        <rFont val="Calibri Light"/>
        <family val="2"/>
      </rPr>
      <t>4</t>
    </r>
    <r>
      <rPr>
        <sz val="11"/>
        <rFont val="Calibri Light"/>
        <family val="2"/>
      </rPr>
      <t xml:space="preserve"> recuperada do tratamento por compostagem, para o ano do cálculo.</t>
    </r>
  </si>
  <si>
    <t>Produção Primária do material</t>
  </si>
  <si>
    <t>Metal</t>
  </si>
  <si>
    <t>Perdas T&amp;D</t>
  </si>
  <si>
    <t>https://www.aneel.gov.br/documents/654800/18766993/Relat%C3%B3rio+Perdas+de+Energia+2019.pdf/6cb0bf36-4074-bbc3-d15d-ed370f44b34b</t>
  </si>
  <si>
    <t>Aneel 2020</t>
  </si>
  <si>
    <r>
      <rPr>
        <sz val="11"/>
        <color theme="1"/>
        <rFont val="Calibri"/>
        <family val="2"/>
      </rPr>
      <t>ANEEL -</t>
    </r>
    <r>
      <rPr>
        <u/>
        <sz val="11"/>
        <color theme="10"/>
        <rFont val="Calibri"/>
        <family val="2"/>
      </rPr>
      <t xml:space="preserve"> https://www.aneel.gov.br/documents/654800/18766993/Relat%C3%B3rio+Perdas+de+Energia+2019.pdf/6cb0bf36-4074-bbc3-d15d-ed370f44b34b </t>
    </r>
  </si>
  <si>
    <t xml:space="preserve">Ministério da Ciência e Tecnologia, https://antigo.mctic.gov.br/mctic/opencms/ciencia/SEPED/clima/textogeral/emissao_corporativos.html </t>
  </si>
  <si>
    <r>
      <rPr>
        <sz val="11"/>
        <color theme="1"/>
        <rFont val="Calibri"/>
        <family val="2"/>
      </rPr>
      <t>GHG Protocol 2013,</t>
    </r>
    <r>
      <rPr>
        <u/>
        <sz val="11"/>
        <color theme="10"/>
        <rFont val="Calibri"/>
        <family val="2"/>
      </rPr>
      <t xml:space="preserve"> Waste Sector GHG Protocol_Calculation Tool_Version 5_October 2013_1_0(1).xls</t>
    </r>
  </si>
  <si>
    <t>A última média anual foi utilizado como fator de emissão. Foi ainda, adicionada as perdas de transmissão e distribuição evitadas.</t>
  </si>
  <si>
    <t>Média período + Perdas</t>
  </si>
  <si>
    <t>Calculadora Vertas</t>
  </si>
  <si>
    <t>AEA technology 2001</t>
  </si>
  <si>
    <t>EPA 2006</t>
  </si>
  <si>
    <t>ADEME 2007</t>
  </si>
  <si>
    <t>Prognos 2008</t>
  </si>
  <si>
    <t>CE Delft 2007</t>
  </si>
  <si>
    <t>BIR 2008</t>
  </si>
  <si>
    <t>Europe - 25</t>
  </si>
  <si>
    <t>USA</t>
  </si>
  <si>
    <t>France</t>
  </si>
  <si>
    <t>Europe - 27</t>
  </si>
  <si>
    <t>Netherlands</t>
  </si>
  <si>
    <t>International</t>
  </si>
  <si>
    <t>FERROUS METALS</t>
  </si>
  <si>
    <t>Steel</t>
  </si>
  <si>
    <t>NON
FERROUS 
METALS</t>
  </si>
  <si>
    <t>Aluminium</t>
  </si>
  <si>
    <t>Aluminum Cans</t>
  </si>
  <si>
    <t>Copper</t>
  </si>
  <si>
    <t>Copper Wire</t>
  </si>
  <si>
    <t>Nickel</t>
  </si>
  <si>
    <t>Tin</t>
  </si>
  <si>
    <t>Zinc</t>
  </si>
  <si>
    <t>Lead</t>
  </si>
  <si>
    <t>Rubber</t>
  </si>
  <si>
    <t>SRF</t>
  </si>
  <si>
    <t>Solid Fuel Waste (cement kiln)</t>
  </si>
  <si>
    <t>Solid Fuel Waste (optimised MSW I)</t>
  </si>
  <si>
    <t>Solid Fuel Waste (coal power plant)</t>
  </si>
  <si>
    <t>PCs</t>
  </si>
  <si>
    <t>MIX</t>
  </si>
  <si>
    <t>Mixed Recyclables</t>
  </si>
  <si>
    <t>Defra 2021</t>
  </si>
  <si>
    <t>DEFRA, 2021</t>
  </si>
  <si>
    <t>DEFRA 2021, https://assets.publishing.service.gov.uk/government/uploads/system/uploads/attachment_data/file/1005677/conversion-factors-2021-full-set-advanced-users.xlsm</t>
  </si>
  <si>
    <t>Atividade</t>
  </si>
  <si>
    <t>Plastico</t>
  </si>
  <si>
    <t>Outros</t>
  </si>
  <si>
    <t>Combustão</t>
  </si>
  <si>
    <t>Lixo residencial</t>
  </si>
  <si>
    <t>Residuo industrial não perigoso</t>
  </si>
  <si>
    <t>Resíduo perigoso</t>
  </si>
  <si>
    <t>Quantidade Incinerada</t>
  </si>
  <si>
    <t>Tipo de resíduo incinerado</t>
  </si>
  <si>
    <t>Fator de Emissão</t>
  </si>
  <si>
    <t>Tratamento Térmico</t>
  </si>
  <si>
    <t>Cálculo das emissões baseado na quantidade de resíduos incinerados em toneladas</t>
  </si>
  <si>
    <t>Classificação ordinária</t>
  </si>
  <si>
    <t>Plástico</t>
  </si>
  <si>
    <t>Direto</t>
  </si>
  <si>
    <t>Fatores de emissão de diversas fontes (DEFRA e GHG Protocol - Waste Sector)</t>
  </si>
  <si>
    <t>Samsung</t>
  </si>
  <si>
    <t>Automatizado</t>
  </si>
  <si>
    <t>Elétricos</t>
  </si>
  <si>
    <t>t CO2e / MWh</t>
  </si>
  <si>
    <t>Fator de Emissão do SIN</t>
  </si>
  <si>
    <t>Energia elétrica gerada</t>
  </si>
  <si>
    <t>Emissão Evitada  tCO2e</t>
  </si>
  <si>
    <t>Emissão Evitada</t>
  </si>
  <si>
    <t>t CO2e</t>
  </si>
  <si>
    <t>t CO2e / t</t>
  </si>
  <si>
    <t>MWh</t>
  </si>
  <si>
    <t>Emissão Total Evitada em tCO2e</t>
  </si>
  <si>
    <r>
      <t>kg CO</t>
    </r>
    <r>
      <rPr>
        <vertAlign val="subscript"/>
        <sz val="11"/>
        <rFont val="Calibri (Body)"/>
      </rPr>
      <t>2</t>
    </r>
    <r>
      <rPr>
        <sz val="11"/>
        <rFont val="Calibri (Body)"/>
      </rPr>
      <t>e / t</t>
    </r>
  </si>
  <si>
    <r>
      <t>kg CO</t>
    </r>
    <r>
      <rPr>
        <vertAlign val="subscript"/>
        <sz val="11"/>
        <color theme="1"/>
        <rFont val="Calibri (Body)"/>
      </rPr>
      <t>2</t>
    </r>
    <r>
      <rPr>
        <sz val="11"/>
        <color theme="1"/>
        <rFont val="Calibri (Body)"/>
      </rPr>
      <t>e</t>
    </r>
  </si>
  <si>
    <t>Todos os valores estão em toneladas de CO2e/tonelada de material reciclado. (toneladas métricas de acordo com o Sistema Internacional de Medidas).</t>
  </si>
  <si>
    <t>Origem</t>
  </si>
  <si>
    <t>Título do Documento de referência</t>
  </si>
  <si>
    <t>Somente as categorias de A a G são consideradas nas emissões evitadas por não serem destinadas ao aterro pois somente esta parcela possui potencial de geração de metano.</t>
  </si>
  <si>
    <t>Emissão detalhada de materiais</t>
  </si>
  <si>
    <t>GHG Protocol 2013, Waste Sector</t>
  </si>
  <si>
    <t>tCO2e/MWh</t>
  </si>
  <si>
    <t>Emissão Total Evitada Média em tCO2e/t resíduo</t>
  </si>
  <si>
    <t>Emissão Total Evitada Média em tCO2e/MWh gerado</t>
  </si>
  <si>
    <t>Há algum gerador de energia no local (ex: caso a rede de energia falhe)?</t>
  </si>
  <si>
    <t>26 e 27</t>
  </si>
  <si>
    <t>Plásticos: HDPE (incl. modelagem)</t>
  </si>
  <si>
    <t>Plásticos: LDPE and LLDPE (incl. modelagem)</t>
  </si>
  <si>
    <t>Plásticos: PET (incl. modelagem)</t>
  </si>
  <si>
    <t>Plásticos: PP (incl. modelagem)</t>
  </si>
  <si>
    <t>Plásticos: PS (incl. modelagem)</t>
  </si>
  <si>
    <t>Plásticos: PVC (incl. modelagem)</t>
  </si>
  <si>
    <t>Papel e papelão: Papel</t>
  </si>
  <si>
    <t>Papel e papelão: Misturado</t>
  </si>
  <si>
    <t>Papel e papelão: Papelão</t>
  </si>
  <si>
    <t>Itens elétricos</t>
  </si>
  <si>
    <t>Baterias - Alkaline</t>
  </si>
  <si>
    <t>Baterias - Li ion</t>
  </si>
  <si>
    <t>Baterias - NiMh</t>
  </si>
  <si>
    <t>Metal: Latas e folhas de alumínio (excl. modelagem)</t>
  </si>
  <si>
    <t>Metal: latas misturadas</t>
  </si>
  <si>
    <t>Metal: latas de aço</t>
  </si>
  <si>
    <t>Plásticos: Plásticos regulares</t>
  </si>
  <si>
    <t>Plásticos: Plástico filme regular</t>
  </si>
  <si>
    <t>Plásticos: Plástico rígido regular</t>
  </si>
  <si>
    <t>Itens elétricos - TI</t>
  </si>
  <si>
    <t>Itens elétricos - Grande</t>
  </si>
  <si>
    <t>Itens elétricos - Pequeno</t>
  </si>
  <si>
    <t>Itens elétricos - Geladeira e freezer</t>
  </si>
  <si>
    <t>X / Total       [%]</t>
  </si>
  <si>
    <t>Resíduos têxteis</t>
  </si>
  <si>
    <t>Resíduos alimentares</t>
  </si>
  <si>
    <t>Madeira</t>
  </si>
  <si>
    <t>Resíduos de jardim e parque</t>
  </si>
  <si>
    <t>Fraldas</t>
  </si>
  <si>
    <t>Borracha e couro</t>
  </si>
  <si>
    <t>Metal: sucata de metal</t>
  </si>
  <si>
    <t>Metal: Cobre</t>
  </si>
  <si>
    <t>Metal: Fio de cobre</t>
  </si>
  <si>
    <t>Metal: Niquel</t>
  </si>
  <si>
    <t>Metal: Estanho</t>
  </si>
  <si>
    <t>Metal: Zinco</t>
  </si>
  <si>
    <t>Metal: Chumbo</t>
  </si>
  <si>
    <t>Metal: Latas e folhas de alumínio</t>
  </si>
  <si>
    <t>Plásticos: LDPE and LLDPE</t>
  </si>
  <si>
    <t>Plásticos: HDPE</t>
  </si>
  <si>
    <t>Plásticos: PET</t>
  </si>
  <si>
    <t>Plásticos: PP</t>
  </si>
  <si>
    <t>Plásticos: PS</t>
  </si>
  <si>
    <t>Plásticos: PVC</t>
  </si>
  <si>
    <t>Resíduos comerciais e industriais</t>
  </si>
  <si>
    <t>Vidros</t>
  </si>
  <si>
    <t>GHG Protocol - Waste Sector, 2013</t>
  </si>
  <si>
    <t>Rejeitos</t>
  </si>
  <si>
    <t>J - Sucatas Metálicas</t>
  </si>
  <si>
    <t>Informar consumo em kWh</t>
  </si>
  <si>
    <t>Informar volume em m3</t>
  </si>
  <si>
    <t>Informar consumo em litros de diesel/biodiesel e outras infos</t>
  </si>
  <si>
    <t>Esta Calculadora tem como objetivo auxiliar no cálculo das emissões e reduções de gases do efeito estufa (GEE) provenientes das atividades da Vertas. Os resultados dependem invariavelmente de algum tipo de informação que será alimentada de forma sistêmica ou manual, conforme instruções/recomendações de alimentação abaixo:</t>
  </si>
  <si>
    <t>(+) Fontes de Emissões de GEE</t>
  </si>
  <si>
    <t>É necessário saber a quantidade de energia elétrica gerada para que o cálculo das reduções esteja completo.</t>
  </si>
  <si>
    <t>Resíduos (M)</t>
  </si>
  <si>
    <t>Resíduos (A)</t>
  </si>
  <si>
    <t>Tratamento Térmico (A)</t>
  </si>
  <si>
    <t>Tratamento Térmico (M)</t>
  </si>
  <si>
    <t>Resíduos Reciclados (A)</t>
  </si>
  <si>
    <t>Resíduos Reciclados (M)</t>
  </si>
  <si>
    <t>Observações e Gaps</t>
  </si>
  <si>
    <t>Observação:</t>
  </si>
  <si>
    <t xml:space="preserve">A cada vez que um novo cálculo é executado, cada célula na cor amarela deve ser novamente preenchida, de modo que as contas reflitam o período analisado. </t>
  </si>
  <si>
    <t>Qual a medida para resíduos orgânicos e inertes? Haverá separação com medição por tipo?</t>
  </si>
  <si>
    <t>Perguntas/Respostas</t>
  </si>
  <si>
    <t>A - Automatizado</t>
  </si>
  <si>
    <t>M - Manual</t>
  </si>
  <si>
    <t>E - Entrada</t>
  </si>
  <si>
    <t>S - Saída</t>
  </si>
  <si>
    <t>Total kg CO2e</t>
  </si>
  <si>
    <t>MMA 2014, BEN 2020, Ferramenta GHG Protocol 2021</t>
  </si>
  <si>
    <t>Transp. Pessoas</t>
  </si>
  <si>
    <t>Transp. Carga (S)</t>
  </si>
  <si>
    <t>Transp. Carga (E)</t>
  </si>
  <si>
    <t>P.C.I</t>
  </si>
  <si>
    <t>P.C.I.</t>
  </si>
  <si>
    <t>l/km</t>
  </si>
  <si>
    <t>INPUTS (KM Ajustado)</t>
  </si>
  <si>
    <t>emissão por pessoa que entra no metro</t>
  </si>
  <si>
    <t>% do Total</t>
  </si>
  <si>
    <t>Quantidade por tipo (t)</t>
  </si>
  <si>
    <t>Transportes de Carga (Entrada e Saída)</t>
  </si>
  <si>
    <t>Transportes de Pessoas</t>
  </si>
  <si>
    <t>Quando o consumo de combustível não está disponível em litros, é possível estimar esta quantidade com a eficiência do veículo utilizado e o número de pessoas transportadas. No caso de ônibus e transportes coletivos isso é muito relevante para que a parcela de emissão referente ao passageiro seja corretamente alocada.</t>
  </si>
  <si>
    <t>Para emissões evitadas pela geração de energia via paineis solares na Vertas será necessário fazer rateio de modo a alocar as emissões da maneira mais acurada possível. A melhor maneira de fazer o rateio desta fonte é se baseando no consumo de energia elétrica das separações manual e automatizada.</t>
  </si>
  <si>
    <t>Como os galpões possuem divisão clara entre separação manual e automatizada, a quantitade consumida de energia elétrica dos mesmo pode ser diretamente correlacionada. Porém, a energia elétrica consumida no escritório precisa ser rateada entre as operações. 
Para que posteriormente estas emissões sejam alocadas por cada cliente, recomendamos o rateio por toneladas processadas.</t>
  </si>
  <si>
    <t>Esta fonte de emissão precisa passar por alguma forma de rateio de modo a alocar as emissões da maneira mais acurada possível. Até o momento decidiu-se fazer o rateio baseado no consumo de energia elétrica das separações manual e automatizada.
Para que posteriormente estas emissões sejam alocadas por cada cliente, recomendamos o rateio por toneladas processadas.</t>
  </si>
  <si>
    <t>Para o consumo de combustível em geradores será necessário fazer  rateio de modo a alocar as emissões da maneira mais acurada possível. A melhor maneira de fazer o rateio desta fonte é se baseando no consumo de energia elétrica das separações manual e automatizada.
Para que posteriormente estas emissões sejam alocadas por cada cliente, recomendamos o rateio por toneladas processadas.</t>
  </si>
  <si>
    <t>Compostagem não é um destino apontado pela Vertas para os materiais processados de forma automatizada, portanto não foi criado o cálculo para esta atividade em processo automatizado.
Caso seja possível dizer os fatores de emissão de CH4 e N2O do conjunto de resíduos destinados à esta atividade, favor informar na planilha. Do contrário, a planilha utilizará valores genéricos para tais fatores. Foi considerada como inexistente a recuperação de metano desta atividade (queima em flare).
Caso não seja possível dizer de qual cliente os resíduos destinados à compostagem são provenientes, recomendamos o rateio por toneladas processadas.</t>
  </si>
  <si>
    <t>Caso seja possível distinguir se os materiais recebidos são destinados à separação manual ou automatizada, esta fonte de emissão pode ser diretamente alocada à linha de produção específica. Do contrário, será necessário passar por alguma forma de rateio de modo a alocar as emissões da maneira mais acurada possível. Uma das formas é utilizando um rateio pela proporcionalidade da carga total recebida processada em cada uma das linha (manual e automatizada). Outra forma é se basear na quantidade de consumo de energia elétrica dos galpões. 
Esta fonte de emissão também possui outro fator complicante: 
Como até o presente momento não é possível apontar o consumo de combustivel utilizado para o transporte de cada material de entrada e de saída em litros, esta fonte depende da quilometragem rodada, do tipo de transporte e da taxa de ocupação da carga transportada (volume ou peso). A coleta destes dados devem ser feitas por meio do engajamento com fornecedores de serviço de transporte a quantidade de combustível utilizado.
No caso de contabilização das emissões do transporte de carga na saída da Vertas e caso não seja possível dizer de qual cliente os resíduos destinados à compostagem são provenientes, recomendamos o rateio por toneladas processadas.</t>
  </si>
  <si>
    <t>A composição dos resíduos destinados à reciclagem é impressindível para o cálculodas emissões evitadas. Nesta planilha deve ser apontada a composição em porcentagem dos materias.</t>
  </si>
  <si>
    <t>As perdas de sistemas de refrigeração comerciais estão entre 10 e 30 porcento ao ano de acordo com o IPCC. Considerando um cenário conservador e realista paracom uma instalação nova, adotamos 15% de perda anual. 
Ateção especial deve ser dada ao período avaliado. O resultado é dado em toneladas de emissões equivalentes por mês.
Esta parte da calculadora leva em consideração que é sabida a carga inicial, porém não se pode mensurar as perdas pois: 1) ainda não foi efetuada uma recarga ou 2) as recargas não foram medidas.</t>
  </si>
  <si>
    <t>CLIENTE:</t>
  </si>
  <si>
    <t>CálculotCO2e</t>
  </si>
  <si>
    <t>As planilhas permitem a inclusão das variáveis e a visualização de seu resultado imediato na aba CálculotCO2e em toneladas de CO2 equivalentepor fonte/mês.</t>
  </si>
  <si>
    <t>Gaps e Considerações</t>
  </si>
  <si>
    <t>A composição dos resíduos destinados à aterros sanitários é impressindível para o cálculo de suas emissões. Nesta planilha deve ser apontada a composição em porcentagem dos materiais.</t>
  </si>
  <si>
    <t>x</t>
  </si>
  <si>
    <t>Transportes Pessoas</t>
  </si>
  <si>
    <t>Informar quantidade de resíduos em toneladas (processo automatizado)</t>
  </si>
  <si>
    <t>Informar quantidade de resíduos em toneladas (processo manual)</t>
  </si>
  <si>
    <t>Informar quantidade de resíduos reciclados em toneladas (processo automatizado)</t>
  </si>
  <si>
    <t>Informar quantidade de resíduos reciclados em toneladas (processo manual)</t>
  </si>
  <si>
    <t>Resultado de emissão de GEE em tCO2e</t>
  </si>
  <si>
    <t>Energia elétrica gerada em kWh</t>
  </si>
  <si>
    <t>Fator Médio Anual
 (tCO2/MWh)</t>
  </si>
  <si>
    <t>Fator Médio Anual
(tCO2/MWh)</t>
  </si>
  <si>
    <t>Calculadora CO2e Vertas</t>
  </si>
  <si>
    <t>Gap Analysis e Considerações por dimensão de cálculo - Calculadora CO2e Vertas</t>
  </si>
  <si>
    <t>Transportes Carga (E)</t>
  </si>
  <si>
    <t>Transportes Carga (S)</t>
  </si>
  <si>
    <t>Veja 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</si>
</sst>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43" formatCode="_-* #,##0.00_-;\-* #,##0.00_-;_-* &quot;-&quot;??_-;_-@_-"/>
    <numFmt numFmtId="164" formatCode="_(&quot;R$&quot;* #,##0.00_);_(&quot;R$&quot;* \(#,##0.00\);_(&quot;R$&quot;* &quot;-&quot;??_);_(@_)"/>
    <numFmt numFmtId="165" formatCode="_(* #,##0.00_);_(* \(#,##0.00\);_(* &quot;-&quot;??_);_(@_)"/>
    <numFmt numFmtId="166" formatCode="0.0000"/>
    <numFmt numFmtId="167" formatCode="#,##0.000"/>
    <numFmt numFmtId="168" formatCode="0.000E+00"/>
    <numFmt numFmtId="169" formatCode="_(* #,##0.000_);_(* \(#,##0.000\);_(* &quot;-&quot;??_);_(@_)"/>
    <numFmt numFmtId="170" formatCode="0.0%"/>
    <numFmt numFmtId="171" formatCode="_-* #,##0_-;\-* #,##0_-;_-* &quot;-&quot;??_-;_-@_-"/>
    <numFmt numFmtId="172" formatCode="0.000"/>
    <numFmt numFmtId="173" formatCode="0.00000000"/>
    <numFmt numFmtId="174" formatCode="_-* #,##0.000_-;\-* #,##0.000_-;_-* &quot;-&quot;??_-;_-@_-"/>
    <numFmt numFmtId="175" formatCode="0.0000000000"/>
    <numFmt numFmtId="176" formatCode="_-* #,##0.0000000_-;\-* #,##0.0000000_-;_-* &quot;-&quot;??_-;_-@_-"/>
    <numFmt numFmtId="177" formatCode="0.0"/>
    <numFmt numFmtId="178" formatCode="_(* #,##0_);_(* \(#,##0\);_(* &quot;-&quot;??_);_(@_)"/>
    <numFmt numFmtId="179" formatCode="0.00000"/>
    <numFmt numFmtId="180" formatCode="0.000000"/>
    <numFmt numFmtId="181" formatCode="_-* #,##0.0_-;\-* #,##0.0_-;_-* &quot;-&quot;??_-;_-@_-"/>
    <numFmt numFmtId="182" formatCode="??0.0?"/>
    <numFmt numFmtId="183" formatCode="_-* #,##0\ _€_-;\-* #,##0\ _€_-;_-* &quot;-&quot;??\ _€_-;_-@_-"/>
    <numFmt numFmtId="184" formatCode="_-* #,##0.0000_-;\-* #,##0.0000_-;_-* &quot;-&quot;??_-;_-@_-"/>
  </numFmts>
  <fonts count="94">
    <font>
      <sz val="11"/>
      <color theme="1"/>
      <name val="Calibri"/>
      <family val="2"/>
      <scheme val="minor"/>
    </font>
    <font>
      <sz val="12"/>
      <color theme="1"/>
      <name val="Calibri"/>
      <family val="2"/>
      <scheme val="minor"/>
    </font>
    <font>
      <b/>
      <sz val="11"/>
      <color theme="1"/>
      <name val="Calibri"/>
      <family val="2"/>
      <scheme val="minor"/>
    </font>
    <font>
      <b/>
      <sz val="18"/>
      <color theme="1"/>
      <name val="Calibri"/>
      <family val="2"/>
      <scheme val="minor"/>
    </font>
    <font>
      <sz val="11"/>
      <color rgb="FFFF0000"/>
      <name val="Calibri"/>
      <family val="2"/>
      <scheme val="minor"/>
    </font>
    <font>
      <u/>
      <sz val="11"/>
      <color theme="10"/>
      <name val="Calibri"/>
      <family val="2"/>
    </font>
    <font>
      <sz val="10"/>
      <color rgb="FFFF0000"/>
      <name val="Verdana"/>
      <family val="2"/>
    </font>
    <font>
      <sz val="11"/>
      <color theme="1"/>
      <name val="Calibri"/>
      <family val="2"/>
      <scheme val="minor"/>
    </font>
    <font>
      <sz val="12"/>
      <color theme="0"/>
      <name val="Calibri"/>
      <family val="2"/>
      <scheme val="minor"/>
    </font>
    <font>
      <u/>
      <sz val="11"/>
      <color theme="11"/>
      <name val="Calibri"/>
      <family val="2"/>
      <scheme val="minor"/>
    </font>
    <font>
      <vertAlign val="superscript"/>
      <sz val="11"/>
      <color theme="1"/>
      <name val="Calibri"/>
      <family val="2"/>
      <scheme val="minor"/>
    </font>
    <font>
      <vertAlign val="subscript"/>
      <sz val="11"/>
      <color theme="1"/>
      <name val="Calibri"/>
      <family val="2"/>
      <scheme val="minor"/>
    </font>
    <font>
      <b/>
      <sz val="15"/>
      <color theme="1"/>
      <name val="Times"/>
      <family val="1"/>
    </font>
    <font>
      <b/>
      <sz val="12"/>
      <color theme="1"/>
      <name val="Times"/>
      <family val="1"/>
    </font>
    <font>
      <sz val="11"/>
      <color theme="1"/>
      <name val="Times"/>
      <family val="1"/>
    </font>
    <font>
      <b/>
      <sz val="11"/>
      <color theme="1"/>
      <name val="Times"/>
      <family val="1"/>
    </font>
    <font>
      <sz val="6"/>
      <color theme="1"/>
      <name val="Times"/>
      <family val="1"/>
    </font>
    <font>
      <sz val="9"/>
      <color theme="1"/>
      <name val="Times"/>
      <family val="1"/>
    </font>
    <font>
      <b/>
      <sz val="9"/>
      <color theme="1"/>
      <name val="Times"/>
      <family val="1"/>
    </font>
    <font>
      <sz val="5"/>
      <color theme="1"/>
      <name val="Times"/>
      <family val="1"/>
    </font>
    <font>
      <sz val="10"/>
      <name val="Arial"/>
      <family val="2"/>
    </font>
    <font>
      <sz val="12"/>
      <name val="Calibri"/>
      <family val="2"/>
      <scheme val="minor"/>
    </font>
    <font>
      <sz val="12"/>
      <color indexed="8"/>
      <name val="Calibri"/>
      <family val="2"/>
      <scheme val="minor"/>
    </font>
    <font>
      <vertAlign val="subscript"/>
      <sz val="12"/>
      <name val="Calibri"/>
      <family val="2"/>
    </font>
    <font>
      <sz val="12"/>
      <name val="Calibri"/>
      <family val="2"/>
    </font>
    <font>
      <b/>
      <i/>
      <sz val="11"/>
      <color theme="1"/>
      <name val="Calibri"/>
      <family val="2"/>
      <scheme val="minor"/>
    </font>
    <font>
      <b/>
      <i/>
      <vertAlign val="subscript"/>
      <sz val="11"/>
      <color indexed="8"/>
      <name val="Calibri"/>
      <family val="2"/>
    </font>
    <font>
      <b/>
      <i/>
      <sz val="11"/>
      <color indexed="8"/>
      <name val="Calibri"/>
      <family val="2"/>
    </font>
    <font>
      <sz val="11"/>
      <color indexed="8"/>
      <name val="Calibri"/>
      <family val="2"/>
    </font>
    <font>
      <vertAlign val="subscript"/>
      <sz val="11"/>
      <color indexed="8"/>
      <name val="Calibri"/>
      <family val="2"/>
    </font>
    <font>
      <i/>
      <sz val="11"/>
      <color indexed="8"/>
      <name val="Calibri"/>
      <family val="2"/>
    </font>
    <font>
      <vertAlign val="subscript"/>
      <sz val="10"/>
      <name val="Arial"/>
      <family val="2"/>
    </font>
    <font>
      <b/>
      <sz val="12"/>
      <name val="Calibri"/>
      <family val="2"/>
      <scheme val="minor"/>
    </font>
    <font>
      <b/>
      <vertAlign val="subscript"/>
      <sz val="12"/>
      <name val="Calibri"/>
      <family val="2"/>
    </font>
    <font>
      <b/>
      <sz val="12"/>
      <name val="Calibri"/>
      <family val="2"/>
    </font>
    <font>
      <i/>
      <sz val="10"/>
      <name val="Arial"/>
      <family val="2"/>
    </font>
    <font>
      <b/>
      <sz val="10"/>
      <name val="Arial"/>
      <family val="2"/>
    </font>
    <font>
      <sz val="11"/>
      <color theme="0"/>
      <name val="Calibri"/>
      <family val="2"/>
      <scheme val="minor"/>
    </font>
    <font>
      <b/>
      <sz val="11"/>
      <color theme="0"/>
      <name val="Calibri"/>
      <family val="2"/>
      <scheme val="minor"/>
    </font>
    <font>
      <b/>
      <sz val="18"/>
      <color theme="0"/>
      <name val="Calibri"/>
      <family val="2"/>
      <scheme val="minor"/>
    </font>
    <font>
      <b/>
      <sz val="10"/>
      <color theme="0"/>
      <name val="Calibri"/>
      <family val="2"/>
      <scheme val="minor"/>
    </font>
    <font>
      <b/>
      <sz val="12"/>
      <name val="Arial"/>
      <family val="2"/>
    </font>
    <font>
      <sz val="12"/>
      <name val="Arial"/>
      <family val="2"/>
    </font>
    <font>
      <sz val="10"/>
      <color theme="0" tint="-0.14999847407452621"/>
      <name val="Arial"/>
      <family val="2"/>
    </font>
    <font>
      <sz val="32"/>
      <color indexed="50"/>
      <name val="Arial"/>
      <family val="2"/>
    </font>
    <font>
      <b/>
      <sz val="18"/>
      <color indexed="50"/>
      <name val="Arial"/>
      <family val="2"/>
    </font>
    <font>
      <b/>
      <sz val="12"/>
      <color indexed="50"/>
      <name val="Arial"/>
      <family val="2"/>
    </font>
    <font>
      <sz val="10"/>
      <color indexed="50"/>
      <name val="Arial"/>
      <family val="2"/>
    </font>
    <font>
      <b/>
      <vertAlign val="subscript"/>
      <sz val="10"/>
      <name val="Arial"/>
      <family val="2"/>
    </font>
    <font>
      <b/>
      <sz val="10"/>
      <color indexed="50"/>
      <name val="Arial"/>
      <family val="2"/>
    </font>
    <font>
      <b/>
      <sz val="9"/>
      <color indexed="81"/>
      <name val="Tahoma"/>
      <family val="2"/>
    </font>
    <font>
      <sz val="11"/>
      <color rgb="FF002060"/>
      <name val="Calibri"/>
      <family val="2"/>
      <scheme val="minor"/>
    </font>
    <font>
      <b/>
      <vertAlign val="subscript"/>
      <sz val="11"/>
      <color theme="1"/>
      <name val="Calibri"/>
      <family val="2"/>
      <scheme val="minor"/>
    </font>
    <font>
      <sz val="11"/>
      <name val="Calibri"/>
      <family val="2"/>
      <scheme val="minor"/>
    </font>
    <font>
      <b/>
      <sz val="10"/>
      <color theme="0"/>
      <name val="Arial"/>
      <family val="2"/>
    </font>
    <font>
      <b/>
      <sz val="6"/>
      <name val="Arial"/>
      <family val="2"/>
    </font>
    <font>
      <u/>
      <sz val="11"/>
      <color theme="0"/>
      <name val="Calibri"/>
      <family val="2"/>
    </font>
    <font>
      <b/>
      <sz val="8"/>
      <color rgb="FF000000"/>
      <name val="Tahoma"/>
      <family val="2"/>
    </font>
    <font>
      <sz val="9"/>
      <color rgb="FF000000"/>
      <name val="Tahoma"/>
      <family val="2"/>
    </font>
    <font>
      <sz val="10"/>
      <color rgb="FF000000"/>
      <name val="Calibri Light"/>
      <family val="2"/>
    </font>
    <font>
      <b/>
      <sz val="9"/>
      <color rgb="FF000000"/>
      <name val="Tahoma"/>
      <family val="2"/>
    </font>
    <font>
      <sz val="11"/>
      <name val="Calibri Light"/>
      <family val="2"/>
    </font>
    <font>
      <b/>
      <sz val="11"/>
      <name val="Calibri Light"/>
      <family val="2"/>
    </font>
    <font>
      <u/>
      <sz val="11"/>
      <color indexed="12"/>
      <name val="Calibri"/>
      <family val="2"/>
    </font>
    <font>
      <u/>
      <sz val="11"/>
      <color indexed="12"/>
      <name val="Calibri Light"/>
      <family val="2"/>
    </font>
    <font>
      <vertAlign val="subscript"/>
      <sz val="11"/>
      <name val="Calibri Light"/>
      <family val="2"/>
    </font>
    <font>
      <sz val="11"/>
      <name val="Arial"/>
      <family val="2"/>
    </font>
    <font>
      <sz val="11"/>
      <color theme="1"/>
      <name val="Calibri"/>
      <family val="2"/>
    </font>
    <font>
      <sz val="10"/>
      <name val="Calibri Light"/>
      <family val="2"/>
    </font>
    <font>
      <b/>
      <sz val="12"/>
      <name val="Calibri Light"/>
      <family val="2"/>
    </font>
    <font>
      <b/>
      <u/>
      <sz val="11"/>
      <name val="Calibri Light"/>
      <family val="2"/>
    </font>
    <font>
      <i/>
      <sz val="11"/>
      <name val="Calibri Light"/>
      <family val="2"/>
    </font>
    <font>
      <vertAlign val="superscript"/>
      <sz val="11"/>
      <name val="Calibri Light"/>
      <family val="2"/>
    </font>
    <font>
      <b/>
      <vertAlign val="subscript"/>
      <sz val="11"/>
      <name val="Calibri Light"/>
      <family val="2"/>
    </font>
    <font>
      <b/>
      <sz val="11"/>
      <color indexed="8"/>
      <name val="Calibri Light"/>
      <family val="2"/>
    </font>
    <font>
      <sz val="11"/>
      <color theme="0"/>
      <name val="Calibri Light"/>
      <family val="2"/>
    </font>
    <font>
      <sz val="10"/>
      <name val="Trebuchet MS"/>
      <family val="2"/>
    </font>
    <font>
      <sz val="12"/>
      <name val="Trebuchet MS"/>
      <family val="2"/>
    </font>
    <font>
      <b/>
      <sz val="10"/>
      <name val="Trebuchet MS"/>
      <family val="2"/>
    </font>
    <font>
      <b/>
      <sz val="12"/>
      <name val="Trebuchet MS"/>
      <family val="2"/>
    </font>
    <font>
      <sz val="10"/>
      <color indexed="18"/>
      <name val="Trebuchet MS"/>
      <family val="2"/>
    </font>
    <font>
      <b/>
      <i/>
      <sz val="8"/>
      <name val="Trebuchet MS"/>
      <family val="2"/>
    </font>
    <font>
      <sz val="8"/>
      <name val="Trebuchet MS"/>
      <family val="2"/>
    </font>
    <font>
      <i/>
      <sz val="8"/>
      <name val="Trebuchet MS"/>
      <family val="2"/>
    </font>
    <font>
      <sz val="11"/>
      <name val="Calibri (Body)"/>
    </font>
    <font>
      <vertAlign val="subscript"/>
      <sz val="11"/>
      <name val="Calibri (Body)"/>
    </font>
    <font>
      <sz val="10"/>
      <color rgb="FF000000"/>
      <name val="Tahoma"/>
      <family val="2"/>
    </font>
    <font>
      <sz val="11"/>
      <color theme="1"/>
      <name val="Calibri (Body)"/>
    </font>
    <font>
      <vertAlign val="subscript"/>
      <sz val="11"/>
      <color theme="1"/>
      <name val="Calibri (Body)"/>
    </font>
    <font>
      <sz val="10"/>
      <color rgb="FF000000"/>
      <name val="Calibri"/>
      <family val="2"/>
      <scheme val="minor"/>
    </font>
    <font>
      <b/>
      <sz val="10"/>
      <color rgb="FF000000"/>
      <name val="Tahoma"/>
      <family val="2"/>
    </font>
    <font>
      <sz val="10"/>
      <color rgb="FF000000"/>
      <name val="Calibri"/>
      <family val="2"/>
    </font>
    <font>
      <b/>
      <sz val="10"/>
      <color rgb="FF000000"/>
      <name val="Calibri"/>
      <family val="2"/>
    </font>
    <font>
      <sz val="10"/>
      <color theme="0"/>
      <name val="Arial"/>
      <family val="2"/>
    </font>
  </fonts>
  <fills count="29">
    <fill>
      <patternFill patternType="none"/>
    </fill>
    <fill>
      <patternFill patternType="gray125"/>
    </fill>
    <fill>
      <patternFill patternType="solid">
        <fgColor rgb="FFFFC000"/>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6"/>
        <bgColor indexed="64"/>
      </patternFill>
    </fill>
    <fill>
      <patternFill patternType="solid">
        <fgColor theme="9"/>
        <bgColor indexed="64"/>
      </patternFill>
    </fill>
    <fill>
      <patternFill patternType="solid">
        <fgColor rgb="FFFFFF00"/>
        <bgColor indexed="64"/>
      </patternFill>
    </fill>
    <fill>
      <patternFill patternType="solid">
        <fgColor theme="5" tint="0.39997558519241921"/>
        <bgColor indexed="65"/>
      </patternFill>
    </fill>
    <fill>
      <patternFill patternType="solid">
        <fgColor indexed="9"/>
        <bgColor indexed="64"/>
      </patternFill>
    </fill>
    <fill>
      <patternFill patternType="solid">
        <fgColor theme="0"/>
        <bgColor indexed="64"/>
      </patternFill>
    </fill>
    <fill>
      <patternFill patternType="solid">
        <fgColor theme="9" tint="0.59996337778862885"/>
        <bgColor indexed="64"/>
      </patternFill>
    </fill>
    <fill>
      <patternFill patternType="solid">
        <fgColor rgb="FF7030A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70C0"/>
        <bgColor indexed="64"/>
      </patternFill>
    </fill>
    <fill>
      <patternFill patternType="solid">
        <fgColor rgb="FFFFFFFF"/>
        <bgColor rgb="FF000000"/>
      </patternFill>
    </fill>
    <fill>
      <patternFill patternType="solid">
        <fgColor indexed="43"/>
        <bgColor indexed="64"/>
      </patternFill>
    </fill>
    <fill>
      <patternFill patternType="solid">
        <fgColor theme="8" tint="0.59999389629810485"/>
        <bgColor indexed="64"/>
      </patternFill>
    </fill>
    <fill>
      <patternFill patternType="solid">
        <fgColor rgb="FFFFBDBD"/>
        <bgColor indexed="64"/>
      </patternFill>
    </fill>
    <fill>
      <patternFill patternType="solid">
        <fgColor rgb="FFD9D9D9"/>
        <bgColor indexed="64"/>
      </patternFill>
    </fill>
    <fill>
      <patternFill patternType="solid">
        <fgColor theme="7"/>
        <bgColor indexed="64"/>
      </patternFill>
    </fill>
    <fill>
      <patternFill patternType="solid">
        <fgColor rgb="FF92D050"/>
        <bgColor indexed="64"/>
      </patternFill>
    </fill>
    <fill>
      <patternFill patternType="solid">
        <fgColor rgb="FF00B0F0"/>
        <bgColor indexed="64"/>
      </patternFill>
    </fill>
    <fill>
      <patternFill patternType="solid">
        <fgColor rgb="FFC0C0C0"/>
        <bgColor indexed="64"/>
      </patternFill>
    </fill>
    <fill>
      <patternFill patternType="solid">
        <fgColor rgb="FFFF8080"/>
        <bgColor indexed="64"/>
      </patternFill>
    </fill>
    <fill>
      <patternFill patternType="solid">
        <fgColor theme="2"/>
        <bgColor indexed="64"/>
      </patternFill>
    </fill>
    <fill>
      <patternFill patternType="solid">
        <fgColor theme="2" tint="-9.9978637043366805E-2"/>
        <bgColor indexed="64"/>
      </patternFill>
    </fill>
  </fills>
  <borders count="117">
    <border>
      <left/>
      <right/>
      <top/>
      <bottom/>
      <diagonal/>
    </border>
    <border>
      <left/>
      <right style="thin">
        <color indexed="9"/>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style="thin">
        <color indexed="9"/>
      </right>
      <top style="thin">
        <color indexed="9"/>
      </top>
      <bottom/>
      <diagonal/>
    </border>
    <border>
      <left style="thin">
        <color indexed="9"/>
      </left>
      <right style="thin">
        <color indexed="9"/>
      </right>
      <top style="thin">
        <color indexed="9"/>
      </top>
      <bottom/>
      <diagonal/>
    </border>
    <border>
      <left/>
      <right style="thin">
        <color indexed="9"/>
      </right>
      <top/>
      <bottom style="thin">
        <color indexed="9"/>
      </bottom>
      <diagonal/>
    </border>
    <border>
      <left style="thin">
        <color indexed="9"/>
      </left>
      <right style="thin">
        <color indexed="9"/>
      </right>
      <top/>
      <bottom style="thin">
        <color indexed="9"/>
      </bottom>
      <diagonal/>
    </border>
    <border>
      <left style="thin">
        <color indexed="9"/>
      </left>
      <right/>
      <top style="thin">
        <color indexed="9"/>
      </top>
      <bottom style="thin">
        <color indexed="9"/>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indexed="9"/>
      </right>
      <top style="thin">
        <color auto="1"/>
      </top>
      <bottom style="thin">
        <color indexed="9"/>
      </bottom>
      <diagonal/>
    </border>
    <border>
      <left style="thin">
        <color indexed="9"/>
      </left>
      <right style="thin">
        <color indexed="9"/>
      </right>
      <top style="thin">
        <color auto="1"/>
      </top>
      <bottom style="thin">
        <color indexed="9"/>
      </bottom>
      <diagonal/>
    </border>
    <border>
      <left style="thin">
        <color auto="1"/>
      </left>
      <right/>
      <top/>
      <bottom style="thin">
        <color auto="1"/>
      </bottom>
      <diagonal/>
    </border>
    <border>
      <left/>
      <right/>
      <top/>
      <bottom style="thin">
        <color auto="1"/>
      </bottom>
      <diagonal/>
    </border>
    <border>
      <left/>
      <right style="thin">
        <color indexed="9"/>
      </right>
      <top style="thin">
        <color indexed="9"/>
      </top>
      <bottom style="thin">
        <color auto="1"/>
      </bottom>
      <diagonal/>
    </border>
    <border>
      <left style="thin">
        <color indexed="9"/>
      </left>
      <right style="thin">
        <color indexed="9"/>
      </right>
      <top style="thin">
        <color indexed="9"/>
      </top>
      <bottom style="thin">
        <color auto="1"/>
      </bottom>
      <diagonal/>
    </border>
    <border>
      <left style="thin">
        <color indexed="0"/>
      </left>
      <right/>
      <top style="thin">
        <color indexed="0"/>
      </top>
      <bottom/>
      <diagonal/>
    </border>
    <border>
      <left style="thin">
        <color indexed="0"/>
      </left>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auto="1"/>
      </left>
      <right/>
      <top/>
      <bottom/>
      <diagonal/>
    </border>
    <border>
      <left style="thin">
        <color auto="1"/>
      </left>
      <right style="thin">
        <color indexed="0"/>
      </right>
      <top style="thin">
        <color auto="1"/>
      </top>
      <bottom style="thin">
        <color indexed="0"/>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9"/>
      </left>
      <right/>
      <top/>
      <bottom style="thin">
        <color indexed="9"/>
      </bottom>
      <diagonal/>
    </border>
    <border>
      <left style="thin">
        <color indexed="9"/>
      </left>
      <right/>
      <top/>
      <bottom/>
      <diagonal/>
    </border>
    <border>
      <left/>
      <right style="thin">
        <color indexed="9"/>
      </right>
      <top/>
      <bottom/>
      <diagonal/>
    </border>
    <border>
      <left style="thin">
        <color indexed="9"/>
      </left>
      <right style="thin">
        <color indexed="9"/>
      </right>
      <top/>
      <bottom/>
      <diagonal/>
    </border>
    <border>
      <left style="thin">
        <color rgb="FF053D5F"/>
      </left>
      <right style="thin">
        <color rgb="FF053D5F"/>
      </right>
      <top style="thin">
        <color rgb="FF053D5F"/>
      </top>
      <bottom style="thin">
        <color rgb="FF053D5F"/>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rgb="FF000000"/>
      </right>
      <top style="medium">
        <color indexed="64"/>
      </top>
      <bottom style="thin">
        <color indexed="64"/>
      </bottom>
      <diagonal/>
    </border>
    <border>
      <left style="medium">
        <color indexed="64"/>
      </left>
      <right/>
      <top style="thin">
        <color indexed="64"/>
      </top>
      <bottom style="thin">
        <color indexed="64"/>
      </bottom>
      <diagonal/>
    </border>
    <border>
      <left/>
      <right style="thin">
        <color rgb="FF000000"/>
      </right>
      <top style="thin">
        <color indexed="64"/>
      </top>
      <bottom style="thin">
        <color indexed="64"/>
      </bottom>
      <diagonal/>
    </border>
    <border>
      <left style="thin">
        <color rgb="FF000000"/>
      </left>
      <right/>
      <top style="thin">
        <color indexed="64"/>
      </top>
      <bottom style="thin">
        <color indexed="64"/>
      </bottom>
      <diagonal/>
    </border>
    <border>
      <left/>
      <right style="medium">
        <color rgb="FF000000"/>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style="medium">
        <color indexed="64"/>
      </right>
      <top/>
      <bottom style="medium">
        <color rgb="FF000000"/>
      </bottom>
      <diagonal/>
    </border>
    <border>
      <left style="thin">
        <color auto="1"/>
      </left>
      <right style="thin">
        <color auto="1"/>
      </right>
      <top/>
      <bottom style="thin">
        <color auto="1"/>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0"/>
      </left>
      <right/>
      <top/>
      <bottom style="thin">
        <color indexed="0"/>
      </bottom>
      <diagonal/>
    </border>
    <border>
      <left/>
      <right style="thin">
        <color indexed="0"/>
      </right>
      <top/>
      <bottom style="thin">
        <color indexed="0"/>
      </bottom>
      <diagonal/>
    </border>
    <border>
      <left/>
      <right style="thin">
        <color rgb="FF053D5F"/>
      </right>
      <top style="thin">
        <color rgb="FF053D5F"/>
      </top>
      <bottom style="thin">
        <color rgb="FF053D5F"/>
      </bottom>
      <diagonal/>
    </border>
    <border>
      <left/>
      <right style="thin">
        <color rgb="FF053D5F"/>
      </right>
      <top/>
      <bottom style="thin">
        <color rgb="FF053D5F"/>
      </bottom>
      <diagonal/>
    </border>
    <border>
      <left style="thin">
        <color rgb="FF053D5F"/>
      </left>
      <right style="thin">
        <color rgb="FF053D5F"/>
      </right>
      <top/>
      <bottom style="thin">
        <color rgb="FF053D5F"/>
      </bottom>
      <diagonal/>
    </border>
    <border>
      <left style="thin">
        <color rgb="FF053D5F"/>
      </left>
      <right style="thin">
        <color rgb="FF053D5F"/>
      </right>
      <top style="thin">
        <color rgb="FF053D5F"/>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bottom style="thin">
        <color rgb="FF053D5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rgb="FF053D5F"/>
      </left>
      <right style="thin">
        <color indexed="64"/>
      </right>
      <top style="thin">
        <color rgb="FF053D5F"/>
      </top>
      <bottom/>
      <diagonal/>
    </border>
    <border>
      <left style="thin">
        <color rgb="FF053D5F"/>
      </left>
      <right style="thin">
        <color indexed="64"/>
      </right>
      <top/>
      <bottom style="thin">
        <color rgb="FF053D5F"/>
      </bottom>
      <diagonal/>
    </border>
    <border>
      <left style="thin">
        <color rgb="FF053D5F"/>
      </left>
      <right style="thin">
        <color indexed="64"/>
      </right>
      <top/>
      <bottom/>
      <diagonal/>
    </border>
    <border>
      <left style="thin">
        <color rgb="FF053D5F"/>
      </left>
      <right/>
      <top style="thin">
        <color rgb="FF053D5F"/>
      </top>
      <bottom style="thin">
        <color rgb="FF053D5F"/>
      </bottom>
      <diagonal/>
    </border>
    <border>
      <left style="thin">
        <color indexed="64"/>
      </left>
      <right style="thin">
        <color indexed="64"/>
      </right>
      <top style="thin">
        <color indexed="64"/>
      </top>
      <bottom style="thin">
        <color indexed="64"/>
      </bottom>
      <diagonal/>
    </border>
    <border>
      <left style="thin">
        <color indexed="0"/>
      </left>
      <right style="thin">
        <color indexed="0"/>
      </right>
      <top style="thin">
        <color indexed="0"/>
      </top>
      <bottom style="thin">
        <color indexed="64"/>
      </bottom>
      <diagonal/>
    </border>
    <border>
      <left/>
      <right style="thin">
        <color indexed="0"/>
      </right>
      <top style="thin">
        <color indexed="0"/>
      </top>
      <bottom style="thin">
        <color indexed="64"/>
      </bottom>
      <diagonal/>
    </border>
    <border>
      <left style="thin">
        <color rgb="FF053D5F"/>
      </left>
      <right style="thin">
        <color rgb="FF053D5F"/>
      </right>
      <top/>
      <bottom/>
      <diagonal/>
    </border>
    <border>
      <left/>
      <right/>
      <top style="thin">
        <color indexed="0"/>
      </top>
      <bottom style="thin">
        <color indexed="64"/>
      </bottom>
      <diagonal/>
    </border>
    <border>
      <left/>
      <right style="thin">
        <color indexed="0"/>
      </right>
      <top style="thin">
        <color indexed="64"/>
      </top>
      <bottom style="thin">
        <color indexed="0"/>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auto="1"/>
      </left>
      <right style="medium">
        <color indexed="64"/>
      </right>
      <top style="thin">
        <color auto="1"/>
      </top>
      <bottom style="thin">
        <color auto="1"/>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auto="1"/>
      </left>
      <right style="thin">
        <color auto="1"/>
      </right>
      <top style="thin">
        <color auto="1"/>
      </top>
      <bottom/>
      <diagonal/>
    </border>
    <border>
      <left style="thin">
        <color indexed="0"/>
      </left>
      <right/>
      <top style="thin">
        <color indexed="0"/>
      </top>
      <bottom style="thin">
        <color indexed="64"/>
      </bottom>
      <diagonal/>
    </border>
    <border>
      <left style="thin">
        <color auto="1"/>
      </left>
      <right/>
      <top style="thin">
        <color auto="1"/>
      </top>
      <bottom/>
      <diagonal/>
    </border>
    <border>
      <left/>
      <right style="thin">
        <color indexed="64"/>
      </right>
      <top style="thin">
        <color auto="1"/>
      </top>
      <bottom/>
      <diagonal/>
    </border>
    <border>
      <left style="thin">
        <color indexed="9"/>
      </left>
      <right style="thin">
        <color indexed="9"/>
      </right>
      <top style="thin">
        <color indexed="9"/>
      </top>
      <bottom/>
      <diagonal/>
    </border>
    <border>
      <left style="thin">
        <color indexed="9"/>
      </left>
      <right style="thin">
        <color indexed="64"/>
      </right>
      <top style="thin">
        <color auto="1"/>
      </top>
      <bottom style="thin">
        <color indexed="9"/>
      </bottom>
      <diagonal/>
    </border>
    <border>
      <left style="thin">
        <color indexed="9"/>
      </left>
      <right style="thin">
        <color indexed="64"/>
      </right>
      <top style="thin">
        <color indexed="9"/>
      </top>
      <bottom style="thin">
        <color auto="1"/>
      </bottom>
      <diagonal/>
    </border>
  </borders>
  <cellStyleXfs count="52">
    <xf numFmtId="0" fontId="0" fillId="0" borderId="0"/>
    <xf numFmtId="0" fontId="5" fillId="0" borderId="0" applyNumberFormat="0" applyFill="0" applyBorder="0" applyAlignment="0" applyProtection="0">
      <alignment vertical="top"/>
      <protection locked="0"/>
    </xf>
    <xf numFmtId="0" fontId="8" fillId="8"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20" fillId="0" borderId="0"/>
    <xf numFmtId="0" fontId="7" fillId="0" borderId="0"/>
    <xf numFmtId="0" fontId="9" fillId="0" borderId="0" applyNumberFormat="0" applyFill="0" applyBorder="0" applyAlignment="0" applyProtection="0"/>
    <xf numFmtId="0" fontId="9" fillId="0" borderId="0" applyNumberFormat="0" applyFill="0" applyBorder="0" applyAlignment="0" applyProtection="0"/>
    <xf numFmtId="0" fontId="20" fillId="11" borderId="0" applyNumberFormat="0" applyFont="0" applyBorder="0" applyAlignment="0">
      <protection locked="0"/>
    </xf>
    <xf numFmtId="43" fontId="7"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7"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9" fontId="20" fillId="0" borderId="0" applyFont="0" applyFill="0" applyBorder="0" applyAlignment="0" applyProtection="0"/>
    <xf numFmtId="0" fontId="63" fillId="0" borderId="0" applyNumberFormat="0" applyFill="0" applyBorder="0" applyAlignment="0" applyProtection="0">
      <alignment vertical="top"/>
      <protection locked="0"/>
    </xf>
    <xf numFmtId="165" fontId="20" fillId="0" borderId="0" applyFont="0" applyFill="0" applyBorder="0" applyAlignment="0" applyProtection="0"/>
    <xf numFmtId="0" fontId="20" fillId="0" borderId="0"/>
    <xf numFmtId="164" fontId="7" fillId="0" borderId="0" applyFont="0" applyFill="0" applyBorder="0" applyAlignment="0" applyProtection="0"/>
  </cellStyleXfs>
  <cellXfs count="536">
    <xf numFmtId="0" fontId="0" fillId="0" borderId="0" xfId="0"/>
    <xf numFmtId="0" fontId="2" fillId="0" borderId="0" xfId="0" applyFont="1"/>
    <xf numFmtId="0" fontId="3" fillId="0" borderId="0" xfId="0" applyFont="1"/>
    <xf numFmtId="0" fontId="5" fillId="0" borderId="0" xfId="1" applyAlignment="1" applyProtection="1"/>
    <xf numFmtId="0" fontId="6" fillId="0" borderId="0" xfId="0" applyFont="1"/>
    <xf numFmtId="0" fontId="4" fillId="0" borderId="0" xfId="0" applyFont="1"/>
    <xf numFmtId="0" fontId="0" fillId="0" borderId="0" xfId="0" applyFill="1"/>
    <xf numFmtId="0" fontId="2" fillId="0" borderId="0" xfId="0" applyFont="1" applyFill="1"/>
    <xf numFmtId="0" fontId="12" fillId="0" borderId="0" xfId="0" applyFont="1" applyAlignment="1">
      <alignment vertical="center"/>
    </xf>
    <xf numFmtId="0" fontId="13" fillId="0" borderId="0" xfId="0" applyFont="1" applyAlignment="1">
      <alignment vertical="center"/>
    </xf>
    <xf numFmtId="0" fontId="17" fillId="0" borderId="0" xfId="0" applyFont="1" applyAlignment="1">
      <alignment vertical="center"/>
    </xf>
    <xf numFmtId="0" fontId="22" fillId="10" borderId="0" xfId="11" applyFont="1" applyFill="1" applyBorder="1" applyAlignment="1">
      <alignment vertical="center" wrapText="1"/>
    </xf>
    <xf numFmtId="0" fontId="25" fillId="10" borderId="0" xfId="0" applyFont="1" applyFill="1"/>
    <xf numFmtId="0" fontId="1" fillId="10" borderId="0" xfId="0" applyFont="1" applyFill="1"/>
    <xf numFmtId="0" fontId="22" fillId="10" borderId="0" xfId="11" applyFont="1" applyFill="1" applyBorder="1" applyAlignment="1">
      <alignment vertical="center"/>
    </xf>
    <xf numFmtId="0" fontId="0" fillId="10" borderId="8" xfId="0" applyFill="1" applyBorder="1" applyAlignment="1">
      <alignment horizontal="left"/>
    </xf>
    <xf numFmtId="166" fontId="0" fillId="10" borderId="8" xfId="0" applyNumberFormat="1" applyFill="1" applyBorder="1" applyAlignment="1">
      <alignment horizontal="left"/>
    </xf>
    <xf numFmtId="2" fontId="0" fillId="10" borderId="8" xfId="0" applyNumberFormat="1" applyFill="1" applyBorder="1" applyAlignment="1">
      <alignment horizontal="left"/>
    </xf>
    <xf numFmtId="0" fontId="22" fillId="10" borderId="10" xfId="11" applyFont="1" applyFill="1" applyBorder="1" applyAlignment="1">
      <alignment vertical="center" wrapText="1"/>
    </xf>
    <xf numFmtId="0" fontId="22" fillId="10" borderId="14" xfId="11" applyFont="1" applyFill="1" applyBorder="1" applyAlignment="1">
      <alignment vertical="center" wrapText="1"/>
    </xf>
    <xf numFmtId="0" fontId="0" fillId="10" borderId="0" xfId="0" applyFill="1"/>
    <xf numFmtId="0" fontId="21" fillId="10" borderId="1" xfId="10" applyFont="1" applyFill="1" applyBorder="1" applyAlignment="1" applyProtection="1"/>
    <xf numFmtId="0" fontId="21" fillId="10" borderId="7" xfId="10" applyFont="1" applyFill="1" applyBorder="1" applyAlignment="1" applyProtection="1"/>
    <xf numFmtId="0" fontId="21" fillId="10" borderId="1" xfId="10" applyFont="1" applyFill="1" applyBorder="1" applyProtection="1"/>
    <xf numFmtId="0" fontId="21" fillId="10" borderId="2" xfId="10" applyFont="1" applyFill="1" applyBorder="1" applyProtection="1"/>
    <xf numFmtId="0" fontId="21" fillId="10" borderId="0" xfId="10" applyFont="1" applyFill="1" applyBorder="1" applyAlignment="1" applyProtection="1">
      <alignment horizontal="left" vertical="center"/>
    </xf>
    <xf numFmtId="3" fontId="21" fillId="10" borderId="0" xfId="10" applyNumberFormat="1" applyFont="1" applyFill="1" applyBorder="1" applyAlignment="1" applyProtection="1">
      <alignment horizontal="center" vertical="center" wrapText="1"/>
    </xf>
    <xf numFmtId="0" fontId="21" fillId="10" borderId="0" xfId="10" applyFont="1" applyFill="1" applyBorder="1" applyAlignment="1" applyProtection="1">
      <alignment horizontal="left" vertical="center" wrapText="1"/>
    </xf>
    <xf numFmtId="0" fontId="21" fillId="10" borderId="3" xfId="10" applyFont="1" applyFill="1" applyBorder="1" applyProtection="1"/>
    <xf numFmtId="0" fontId="21" fillId="10" borderId="4" xfId="10" applyFont="1" applyFill="1" applyBorder="1" applyProtection="1"/>
    <xf numFmtId="0" fontId="21" fillId="10" borderId="9" xfId="10" applyFont="1" applyFill="1" applyBorder="1" applyAlignment="1" applyProtection="1">
      <alignment horizontal="left" vertical="center"/>
    </xf>
    <xf numFmtId="3" fontId="21" fillId="10" borderId="10" xfId="10" applyNumberFormat="1" applyFont="1" applyFill="1" applyBorder="1" applyAlignment="1" applyProtection="1">
      <alignment horizontal="center" vertical="center" wrapText="1"/>
    </xf>
    <xf numFmtId="0" fontId="21" fillId="10" borderId="11" xfId="10" applyFont="1" applyFill="1" applyBorder="1" applyProtection="1"/>
    <xf numFmtId="0" fontId="21" fillId="10" borderId="12" xfId="10" applyFont="1" applyFill="1" applyBorder="1" applyProtection="1"/>
    <xf numFmtId="0" fontId="21" fillId="10" borderId="13" xfId="10" applyFont="1" applyFill="1" applyBorder="1" applyAlignment="1" applyProtection="1">
      <alignment horizontal="left" vertical="center"/>
    </xf>
    <xf numFmtId="3" fontId="21" fillId="10" borderId="14" xfId="10" applyNumberFormat="1" applyFont="1" applyFill="1" applyBorder="1" applyAlignment="1" applyProtection="1">
      <alignment horizontal="center" vertical="center" wrapText="1"/>
    </xf>
    <xf numFmtId="0" fontId="21" fillId="10" borderId="15" xfId="10" applyFont="1" applyFill="1" applyBorder="1" applyProtection="1"/>
    <xf numFmtId="0" fontId="21" fillId="10" borderId="16" xfId="10" applyFont="1" applyFill="1" applyBorder="1" applyProtection="1"/>
    <xf numFmtId="0" fontId="21" fillId="10" borderId="5" xfId="10" applyFont="1" applyFill="1" applyBorder="1" applyProtection="1"/>
    <xf numFmtId="0" fontId="21" fillId="10" borderId="6" xfId="10" applyFont="1" applyFill="1" applyBorder="1" applyProtection="1"/>
    <xf numFmtId="0" fontId="21" fillId="10" borderId="7" xfId="10" applyFont="1" applyFill="1" applyBorder="1" applyProtection="1"/>
    <xf numFmtId="0" fontId="21" fillId="10" borderId="0" xfId="10" applyFont="1" applyFill="1" applyBorder="1" applyAlignment="1" applyProtection="1"/>
    <xf numFmtId="0" fontId="21" fillId="10" borderId="0" xfId="10" applyFont="1" applyFill="1" applyBorder="1" applyProtection="1"/>
    <xf numFmtId="0" fontId="0" fillId="10" borderId="0" xfId="0" applyFill="1" applyBorder="1"/>
    <xf numFmtId="168" fontId="21" fillId="10" borderId="0" xfId="10" applyNumberFormat="1" applyFont="1" applyFill="1" applyBorder="1" applyAlignment="1" applyProtection="1">
      <alignment horizontal="center" vertical="center" wrapText="1"/>
    </xf>
    <xf numFmtId="9" fontId="21" fillId="10" borderId="0" xfId="2" applyNumberFormat="1" applyFont="1" applyFill="1" applyBorder="1" applyAlignment="1" applyProtection="1">
      <alignment horizontal="center" vertical="center"/>
    </xf>
    <xf numFmtId="0" fontId="32" fillId="10" borderId="8" xfId="10" applyFont="1" applyFill="1" applyBorder="1" applyAlignment="1" applyProtection="1">
      <alignment horizontal="center" vertical="center"/>
    </xf>
    <xf numFmtId="0" fontId="32" fillId="10" borderId="8" xfId="10" applyFont="1" applyFill="1" applyBorder="1" applyAlignment="1" applyProtection="1">
      <alignment horizontal="center" vertical="center" wrapText="1"/>
    </xf>
    <xf numFmtId="0" fontId="21" fillId="10" borderId="8" xfId="10" applyFont="1" applyFill="1" applyBorder="1" applyAlignment="1" applyProtection="1">
      <alignment horizontal="center" vertical="center" wrapText="1"/>
    </xf>
    <xf numFmtId="167" fontId="21" fillId="10" borderId="8" xfId="10" applyNumberFormat="1" applyFont="1" applyFill="1" applyBorder="1" applyAlignment="1" applyProtection="1">
      <alignment horizontal="center" vertical="center" wrapText="1"/>
    </xf>
    <xf numFmtId="168" fontId="21" fillId="10" borderId="8" xfId="10" applyNumberFormat="1" applyFont="1" applyFill="1" applyBorder="1" applyAlignment="1" applyProtection="1">
      <alignment horizontal="center" vertical="center" wrapText="1"/>
    </xf>
    <xf numFmtId="9" fontId="21" fillId="10" borderId="8" xfId="2" applyNumberFormat="1" applyFont="1" applyFill="1" applyBorder="1" applyAlignment="1" applyProtection="1">
      <alignment horizontal="center" vertical="center"/>
    </xf>
    <xf numFmtId="0" fontId="21" fillId="10" borderId="8" xfId="10" applyFont="1" applyFill="1" applyBorder="1" applyAlignment="1" applyProtection="1">
      <alignment horizontal="left" vertical="center" wrapText="1"/>
    </xf>
    <xf numFmtId="0" fontId="0" fillId="0" borderId="8" xfId="0" applyBorder="1" applyAlignment="1">
      <alignment horizontal="right" vertical="center"/>
    </xf>
    <xf numFmtId="0" fontId="0" fillId="10" borderId="8" xfId="0" applyFill="1" applyBorder="1" applyAlignment="1">
      <alignment horizontal="right" vertical="center"/>
    </xf>
    <xf numFmtId="9" fontId="20" fillId="0" borderId="8" xfId="0" applyNumberFormat="1" applyFont="1" applyBorder="1" applyAlignment="1" applyProtection="1">
      <alignment horizontal="center" vertical="center"/>
    </xf>
    <xf numFmtId="166" fontId="20" fillId="0" borderId="0" xfId="0" applyNumberFormat="1" applyFont="1" applyBorder="1" applyAlignment="1" applyProtection="1">
      <alignment horizontal="center" vertical="center"/>
    </xf>
    <xf numFmtId="0" fontId="20" fillId="10" borderId="1" xfId="0" applyFont="1" applyFill="1" applyBorder="1" applyProtection="1"/>
    <xf numFmtId="0" fontId="13" fillId="0" borderId="8" xfId="0" applyFont="1" applyBorder="1" applyAlignment="1">
      <alignment vertical="center"/>
    </xf>
    <xf numFmtId="0" fontId="0" fillId="0" borderId="8" xfId="0" applyBorder="1"/>
    <xf numFmtId="0" fontId="15" fillId="0" borderId="8" xfId="0" applyFont="1" applyBorder="1" applyAlignment="1">
      <alignment vertical="center"/>
    </xf>
    <xf numFmtId="0" fontId="14" fillId="0" borderId="8" xfId="0" applyFont="1" applyBorder="1" applyAlignment="1">
      <alignment vertical="center"/>
    </xf>
    <xf numFmtId="0" fontId="18" fillId="0" borderId="8" xfId="0" applyFont="1" applyBorder="1" applyAlignment="1">
      <alignment vertical="center"/>
    </xf>
    <xf numFmtId="0" fontId="20" fillId="10" borderId="20" xfId="0" applyFont="1" applyFill="1" applyBorder="1" applyAlignment="1" applyProtection="1">
      <alignment horizontal="left" vertical="center" indent="1"/>
    </xf>
    <xf numFmtId="0" fontId="20" fillId="10" borderId="20" xfId="0" applyFont="1" applyFill="1" applyBorder="1" applyAlignment="1" applyProtection="1">
      <alignment horizontal="center" vertical="center"/>
    </xf>
    <xf numFmtId="0" fontId="20" fillId="10" borderId="13" xfId="0" applyFont="1" applyFill="1" applyBorder="1" applyAlignment="1" applyProtection="1">
      <alignment horizontal="left" vertical="center" indent="1"/>
    </xf>
    <xf numFmtId="0" fontId="20" fillId="10" borderId="8" xfId="0" applyFont="1" applyFill="1" applyBorder="1" applyAlignment="1" applyProtection="1">
      <alignment horizontal="center" vertical="center"/>
    </xf>
    <xf numFmtId="0" fontId="20" fillId="10" borderId="8" xfId="0" applyNumberFormat="1" applyFont="1" applyFill="1" applyBorder="1" applyAlignment="1" applyProtection="1">
      <alignment horizontal="left" vertical="center" indent="1"/>
    </xf>
    <xf numFmtId="0" fontId="20" fillId="10" borderId="21" xfId="0" applyNumberFormat="1" applyFont="1" applyFill="1" applyBorder="1" applyAlignment="1" applyProtection="1">
      <alignment horizontal="center"/>
    </xf>
    <xf numFmtId="0" fontId="20" fillId="10" borderId="19" xfId="0" applyNumberFormat="1" applyFont="1" applyFill="1" applyBorder="1" applyAlignment="1" applyProtection="1">
      <alignment horizontal="center"/>
    </xf>
    <xf numFmtId="0" fontId="20" fillId="10" borderId="0" xfId="0" applyNumberFormat="1" applyFont="1" applyFill="1" applyBorder="1" applyAlignment="1" applyProtection="1">
      <alignment horizontal="left" vertical="center" indent="1"/>
    </xf>
    <xf numFmtId="0" fontId="20" fillId="10" borderId="0" xfId="0" applyNumberFormat="1" applyFont="1" applyFill="1" applyBorder="1" applyAlignment="1" applyProtection="1">
      <alignment horizontal="left"/>
    </xf>
    <xf numFmtId="169" fontId="20" fillId="10" borderId="0" xfId="0" applyNumberFormat="1" applyFont="1" applyFill="1" applyBorder="1" applyAlignment="1" applyProtection="1">
      <alignment horizontal="right"/>
    </xf>
    <xf numFmtId="0" fontId="20" fillId="10" borderId="0" xfId="0" applyNumberFormat="1" applyFont="1" applyFill="1" applyBorder="1" applyAlignment="1" applyProtection="1"/>
    <xf numFmtId="0" fontId="36" fillId="10" borderId="17" xfId="0" applyNumberFormat="1" applyFont="1" applyFill="1" applyBorder="1" applyAlignment="1" applyProtection="1">
      <alignment horizontal="left" vertical="center" indent="1"/>
    </xf>
    <xf numFmtId="0" fontId="36" fillId="10" borderId="18" xfId="0" applyNumberFormat="1" applyFont="1" applyFill="1" applyBorder="1" applyAlignment="1" applyProtection="1">
      <alignment horizontal="center"/>
    </xf>
    <xf numFmtId="0" fontId="20" fillId="10" borderId="9" xfId="0" applyFont="1" applyFill="1" applyBorder="1" applyAlignment="1" applyProtection="1">
      <alignment horizontal="left" vertical="center" indent="1"/>
    </xf>
    <xf numFmtId="0" fontId="20" fillId="10" borderId="9" xfId="0" applyFont="1" applyFill="1" applyBorder="1" applyAlignment="1" applyProtection="1">
      <alignment horizontal="center" vertical="center"/>
    </xf>
    <xf numFmtId="0" fontId="0" fillId="7" borderId="8" xfId="0" applyFill="1" applyBorder="1"/>
    <xf numFmtId="0" fontId="0" fillId="7" borderId="22" xfId="0" applyFill="1" applyBorder="1"/>
    <xf numFmtId="174" fontId="37" fillId="12" borderId="8" xfId="15" applyNumberFormat="1" applyFont="1" applyFill="1" applyBorder="1" applyAlignment="1">
      <alignment horizontal="left"/>
    </xf>
    <xf numFmtId="175" fontId="37" fillId="12" borderId="8" xfId="0" applyNumberFormat="1" applyFont="1" applyFill="1" applyBorder="1"/>
    <xf numFmtId="0" fontId="2" fillId="0" borderId="0" xfId="0" applyFont="1" applyFill="1" applyAlignment="1">
      <alignment horizontal="center"/>
    </xf>
    <xf numFmtId="0" fontId="2" fillId="15" borderId="0" xfId="0" applyFont="1" applyFill="1"/>
    <xf numFmtId="0" fontId="2" fillId="10" borderId="0" xfId="0" applyFont="1" applyFill="1"/>
    <xf numFmtId="0" fontId="2" fillId="10" borderId="0" xfId="0" applyFont="1" applyFill="1" applyBorder="1"/>
    <xf numFmtId="0" fontId="0" fillId="0" borderId="22" xfId="0" applyBorder="1"/>
    <xf numFmtId="176" fontId="0" fillId="10" borderId="0" xfId="15" applyNumberFormat="1" applyFont="1" applyFill="1"/>
    <xf numFmtId="0" fontId="3" fillId="2" borderId="0" xfId="0" applyFont="1" applyFill="1"/>
    <xf numFmtId="0" fontId="3" fillId="13" borderId="0" xfId="0" applyFont="1" applyFill="1"/>
    <xf numFmtId="0" fontId="3" fillId="4" borderId="0" xfId="0" applyFont="1" applyFill="1"/>
    <xf numFmtId="0" fontId="3" fillId="3" borderId="0" xfId="0" applyFont="1" applyFill="1"/>
    <xf numFmtId="174" fontId="0" fillId="10" borderId="8" xfId="15" applyNumberFormat="1" applyFont="1" applyFill="1" applyBorder="1"/>
    <xf numFmtId="0" fontId="0" fillId="10" borderId="0" xfId="0" applyFill="1" applyAlignment="1">
      <alignment horizontal="center"/>
    </xf>
    <xf numFmtId="0" fontId="2" fillId="0" borderId="0" xfId="0" applyFont="1" applyAlignment="1">
      <alignment horizontal="center"/>
    </xf>
    <xf numFmtId="0" fontId="2" fillId="2" borderId="26" xfId="0" applyFont="1" applyFill="1" applyBorder="1" applyAlignment="1">
      <alignment horizontal="center"/>
    </xf>
    <xf numFmtId="0" fontId="2" fillId="13" borderId="0" xfId="0" applyFont="1" applyFill="1" applyBorder="1" applyAlignment="1">
      <alignment horizontal="center"/>
    </xf>
    <xf numFmtId="0" fontId="2" fillId="4" borderId="0" xfId="0" applyFont="1" applyFill="1" applyBorder="1" applyAlignment="1">
      <alignment horizontal="center"/>
    </xf>
    <xf numFmtId="0" fontId="2" fillId="3" borderId="0" xfId="0" applyFont="1" applyFill="1" applyBorder="1" applyAlignment="1">
      <alignment horizontal="center"/>
    </xf>
    <xf numFmtId="0" fontId="2" fillId="5" borderId="0" xfId="0" applyFont="1" applyFill="1" applyBorder="1" applyAlignment="1">
      <alignment horizontal="center"/>
    </xf>
    <xf numFmtId="0" fontId="2" fillId="14" borderId="27" xfId="0" applyFont="1" applyFill="1" applyBorder="1" applyAlignment="1">
      <alignment horizontal="center"/>
    </xf>
    <xf numFmtId="0" fontId="0" fillId="0" borderId="26" xfId="0" applyBorder="1" applyAlignment="1">
      <alignment horizontal="center"/>
    </xf>
    <xf numFmtId="0" fontId="0" fillId="0" borderId="0" xfId="0" applyBorder="1" applyAlignment="1">
      <alignment horizontal="center"/>
    </xf>
    <xf numFmtId="0" fontId="0" fillId="0" borderId="27" xfId="0" applyBorder="1" applyAlignment="1">
      <alignment horizontal="center"/>
    </xf>
    <xf numFmtId="0" fontId="2" fillId="14" borderId="0" xfId="0" applyFont="1" applyFill="1" applyBorder="1" applyAlignment="1">
      <alignment horizontal="center"/>
    </xf>
    <xf numFmtId="0" fontId="39" fillId="16" borderId="0" xfId="0" applyFont="1" applyFill="1"/>
    <xf numFmtId="174" fontId="37" fillId="12" borderId="26" xfId="15" applyNumberFormat="1" applyFont="1" applyFill="1" applyBorder="1" applyAlignment="1">
      <alignment horizontal="center"/>
    </xf>
    <xf numFmtId="174" fontId="37" fillId="12" borderId="0" xfId="15" applyNumberFormat="1" applyFont="1" applyFill="1" applyBorder="1" applyAlignment="1">
      <alignment horizontal="center"/>
    </xf>
    <xf numFmtId="174" fontId="2" fillId="15" borderId="28" xfId="15" applyNumberFormat="1" applyFont="1" applyFill="1" applyBorder="1"/>
    <xf numFmtId="174" fontId="2" fillId="15" borderId="29" xfId="15" applyNumberFormat="1" applyFont="1" applyFill="1" applyBorder="1"/>
    <xf numFmtId="174" fontId="38" fillId="15" borderId="28" xfId="15" applyNumberFormat="1" applyFont="1" applyFill="1" applyBorder="1"/>
    <xf numFmtId="0" fontId="40" fillId="16" borderId="26" xfId="0" applyFont="1" applyFill="1" applyBorder="1" applyAlignment="1">
      <alignment horizontal="center"/>
    </xf>
    <xf numFmtId="0" fontId="2" fillId="0" borderId="22" xfId="0" applyFont="1" applyBorder="1"/>
    <xf numFmtId="173" fontId="37" fillId="12" borderId="22" xfId="0" applyNumberFormat="1" applyFont="1" applyFill="1" applyBorder="1"/>
    <xf numFmtId="171" fontId="0" fillId="0" borderId="22" xfId="15" applyNumberFormat="1" applyFont="1" applyBorder="1"/>
    <xf numFmtId="0" fontId="2" fillId="6" borderId="0" xfId="0" applyFont="1" applyFill="1" applyAlignment="1">
      <alignment horizontal="center"/>
    </xf>
    <xf numFmtId="172" fontId="37" fillId="12" borderId="26" xfId="0" applyNumberFormat="1" applyFont="1" applyFill="1" applyBorder="1"/>
    <xf numFmtId="0" fontId="41" fillId="10" borderId="0" xfId="0" applyNumberFormat="1" applyFont="1" applyFill="1" applyBorder="1" applyAlignment="1" applyProtection="1">
      <protection locked="0"/>
    </xf>
    <xf numFmtId="0" fontId="42" fillId="10" borderId="0" xfId="0" applyNumberFormat="1" applyFont="1" applyFill="1" applyBorder="1" applyAlignment="1" applyProtection="1"/>
    <xf numFmtId="0" fontId="42" fillId="9" borderId="0" xfId="0" applyFont="1" applyFill="1" applyBorder="1" applyAlignment="1" applyProtection="1">
      <alignment horizontal="left" vertical="center" wrapText="1"/>
    </xf>
    <xf numFmtId="0" fontId="36" fillId="9" borderId="0" xfId="0" applyFont="1" applyFill="1" applyBorder="1"/>
    <xf numFmtId="2" fontId="20" fillId="9" borderId="0" xfId="0" applyNumberFormat="1" applyFont="1" applyFill="1" applyBorder="1" applyAlignment="1">
      <alignment horizontal="center" vertical="center"/>
    </xf>
    <xf numFmtId="0" fontId="20" fillId="0" borderId="0" xfId="0" applyFont="1" applyBorder="1" applyProtection="1"/>
    <xf numFmtId="0" fontId="36" fillId="15" borderId="32" xfId="0" applyFont="1" applyFill="1" applyBorder="1" applyAlignment="1">
      <alignment horizontal="center" vertical="center"/>
    </xf>
    <xf numFmtId="0" fontId="43" fillId="15" borderId="33" xfId="0" applyFont="1" applyFill="1" applyBorder="1" applyAlignment="1" applyProtection="1">
      <alignment horizontal="center" vertical="center"/>
    </xf>
    <xf numFmtId="3" fontId="20" fillId="0" borderId="22" xfId="0" applyNumberFormat="1" applyFont="1" applyFill="1" applyBorder="1" applyAlignment="1" applyProtection="1">
      <alignment horizontal="center" vertical="center" wrapText="1"/>
    </xf>
    <xf numFmtId="2" fontId="20" fillId="9" borderId="22" xfId="0" applyNumberFormat="1" applyFont="1" applyFill="1" applyBorder="1" applyAlignment="1">
      <alignment horizontal="center" vertical="center"/>
    </xf>
    <xf numFmtId="177" fontId="0" fillId="0" borderId="22" xfId="0" applyNumberFormat="1" applyBorder="1" applyAlignment="1">
      <alignment horizontal="center" vertical="center"/>
    </xf>
    <xf numFmtId="0" fontId="20" fillId="0" borderId="6" xfId="0" applyFont="1" applyBorder="1" applyAlignment="1">
      <alignment horizontal="left" vertical="center"/>
    </xf>
    <xf numFmtId="0" fontId="20" fillId="0" borderId="6" xfId="0" applyFont="1" applyBorder="1"/>
    <xf numFmtId="0" fontId="41" fillId="10" borderId="0" xfId="0" applyNumberFormat="1" applyFont="1" applyFill="1" applyBorder="1" applyAlignment="1" applyProtection="1">
      <alignment horizontal="right"/>
    </xf>
    <xf numFmtId="0" fontId="44" fillId="9" borderId="35" xfId="0" applyFont="1" applyFill="1" applyBorder="1" applyAlignment="1" applyProtection="1">
      <alignment horizontal="right" vertical="center"/>
    </xf>
    <xf numFmtId="0" fontId="45" fillId="9" borderId="0" xfId="0" applyFont="1" applyFill="1" applyBorder="1" applyAlignment="1" applyProtection="1">
      <alignment vertical="center"/>
    </xf>
    <xf numFmtId="0" fontId="20" fillId="9" borderId="0" xfId="0" applyFont="1" applyFill="1" applyBorder="1" applyAlignment="1" applyProtection="1">
      <alignment horizontal="left" vertical="center" wrapText="1"/>
    </xf>
    <xf numFmtId="172" fontId="46" fillId="9" borderId="0" xfId="23" applyNumberFormat="1" applyFont="1" applyFill="1" applyBorder="1" applyAlignment="1" applyProtection="1">
      <alignment vertical="center"/>
    </xf>
    <xf numFmtId="0" fontId="46" fillId="9" borderId="0" xfId="0" applyFont="1" applyFill="1" applyBorder="1" applyAlignment="1" applyProtection="1">
      <alignment vertical="center"/>
    </xf>
    <xf numFmtId="0" fontId="47" fillId="0" borderId="7" xfId="0" applyFont="1" applyBorder="1" applyAlignment="1" applyProtection="1">
      <alignment horizontal="right"/>
    </xf>
    <xf numFmtId="0" fontId="36" fillId="15" borderId="22" xfId="0" applyFont="1" applyFill="1" applyBorder="1" applyAlignment="1" applyProtection="1">
      <alignment horizontal="center" vertical="center"/>
    </xf>
    <xf numFmtId="0" fontId="36" fillId="15" borderId="22" xfId="0" applyFont="1" applyFill="1" applyBorder="1" applyAlignment="1" applyProtection="1">
      <alignment horizontal="center" vertical="center" wrapText="1"/>
    </xf>
    <xf numFmtId="0" fontId="36" fillId="18" borderId="22" xfId="15" applyNumberFormat="1" applyFont="1" applyFill="1" applyBorder="1" applyAlignment="1" applyProtection="1">
      <alignment horizontal="center" vertical="center" wrapText="1"/>
    </xf>
    <xf numFmtId="0" fontId="36" fillId="19" borderId="22" xfId="0" applyNumberFormat="1" applyFont="1" applyFill="1" applyBorder="1" applyAlignment="1" applyProtection="1">
      <alignment horizontal="center" vertical="center" wrapText="1"/>
    </xf>
    <xf numFmtId="0" fontId="36" fillId="20" borderId="22" xfId="0" applyNumberFormat="1" applyFont="1" applyFill="1" applyBorder="1" applyAlignment="1" applyProtection="1">
      <alignment horizontal="center" vertical="center" wrapText="1"/>
    </xf>
    <xf numFmtId="0" fontId="20" fillId="9" borderId="22" xfId="0" applyFont="1" applyFill="1" applyBorder="1" applyAlignment="1" applyProtection="1">
      <alignment horizontal="left" vertical="center" wrapText="1" indent="1"/>
    </xf>
    <xf numFmtId="178" fontId="20" fillId="9" borderId="22" xfId="15" applyNumberFormat="1" applyFont="1" applyFill="1" applyBorder="1" applyAlignment="1" applyProtection="1">
      <alignment horizontal="right" vertical="center" wrapText="1" indent="1"/>
    </xf>
    <xf numFmtId="172" fontId="20" fillId="9" borderId="22" xfId="0" applyNumberFormat="1" applyFont="1" applyFill="1" applyBorder="1" applyAlignment="1" applyProtection="1">
      <alignment horizontal="right" vertical="center" wrapText="1" indent="1"/>
    </xf>
    <xf numFmtId="0" fontId="20" fillId="9" borderId="22" xfId="0" applyFont="1" applyFill="1" applyBorder="1" applyAlignment="1" applyProtection="1">
      <alignment horizontal="center" vertical="center" wrapText="1"/>
    </xf>
    <xf numFmtId="172" fontId="20" fillId="18" borderId="22" xfId="15" applyNumberFormat="1" applyFont="1" applyFill="1" applyBorder="1" applyAlignment="1" applyProtection="1">
      <alignment horizontal="right" vertical="center" wrapText="1" indent="1"/>
    </xf>
    <xf numFmtId="166" fontId="20" fillId="19" borderId="22" xfId="0" applyNumberFormat="1" applyFont="1" applyFill="1" applyBorder="1" applyAlignment="1" applyProtection="1">
      <alignment horizontal="right" vertical="center" wrapText="1" indent="1"/>
    </xf>
    <xf numFmtId="179" fontId="20" fillId="20" borderId="22" xfId="0" applyNumberFormat="1" applyFont="1" applyFill="1" applyBorder="1" applyAlignment="1" applyProtection="1">
      <alignment horizontal="right" vertical="center" wrapText="1" indent="1"/>
    </xf>
    <xf numFmtId="0" fontId="20" fillId="0" borderId="22" xfId="0" applyFont="1" applyFill="1" applyBorder="1" applyAlignment="1" applyProtection="1">
      <alignment horizontal="left" vertical="center" wrapText="1" indent="1"/>
    </xf>
    <xf numFmtId="2" fontId="20" fillId="9" borderId="22" xfId="0" applyNumberFormat="1" applyFont="1" applyFill="1" applyBorder="1" applyAlignment="1" applyProtection="1">
      <alignment horizontal="right" vertical="center" wrapText="1" indent="1"/>
    </xf>
    <xf numFmtId="178" fontId="20" fillId="0" borderId="22" xfId="15" applyNumberFormat="1" applyFont="1" applyFill="1" applyBorder="1" applyAlignment="1" applyProtection="1">
      <alignment horizontal="right" vertical="center" wrapText="1" indent="1"/>
    </xf>
    <xf numFmtId="1" fontId="20" fillId="0" borderId="22" xfId="0" applyNumberFormat="1" applyFont="1" applyFill="1" applyBorder="1" applyAlignment="1" applyProtection="1">
      <alignment horizontal="right" vertical="center" wrapText="1" indent="1"/>
    </xf>
    <xf numFmtId="166" fontId="20" fillId="18" borderId="22" xfId="15" applyNumberFormat="1" applyFont="1" applyFill="1" applyBorder="1" applyAlignment="1" applyProtection="1">
      <alignment horizontal="right" vertical="center" wrapText="1" indent="1"/>
    </xf>
    <xf numFmtId="2" fontId="20" fillId="18" borderId="22" xfId="15" applyNumberFormat="1" applyFont="1" applyFill="1" applyBorder="1" applyAlignment="1" applyProtection="1">
      <alignment horizontal="right" vertical="center" wrapText="1" indent="1"/>
    </xf>
    <xf numFmtId="179" fontId="20" fillId="19" borderId="22" xfId="0" applyNumberFormat="1" applyFont="1" applyFill="1" applyBorder="1" applyAlignment="1" applyProtection="1">
      <alignment horizontal="right" vertical="center" wrapText="1" indent="1"/>
    </xf>
    <xf numFmtId="172" fontId="20" fillId="0" borderId="22" xfId="0" applyNumberFormat="1" applyFont="1" applyFill="1" applyBorder="1" applyAlignment="1" applyProtection="1">
      <alignment horizontal="right" vertical="center" wrapText="1" indent="1"/>
    </xf>
    <xf numFmtId="0" fontId="20" fillId="0" borderId="7" xfId="0" applyFont="1" applyBorder="1" applyProtection="1"/>
    <xf numFmtId="0" fontId="20" fillId="9" borderId="0" xfId="0" applyFont="1" applyFill="1" applyBorder="1" applyAlignment="1" applyProtection="1">
      <alignment horizontal="center" vertical="center" wrapText="1"/>
    </xf>
    <xf numFmtId="180" fontId="20" fillId="9" borderId="0" xfId="0" applyNumberFormat="1" applyFont="1" applyFill="1" applyBorder="1" applyAlignment="1" applyProtection="1">
      <alignment horizontal="center" vertical="center" wrapText="1"/>
    </xf>
    <xf numFmtId="9" fontId="20" fillId="9" borderId="0" xfId="23" applyFont="1" applyFill="1" applyBorder="1" applyAlignment="1" applyProtection="1">
      <alignment horizontal="center" vertical="center" wrapText="1"/>
    </xf>
    <xf numFmtId="180" fontId="36" fillId="18" borderId="22" xfId="15" applyNumberFormat="1" applyFont="1" applyFill="1" applyBorder="1" applyAlignment="1" applyProtection="1">
      <alignment horizontal="center" vertical="center" wrapText="1"/>
    </xf>
    <xf numFmtId="180" fontId="36" fillId="19" borderId="22" xfId="0" applyNumberFormat="1" applyFont="1" applyFill="1" applyBorder="1" applyAlignment="1" applyProtection="1">
      <alignment horizontal="center" vertical="center" wrapText="1"/>
    </xf>
    <xf numFmtId="180" fontId="36" fillId="20" borderId="22" xfId="0" applyNumberFormat="1" applyFont="1" applyFill="1" applyBorder="1" applyAlignment="1" applyProtection="1">
      <alignment horizontal="center" vertical="center" wrapText="1"/>
    </xf>
    <xf numFmtId="0" fontId="20" fillId="0" borderId="4" xfId="0" applyFont="1" applyBorder="1" applyProtection="1"/>
    <xf numFmtId="0" fontId="20" fillId="9" borderId="37" xfId="0" applyFont="1" applyFill="1" applyBorder="1" applyAlignment="1" applyProtection="1">
      <alignment vertical="center" wrapText="1"/>
    </xf>
    <xf numFmtId="0" fontId="49" fillId="0" borderId="38" xfId="0" applyFont="1" applyBorder="1" applyAlignment="1" applyProtection="1">
      <alignment vertical="center"/>
    </xf>
    <xf numFmtId="179" fontId="0" fillId="0" borderId="22" xfId="0" applyNumberFormat="1" applyBorder="1"/>
    <xf numFmtId="0" fontId="2" fillId="7" borderId="22" xfId="0" applyFont="1" applyFill="1" applyBorder="1"/>
    <xf numFmtId="0" fontId="36" fillId="15" borderId="9" xfId="0" applyFont="1" applyFill="1" applyBorder="1" applyAlignment="1">
      <alignment horizontal="center" vertical="center"/>
    </xf>
    <xf numFmtId="0" fontId="43" fillId="15" borderId="13" xfId="0" applyFont="1" applyFill="1" applyBorder="1" applyAlignment="1" applyProtection="1">
      <alignment horizontal="center" vertical="center"/>
    </xf>
    <xf numFmtId="0" fontId="0" fillId="0" borderId="22" xfId="0" applyBorder="1" applyAlignment="1">
      <alignment horizontal="center"/>
    </xf>
    <xf numFmtId="174" fontId="37" fillId="12" borderId="22" xfId="15" applyNumberFormat="1" applyFont="1" applyFill="1" applyBorder="1" applyAlignment="1">
      <alignment horizontal="left"/>
    </xf>
    <xf numFmtId="0" fontId="2" fillId="0" borderId="22" xfId="0" applyFont="1" applyBorder="1" applyAlignment="1">
      <alignment horizontal="center"/>
    </xf>
    <xf numFmtId="0" fontId="0" fillId="7" borderId="22" xfId="0" applyFill="1" applyBorder="1" applyAlignment="1">
      <alignment horizontal="center"/>
    </xf>
    <xf numFmtId="0" fontId="2" fillId="10" borderId="8" xfId="0" applyFont="1" applyFill="1" applyBorder="1"/>
    <xf numFmtId="0" fontId="0" fillId="10" borderId="0" xfId="0" applyFont="1" applyFill="1"/>
    <xf numFmtId="0" fontId="53" fillId="10" borderId="1" xfId="0" applyFont="1" applyFill="1" applyBorder="1" applyProtection="1"/>
    <xf numFmtId="0" fontId="2" fillId="7" borderId="0" xfId="0" applyFont="1" applyFill="1" applyAlignment="1">
      <alignment horizontal="left"/>
    </xf>
    <xf numFmtId="0" fontId="3" fillId="7" borderId="0" xfId="0" applyFont="1" applyFill="1"/>
    <xf numFmtId="0" fontId="0" fillId="0" borderId="42" xfId="0" applyBorder="1" applyAlignment="1">
      <alignment horizontal="center"/>
    </xf>
    <xf numFmtId="0" fontId="0" fillId="0" borderId="33" xfId="0" applyBorder="1" applyAlignment="1">
      <alignment horizontal="center"/>
    </xf>
    <xf numFmtId="3" fontId="36" fillId="0" borderId="22" xfId="0" applyNumberFormat="1" applyFont="1" applyFill="1" applyBorder="1" applyAlignment="1" applyProtection="1">
      <alignment horizontal="center" vertical="center" wrapText="1"/>
    </xf>
    <xf numFmtId="0" fontId="2" fillId="10" borderId="8" xfId="0" applyFont="1" applyFill="1" applyBorder="1" applyAlignment="1">
      <alignment horizontal="right"/>
    </xf>
    <xf numFmtId="0" fontId="2" fillId="10" borderId="22" xfId="0" applyFont="1" applyFill="1" applyBorder="1"/>
    <xf numFmtId="174" fontId="37" fillId="12" borderId="22" xfId="15" applyNumberFormat="1" applyFont="1" applyFill="1" applyBorder="1"/>
    <xf numFmtId="0" fontId="5" fillId="10" borderId="0" xfId="1" applyFill="1" applyAlignment="1" applyProtection="1"/>
    <xf numFmtId="0" fontId="5" fillId="10" borderId="0" xfId="1" applyFill="1" applyBorder="1" applyAlignment="1" applyProtection="1"/>
    <xf numFmtId="0" fontId="56" fillId="16" borderId="22" xfId="1" applyFont="1" applyFill="1" applyBorder="1" applyAlignment="1" applyProtection="1"/>
    <xf numFmtId="0" fontId="0" fillId="0" borderId="0" xfId="0" applyAlignment="1">
      <alignment horizontal="right"/>
    </xf>
    <xf numFmtId="0" fontId="53" fillId="7" borderId="22" xfId="0" applyFont="1" applyFill="1" applyBorder="1"/>
    <xf numFmtId="9" fontId="0" fillId="7" borderId="22" xfId="0" applyNumberFormat="1" applyFill="1" applyBorder="1"/>
    <xf numFmtId="0" fontId="5" fillId="2" borderId="0" xfId="1" applyFill="1" applyAlignment="1" applyProtection="1">
      <alignment horizontal="center" vertical="center"/>
    </xf>
    <xf numFmtId="0" fontId="2" fillId="23" borderId="41" xfId="0" applyFont="1" applyFill="1" applyBorder="1" applyAlignment="1"/>
    <xf numFmtId="0" fontId="2" fillId="0" borderId="0" xfId="0" applyFont="1" applyFill="1" applyBorder="1" applyAlignment="1"/>
    <xf numFmtId="172" fontId="37" fillId="22" borderId="22" xfId="0" applyNumberFormat="1" applyFont="1" applyFill="1" applyBorder="1" applyAlignment="1">
      <alignment horizontal="center"/>
    </xf>
    <xf numFmtId="172" fontId="37" fillId="22" borderId="33" xfId="0" applyNumberFormat="1" applyFont="1" applyFill="1" applyBorder="1" applyAlignment="1">
      <alignment horizontal="center"/>
    </xf>
    <xf numFmtId="0" fontId="0" fillId="0" borderId="22" xfId="0" applyFill="1" applyBorder="1"/>
    <xf numFmtId="181" fontId="37" fillId="12" borderId="8" xfId="15" applyNumberFormat="1" applyFont="1" applyFill="1" applyBorder="1" applyAlignment="1">
      <alignment horizontal="left"/>
    </xf>
    <xf numFmtId="0" fontId="0" fillId="0" borderId="22" xfId="0" applyBorder="1" applyAlignment="1">
      <alignment horizontal="center"/>
    </xf>
    <xf numFmtId="17" fontId="0" fillId="0" borderId="22" xfId="0" applyNumberFormat="1" applyBorder="1" applyAlignment="1">
      <alignment horizontal="center"/>
    </xf>
    <xf numFmtId="0" fontId="0" fillId="10" borderId="22" xfId="0" applyFill="1" applyBorder="1"/>
    <xf numFmtId="0" fontId="3" fillId="2" borderId="0" xfId="0" applyFont="1" applyFill="1" applyAlignment="1"/>
    <xf numFmtId="0" fontId="20" fillId="0" borderId="50" xfId="0" applyFont="1" applyBorder="1" applyAlignment="1">
      <alignment horizontal="center"/>
    </xf>
    <xf numFmtId="0" fontId="20" fillId="25" borderId="26" xfId="0" applyFont="1" applyFill="1" applyBorder="1" applyAlignment="1">
      <alignment horizontal="center"/>
    </xf>
    <xf numFmtId="0" fontId="20" fillId="25" borderId="51" xfId="0" applyFont="1" applyFill="1" applyBorder="1" applyAlignment="1">
      <alignment horizontal="center"/>
    </xf>
    <xf numFmtId="0" fontId="20" fillId="26" borderId="52" xfId="0" applyFont="1" applyFill="1" applyBorder="1" applyAlignment="1">
      <alignment horizontal="center"/>
    </xf>
    <xf numFmtId="0" fontId="20" fillId="26" borderId="53" xfId="0" applyFont="1" applyFill="1" applyBorder="1" applyAlignment="1">
      <alignment horizontal="center"/>
    </xf>
    <xf numFmtId="0" fontId="20" fillId="25" borderId="28" xfId="0" applyFont="1" applyFill="1" applyBorder="1" applyAlignment="1">
      <alignment horizontal="center"/>
    </xf>
    <xf numFmtId="0" fontId="20" fillId="25" borderId="55" xfId="0" applyFont="1" applyFill="1" applyBorder="1" applyAlignment="1">
      <alignment horizontal="center"/>
    </xf>
    <xf numFmtId="166" fontId="20" fillId="0" borderId="55" xfId="0" applyNumberFormat="1" applyFont="1" applyBorder="1" applyAlignment="1">
      <alignment horizontal="right"/>
    </xf>
    <xf numFmtId="166" fontId="20" fillId="0" borderId="30" xfId="0" applyNumberFormat="1" applyFont="1" applyBorder="1" applyAlignment="1">
      <alignment horizontal="right"/>
    </xf>
    <xf numFmtId="2" fontId="37" fillId="12" borderId="8" xfId="0" applyNumberFormat="1" applyFont="1" applyFill="1" applyBorder="1"/>
    <xf numFmtId="0" fontId="20" fillId="17" borderId="22" xfId="0" applyFont="1" applyFill="1" applyBorder="1" applyAlignment="1">
      <alignment horizontal="center" vertical="center" wrapText="1"/>
    </xf>
    <xf numFmtId="1" fontId="0" fillId="7" borderId="22" xfId="0" applyNumberFormat="1" applyFill="1" applyBorder="1"/>
    <xf numFmtId="0" fontId="61" fillId="0" borderId="22" xfId="10" applyFont="1" applyBorder="1" applyAlignment="1">
      <alignment wrapText="1"/>
    </xf>
    <xf numFmtId="0" fontId="61" fillId="0" borderId="22" xfId="10" applyFont="1" applyBorder="1" applyAlignment="1">
      <alignment horizontal="center" vertical="center" wrapText="1"/>
    </xf>
    <xf numFmtId="9" fontId="61" fillId="17" borderId="22" xfId="47" applyFont="1" applyFill="1" applyBorder="1" applyAlignment="1">
      <alignment horizontal="center" vertical="center"/>
    </xf>
    <xf numFmtId="0" fontId="62" fillId="27" borderId="22" xfId="10" applyFont="1" applyFill="1" applyBorder="1" applyAlignment="1">
      <alignment horizontal="center" vertical="center"/>
    </xf>
    <xf numFmtId="0" fontId="61" fillId="27" borderId="22" xfId="10" applyFont="1" applyFill="1" applyBorder="1" applyAlignment="1">
      <alignment horizontal="center" vertical="center"/>
    </xf>
    <xf numFmtId="0" fontId="64" fillId="0" borderId="0" xfId="48" applyFont="1" applyAlignment="1" applyProtection="1"/>
    <xf numFmtId="0" fontId="62" fillId="9" borderId="0" xfId="10" applyFont="1" applyFill="1"/>
    <xf numFmtId="0" fontId="62" fillId="9" borderId="38" xfId="10" applyFont="1" applyFill="1" applyBorder="1" applyAlignment="1">
      <alignment vertical="center"/>
    </xf>
    <xf numFmtId="0" fontId="62" fillId="0" borderId="38" xfId="10" applyFont="1" applyBorder="1" applyAlignment="1">
      <alignment vertical="center"/>
    </xf>
    <xf numFmtId="0" fontId="61" fillId="9" borderId="60" xfId="10" applyFont="1" applyFill="1" applyBorder="1" applyAlignment="1">
      <alignment horizontal="left" vertical="center" wrapText="1" indent="1"/>
    </xf>
    <xf numFmtId="0" fontId="61" fillId="0" borderId="60" xfId="10" applyFont="1" applyBorder="1" applyAlignment="1">
      <alignment horizontal="left" vertical="center" indent="1"/>
    </xf>
    <xf numFmtId="3" fontId="61" fillId="17" borderId="60" xfId="10" applyNumberFormat="1" applyFont="1" applyFill="1" applyBorder="1" applyAlignment="1">
      <alignment horizontal="center" vertical="center" wrapText="1"/>
    </xf>
    <xf numFmtId="0" fontId="0" fillId="0" borderId="0" xfId="0" applyFont="1"/>
    <xf numFmtId="0" fontId="5" fillId="2" borderId="0" xfId="1" applyFont="1" applyFill="1" applyAlignment="1" applyProtection="1">
      <alignment horizontal="center" vertical="center"/>
    </xf>
    <xf numFmtId="0" fontId="0" fillId="0" borderId="22" xfId="0" applyFont="1" applyBorder="1"/>
    <xf numFmtId="0" fontId="5" fillId="13" borderId="22" xfId="1" applyFont="1" applyFill="1" applyBorder="1" applyAlignment="1" applyProtection="1"/>
    <xf numFmtId="0" fontId="5" fillId="4" borderId="22" xfId="1" applyFont="1" applyFill="1" applyBorder="1" applyAlignment="1" applyProtection="1"/>
    <xf numFmtId="0" fontId="5" fillId="5" borderId="22" xfId="1" applyFont="1" applyFill="1" applyBorder="1" applyAlignment="1" applyProtection="1"/>
    <xf numFmtId="0" fontId="5" fillId="14" borderId="22" xfId="1" applyFont="1" applyFill="1" applyBorder="1" applyAlignment="1" applyProtection="1"/>
    <xf numFmtId="0" fontId="62" fillId="28" borderId="40" xfId="10" applyFont="1" applyFill="1" applyBorder="1" applyAlignment="1">
      <alignment horizontal="left" vertical="center"/>
    </xf>
    <xf numFmtId="0" fontId="62" fillId="28" borderId="40" xfId="10" applyFont="1" applyFill="1" applyBorder="1" applyAlignment="1" applyProtection="1">
      <alignment vertical="center"/>
      <protection locked="0"/>
    </xf>
    <xf numFmtId="0" fontId="61" fillId="28" borderId="40" xfId="10" applyFont="1" applyFill="1" applyBorder="1" applyAlignment="1">
      <alignment vertical="center"/>
    </xf>
    <xf numFmtId="0" fontId="66" fillId="0" borderId="0" xfId="10" applyFont="1"/>
    <xf numFmtId="0" fontId="63" fillId="9" borderId="58" xfId="48" applyFill="1" applyBorder="1" applyAlignment="1" applyProtection="1">
      <alignment vertical="center"/>
    </xf>
    <xf numFmtId="0" fontId="63" fillId="9" borderId="20" xfId="48" applyFill="1" applyBorder="1" applyAlignment="1" applyProtection="1">
      <alignment vertical="center"/>
    </xf>
    <xf numFmtId="0" fontId="63" fillId="9" borderId="0" xfId="48" applyFill="1" applyBorder="1" applyAlignment="1" applyProtection="1">
      <alignment vertical="center"/>
    </xf>
    <xf numFmtId="0" fontId="63" fillId="0" borderId="58" xfId="48" applyBorder="1" applyAlignment="1" applyProtection="1">
      <alignment vertical="center"/>
    </xf>
    <xf numFmtId="0" fontId="63" fillId="0" borderId="20" xfId="48" applyBorder="1" applyAlignment="1" applyProtection="1"/>
    <xf numFmtId="0" fontId="63" fillId="0" borderId="0" xfId="48" applyBorder="1" applyAlignment="1" applyProtection="1"/>
    <xf numFmtId="0" fontId="63" fillId="9" borderId="9" xfId="48" applyFill="1" applyBorder="1" applyAlignment="1" applyProtection="1">
      <alignment vertical="center"/>
    </xf>
    <xf numFmtId="0" fontId="64" fillId="9" borderId="0" xfId="48" applyFont="1" applyFill="1" applyBorder="1" applyAlignment="1" applyProtection="1">
      <alignment vertical="center"/>
    </xf>
    <xf numFmtId="0" fontId="63" fillId="0" borderId="0" xfId="48" applyBorder="1" applyAlignment="1" applyProtection="1">
      <alignment vertical="center"/>
    </xf>
    <xf numFmtId="0" fontId="68" fillId="0" borderId="0" xfId="10" applyFont="1"/>
    <xf numFmtId="0" fontId="69" fillId="9" borderId="0" xfId="10" applyFont="1" applyFill="1"/>
    <xf numFmtId="0" fontId="61" fillId="0" borderId="0" xfId="10" applyFont="1"/>
    <xf numFmtId="0" fontId="61" fillId="9" borderId="0" xfId="10" applyFont="1" applyFill="1"/>
    <xf numFmtId="0" fontId="62" fillId="0" borderId="0" xfId="10" applyFont="1"/>
    <xf numFmtId="0" fontId="61" fillId="0" borderId="0" xfId="10" applyFont="1" applyAlignment="1">
      <alignment horizontal="left"/>
    </xf>
    <xf numFmtId="0" fontId="61" fillId="27" borderId="63" xfId="10" applyFont="1" applyFill="1" applyBorder="1" applyAlignment="1">
      <alignment horizontal="left" vertical="center" indent="1"/>
    </xf>
    <xf numFmtId="0" fontId="61" fillId="11" borderId="66" xfId="14" applyFont="1" applyBorder="1" applyAlignment="1">
      <alignment horizontal="center"/>
      <protection locked="0"/>
    </xf>
    <xf numFmtId="0" fontId="71" fillId="0" borderId="0" xfId="10" applyFont="1"/>
    <xf numFmtId="0" fontId="72" fillId="0" borderId="0" xfId="10" applyFont="1"/>
    <xf numFmtId="0" fontId="61" fillId="0" borderId="0" xfId="10" applyFont="1" applyAlignment="1">
      <alignment horizontal="left" vertical="center"/>
    </xf>
    <xf numFmtId="0" fontId="61" fillId="27" borderId="67" xfId="10" applyFont="1" applyFill="1" applyBorder="1" applyAlignment="1">
      <alignment horizontal="left" vertical="center" indent="1"/>
    </xf>
    <xf numFmtId="0" fontId="61" fillId="11" borderId="65" xfId="14" quotePrefix="1" applyFont="1" applyBorder="1" applyAlignment="1">
      <alignment horizontal="center"/>
      <protection locked="0"/>
    </xf>
    <xf numFmtId="0" fontId="61" fillId="0" borderId="0" xfId="10" applyFont="1" applyAlignment="1">
      <alignment vertical="top"/>
    </xf>
    <xf numFmtId="0" fontId="74" fillId="0" borderId="0" xfId="10" applyFont="1"/>
    <xf numFmtId="0" fontId="62" fillId="27" borderId="63" xfId="10" applyFont="1" applyFill="1" applyBorder="1" applyAlignment="1">
      <alignment horizontal="center" vertical="center"/>
    </xf>
    <xf numFmtId="0" fontId="62" fillId="27" borderId="65" xfId="10" applyFont="1" applyFill="1" applyBorder="1" applyAlignment="1">
      <alignment horizontal="center"/>
    </xf>
    <xf numFmtId="169" fontId="61" fillId="0" borderId="60" xfId="49" applyNumberFormat="1" applyFont="1" applyBorder="1" applyProtection="1">
      <protection hidden="1"/>
    </xf>
    <xf numFmtId="0" fontId="62" fillId="27" borderId="70" xfId="10" applyFont="1" applyFill="1" applyBorder="1" applyAlignment="1">
      <alignment horizontal="center" vertical="center"/>
    </xf>
    <xf numFmtId="0" fontId="62" fillId="27" borderId="71" xfId="10" applyFont="1" applyFill="1" applyBorder="1" applyAlignment="1">
      <alignment horizontal="center"/>
    </xf>
    <xf numFmtId="165" fontId="61" fillId="0" borderId="60" xfId="49" applyFont="1" applyBorder="1" applyProtection="1">
      <protection hidden="1"/>
    </xf>
    <xf numFmtId="0" fontId="2" fillId="10" borderId="60" xfId="0" applyFont="1" applyFill="1" applyBorder="1"/>
    <xf numFmtId="0" fontId="0" fillId="10" borderId="60" xfId="0" applyFill="1" applyBorder="1"/>
    <xf numFmtId="10" fontId="0" fillId="10" borderId="60" xfId="0" applyNumberFormat="1" applyFill="1" applyBorder="1"/>
    <xf numFmtId="0" fontId="0" fillId="0" borderId="61" xfId="0" applyFont="1" applyBorder="1"/>
    <xf numFmtId="0" fontId="5" fillId="10" borderId="76" xfId="1" applyFill="1" applyBorder="1" applyAlignment="1" applyProtection="1"/>
    <xf numFmtId="0" fontId="0" fillId="0" borderId="77" xfId="0" applyFont="1" applyFill="1" applyBorder="1"/>
    <xf numFmtId="0" fontId="5" fillId="0" borderId="76" xfId="1" applyBorder="1" applyAlignment="1" applyProtection="1"/>
    <xf numFmtId="172" fontId="37" fillId="12" borderId="8" xfId="0" applyNumberFormat="1" applyFont="1" applyFill="1" applyBorder="1"/>
    <xf numFmtId="0" fontId="61" fillId="7" borderId="66" xfId="14" applyFont="1" applyFill="1" applyBorder="1" applyAlignment="1">
      <alignment horizontal="center"/>
      <protection locked="0"/>
    </xf>
    <xf numFmtId="165" fontId="75" fillId="12" borderId="60" xfId="49" applyFont="1" applyFill="1" applyBorder="1" applyProtection="1">
      <protection hidden="1"/>
    </xf>
    <xf numFmtId="0" fontId="76" fillId="0" borderId="0" xfId="0" applyFont="1" applyAlignment="1">
      <alignment wrapText="1"/>
    </xf>
    <xf numFmtId="0" fontId="77" fillId="0" borderId="0" xfId="0" applyFont="1" applyAlignment="1">
      <alignment wrapText="1"/>
    </xf>
    <xf numFmtId="0" fontId="76" fillId="0" borderId="78" xfId="50" applyFont="1" applyBorder="1" applyAlignment="1">
      <alignment vertical="top" wrapText="1"/>
    </xf>
    <xf numFmtId="0" fontId="78" fillId="0" borderId="78" xfId="0" applyFont="1" applyBorder="1" applyAlignment="1">
      <alignment horizontal="center" vertical="center" wrapText="1"/>
    </xf>
    <xf numFmtId="0" fontId="76" fillId="0" borderId="78" xfId="0" applyFont="1" applyBorder="1" applyAlignment="1">
      <alignment horizontal="center" vertical="center" wrapText="1"/>
    </xf>
    <xf numFmtId="0" fontId="76" fillId="0" borderId="78" xfId="50" applyFont="1" applyBorder="1" applyAlignment="1">
      <alignment vertical="center" wrapText="1"/>
    </xf>
    <xf numFmtId="172" fontId="76" fillId="18" borderId="78" xfId="50" applyNumberFormat="1" applyFont="1" applyFill="1" applyBorder="1" applyAlignment="1">
      <alignment horizontal="left" vertical="center" wrapText="1"/>
    </xf>
    <xf numFmtId="0" fontId="76" fillId="0" borderId="78" xfId="0" applyFont="1" applyBorder="1" applyAlignment="1">
      <alignment wrapText="1"/>
    </xf>
    <xf numFmtId="172" fontId="76" fillId="18" borderId="78" xfId="50" applyNumberFormat="1" applyFont="1" applyFill="1" applyBorder="1" applyAlignment="1">
      <alignment horizontal="right" vertical="center" wrapText="1"/>
    </xf>
    <xf numFmtId="0" fontId="76" fillId="18" borderId="78" xfId="0" applyFont="1" applyFill="1" applyBorder="1" applyAlignment="1">
      <alignment wrapText="1"/>
    </xf>
    <xf numFmtId="0" fontId="76" fillId="9" borderId="78" xfId="0" applyFont="1" applyFill="1" applyBorder="1" applyAlignment="1">
      <alignment wrapText="1"/>
    </xf>
    <xf numFmtId="2" fontId="76" fillId="18" borderId="78" xfId="50" applyNumberFormat="1" applyFont="1" applyFill="1" applyBorder="1" applyAlignment="1">
      <alignment horizontal="left" vertical="center" wrapText="1"/>
    </xf>
    <xf numFmtId="0" fontId="76" fillId="9" borderId="0" xfId="0" applyFont="1" applyFill="1" applyAlignment="1">
      <alignment wrapText="1"/>
    </xf>
    <xf numFmtId="2" fontId="76" fillId="0" borderId="78" xfId="50" applyNumberFormat="1" applyFont="1" applyBorder="1" applyAlignment="1">
      <alignment horizontal="left" vertical="center" wrapText="1"/>
    </xf>
    <xf numFmtId="0" fontId="76" fillId="9" borderId="0" xfId="50" applyFont="1" applyFill="1" applyAlignment="1">
      <alignment vertical="center" wrapText="1"/>
    </xf>
    <xf numFmtId="2" fontId="76" fillId="9" borderId="0" xfId="50" applyNumberFormat="1" applyFont="1" applyFill="1" applyAlignment="1">
      <alignment horizontal="left" vertical="center" wrapText="1"/>
    </xf>
    <xf numFmtId="172" fontId="76" fillId="9" borderId="0" xfId="50" applyNumberFormat="1" applyFont="1" applyFill="1" applyAlignment="1">
      <alignment horizontal="right" vertical="center" wrapText="1"/>
    </xf>
    <xf numFmtId="0" fontId="77" fillId="9" borderId="0" xfId="0" applyFont="1" applyFill="1" applyAlignment="1">
      <alignment wrapText="1"/>
    </xf>
    <xf numFmtId="0" fontId="76" fillId="0" borderId="0" xfId="50" applyFont="1" applyAlignment="1">
      <alignment vertical="center" wrapText="1"/>
    </xf>
    <xf numFmtId="167" fontId="51" fillId="0" borderId="0" xfId="0" applyNumberFormat="1" applyFont="1" applyBorder="1" applyAlignment="1"/>
    <xf numFmtId="0" fontId="79" fillId="0" borderId="0" xfId="0" applyFont="1" applyAlignment="1">
      <alignment horizontal="left" wrapText="1"/>
    </xf>
    <xf numFmtId="0" fontId="76" fillId="0" borderId="0" xfId="0" applyFont="1" applyAlignment="1">
      <alignment vertical="center" wrapText="1"/>
    </xf>
    <xf numFmtId="0" fontId="81" fillId="0" borderId="0" xfId="0" applyFont="1" applyAlignment="1">
      <alignment horizontal="center" vertical="center" wrapText="1"/>
    </xf>
    <xf numFmtId="0" fontId="76" fillId="0" borderId="0" xfId="0" applyFont="1" applyAlignment="1">
      <alignment horizontal="center" vertical="center" wrapText="1"/>
    </xf>
    <xf numFmtId="0" fontId="76" fillId="9" borderId="0" xfId="0" applyFont="1" applyFill="1" applyAlignment="1">
      <alignment vertical="center" wrapText="1"/>
    </xf>
    <xf numFmtId="0" fontId="76" fillId="9" borderId="0" xfId="0" applyFont="1" applyFill="1" applyAlignment="1">
      <alignment horizontal="left" vertical="center" wrapText="1"/>
    </xf>
    <xf numFmtId="0" fontId="76" fillId="9" borderId="0" xfId="0" applyFont="1" applyFill="1" applyAlignment="1">
      <alignment horizontal="center" vertical="center" wrapText="1"/>
    </xf>
    <xf numFmtId="0" fontId="76" fillId="0" borderId="81" xfId="0" applyFont="1" applyBorder="1" applyAlignment="1">
      <alignment horizontal="center" vertical="center" wrapText="1"/>
    </xf>
    <xf numFmtId="0" fontId="76" fillId="0" borderId="80" xfId="0" applyFont="1" applyBorder="1" applyAlignment="1">
      <alignment horizontal="center" vertical="center" wrapText="1"/>
    </xf>
    <xf numFmtId="0" fontId="76" fillId="0" borderId="76" xfId="0" applyFont="1" applyBorder="1" applyAlignment="1">
      <alignment horizontal="center" vertical="center" wrapText="1"/>
    </xf>
    <xf numFmtId="0" fontId="76" fillId="0" borderId="76" xfId="0" applyFont="1" applyBorder="1" applyAlignment="1">
      <alignment horizontal="center" vertical="center" wrapText="1"/>
    </xf>
    <xf numFmtId="0" fontId="83" fillId="9" borderId="0" xfId="0" applyFont="1" applyFill="1" applyAlignment="1">
      <alignment horizontal="left" vertical="center" wrapText="1"/>
    </xf>
    <xf numFmtId="0" fontId="76" fillId="0" borderId="85" xfId="0" applyFont="1" applyBorder="1" applyAlignment="1">
      <alignment vertical="center" wrapText="1"/>
    </xf>
    <xf numFmtId="0" fontId="53" fillId="0" borderId="39" xfId="0" applyFont="1" applyFill="1" applyBorder="1"/>
    <xf numFmtId="0" fontId="53" fillId="0" borderId="39" xfId="0" applyFont="1" applyFill="1" applyBorder="1" applyAlignment="1">
      <alignment vertical="center"/>
    </xf>
    <xf numFmtId="0" fontId="76" fillId="0" borderId="78" xfId="0" applyFont="1" applyBorder="1" applyAlignment="1">
      <alignment horizontal="left" vertical="center" wrapText="1"/>
    </xf>
    <xf numFmtId="0" fontId="0" fillId="0" borderId="81" xfId="0" applyFill="1" applyBorder="1"/>
    <xf numFmtId="0" fontId="76" fillId="0" borderId="78" xfId="0" applyFont="1" applyFill="1" applyBorder="1" applyAlignment="1">
      <alignment horizontal="center" vertical="center" wrapText="1"/>
    </xf>
    <xf numFmtId="0" fontId="76" fillId="0" borderId="79" xfId="0" applyFont="1" applyFill="1" applyBorder="1" applyAlignment="1">
      <alignment horizontal="left" vertical="center" wrapText="1"/>
    </xf>
    <xf numFmtId="167" fontId="76" fillId="0" borderId="78" xfId="0" applyNumberFormat="1" applyFont="1" applyFill="1" applyBorder="1" applyAlignment="1" applyProtection="1">
      <alignment horizontal="center" vertical="center" wrapText="1"/>
      <protection locked="0"/>
    </xf>
    <xf numFmtId="0" fontId="84" fillId="0" borderId="39" xfId="0" applyFont="1" applyFill="1" applyBorder="1"/>
    <xf numFmtId="0" fontId="84" fillId="0" borderId="72" xfId="0" applyFont="1" applyFill="1" applyBorder="1"/>
    <xf numFmtId="0" fontId="84" fillId="0" borderId="73" xfId="0" applyFont="1" applyFill="1" applyBorder="1"/>
    <xf numFmtId="167" fontId="84" fillId="0" borderId="39" xfId="0" applyNumberFormat="1" applyFont="1" applyFill="1" applyBorder="1" applyAlignment="1">
      <alignment horizontal="center" vertical="center"/>
    </xf>
    <xf numFmtId="0" fontId="84" fillId="0" borderId="39" xfId="0" applyFont="1" applyFill="1" applyBorder="1" applyAlignment="1">
      <alignment vertical="center"/>
    </xf>
    <xf numFmtId="0" fontId="84" fillId="0" borderId="0" xfId="0" applyFont="1" applyFill="1"/>
    <xf numFmtId="167" fontId="84" fillId="0" borderId="0" xfId="0" applyNumberFormat="1" applyFont="1" applyFill="1" applyBorder="1" applyAlignment="1"/>
    <xf numFmtId="0" fontId="53" fillId="0" borderId="78" xfId="0" applyFont="1" applyFill="1" applyBorder="1"/>
    <xf numFmtId="167" fontId="53" fillId="0" borderId="39" xfId="15" applyNumberFormat="1" applyFont="1" applyBorder="1" applyAlignment="1">
      <alignment horizontal="center"/>
    </xf>
    <xf numFmtId="0" fontId="76" fillId="0" borderId="87" xfId="0" applyFont="1" applyBorder="1" applyAlignment="1">
      <alignment horizontal="center" vertical="center" wrapText="1"/>
    </xf>
    <xf numFmtId="0" fontId="76" fillId="0" borderId="89" xfId="0" applyFont="1" applyBorder="1" applyAlignment="1">
      <alignment horizontal="center" vertical="center" wrapText="1"/>
    </xf>
    <xf numFmtId="0" fontId="76" fillId="0" borderId="58" xfId="0" applyFont="1" applyBorder="1" applyAlignment="1">
      <alignment horizontal="center" vertical="center" wrapText="1"/>
    </xf>
    <xf numFmtId="183" fontId="76" fillId="12" borderId="76" xfId="15" applyNumberFormat="1" applyFont="1" applyFill="1" applyBorder="1" applyAlignment="1">
      <alignment vertical="center" wrapText="1"/>
    </xf>
    <xf numFmtId="183" fontId="76" fillId="12" borderId="86" xfId="15" applyNumberFormat="1" applyFont="1" applyFill="1" applyBorder="1" applyAlignment="1">
      <alignment vertical="center" wrapText="1"/>
    </xf>
    <xf numFmtId="0" fontId="0" fillId="0" borderId="88" xfId="0" applyBorder="1" applyAlignment="1">
      <alignment horizontal="center"/>
    </xf>
    <xf numFmtId="0" fontId="40" fillId="16" borderId="0" xfId="0" applyFont="1" applyFill="1" applyBorder="1" applyAlignment="1">
      <alignment horizontal="center"/>
    </xf>
    <xf numFmtId="172" fontId="37" fillId="12" borderId="0" xfId="0" applyNumberFormat="1" applyFont="1" applyFill="1" applyBorder="1"/>
    <xf numFmtId="0" fontId="87" fillId="17" borderId="0" xfId="0" applyFont="1" applyFill="1"/>
    <xf numFmtId="0" fontId="87" fillId="0" borderId="39" xfId="0" applyFont="1" applyBorder="1" applyAlignment="1">
      <alignment horizontal="center"/>
    </xf>
    <xf numFmtId="0" fontId="87" fillId="0" borderId="39" xfId="0" applyFont="1" applyBorder="1"/>
    <xf numFmtId="0" fontId="87" fillId="0" borderId="72" xfId="0" applyFont="1" applyBorder="1"/>
    <xf numFmtId="0" fontId="87" fillId="21" borderId="39" xfId="0" applyFont="1" applyFill="1" applyBorder="1"/>
    <xf numFmtId="4" fontId="87" fillId="17" borderId="82" xfId="0" applyNumberFormat="1" applyFont="1" applyFill="1" applyBorder="1" applyAlignment="1">
      <alignment horizontal="center" vertical="center"/>
    </xf>
    <xf numFmtId="4" fontId="87" fillId="10" borderId="39" xfId="15" applyNumberFormat="1" applyFont="1" applyFill="1" applyBorder="1" applyAlignment="1">
      <alignment horizontal="center" vertical="center"/>
    </xf>
    <xf numFmtId="4" fontId="87" fillId="10" borderId="74" xfId="15" applyNumberFormat="1" applyFont="1" applyFill="1" applyBorder="1" applyAlignment="1">
      <alignment horizontal="center" vertical="center"/>
    </xf>
    <xf numFmtId="182" fontId="87" fillId="10" borderId="39" xfId="0" applyNumberFormat="1" applyFont="1" applyFill="1" applyBorder="1" applyAlignment="1">
      <alignment horizontal="center" vertical="center"/>
    </xf>
    <xf numFmtId="0" fontId="87" fillId="0" borderId="0" xfId="0" applyFont="1" applyFill="1" applyBorder="1" applyAlignment="1">
      <alignment vertical="center"/>
    </xf>
    <xf numFmtId="0" fontId="87" fillId="21" borderId="88" xfId="0" applyFont="1" applyFill="1" applyBorder="1" applyAlignment="1">
      <alignment horizontal="center" vertical="center"/>
    </xf>
    <xf numFmtId="0" fontId="76" fillId="0" borderId="88" xfId="0" applyFont="1" applyBorder="1" applyAlignment="1">
      <alignment wrapText="1"/>
    </xf>
    <xf numFmtId="0" fontId="76" fillId="0" borderId="0" xfId="50" applyFont="1" applyAlignment="1">
      <alignment vertical="center"/>
    </xf>
    <xf numFmtId="0" fontId="87" fillId="21" borderId="93" xfId="0" applyFont="1" applyFill="1" applyBorder="1"/>
    <xf numFmtId="4" fontId="87" fillId="0" borderId="75" xfId="0" applyNumberFormat="1" applyFont="1" applyBorder="1" applyAlignment="1">
      <alignment horizontal="center"/>
    </xf>
    <xf numFmtId="4" fontId="87" fillId="21" borderId="88" xfId="0" applyNumberFormat="1" applyFont="1" applyFill="1" applyBorder="1"/>
    <xf numFmtId="2" fontId="76" fillId="7" borderId="78" xfId="0" applyNumberFormat="1" applyFont="1" applyFill="1" applyBorder="1" applyAlignment="1" applyProtection="1">
      <alignment vertical="center" wrapText="1"/>
      <protection locked="0"/>
    </xf>
    <xf numFmtId="2" fontId="82" fillId="9" borderId="88" xfId="23" applyNumberFormat="1" applyFont="1" applyFill="1" applyBorder="1" applyAlignment="1" applyProtection="1">
      <alignment vertical="center" wrapText="1"/>
      <protection locked="0"/>
    </xf>
    <xf numFmtId="0" fontId="76" fillId="0" borderId="78" xfId="0" applyFont="1" applyBorder="1" applyAlignment="1">
      <alignment horizontal="left" vertical="center" wrapText="1"/>
    </xf>
    <xf numFmtId="0" fontId="36" fillId="15" borderId="22" xfId="0" applyFont="1" applyFill="1" applyBorder="1" applyAlignment="1" applyProtection="1">
      <alignment horizontal="center" vertical="center"/>
    </xf>
    <xf numFmtId="0" fontId="36" fillId="15" borderId="32" xfId="0" applyFont="1" applyFill="1" applyBorder="1" applyAlignment="1">
      <alignment horizontal="center" vertical="center"/>
    </xf>
    <xf numFmtId="0" fontId="84" fillId="0" borderId="39" xfId="0" applyFont="1" applyFill="1" applyBorder="1" applyAlignment="1">
      <alignment vertical="center"/>
    </xf>
    <xf numFmtId="0" fontId="76" fillId="0" borderId="78" xfId="0" applyFont="1" applyBorder="1" applyAlignment="1">
      <alignment horizontal="left" vertical="center" wrapText="1"/>
    </xf>
    <xf numFmtId="0" fontId="53" fillId="0" borderId="39" xfId="0" applyFont="1" applyFill="1" applyBorder="1" applyAlignment="1">
      <alignment vertical="center"/>
    </xf>
    <xf numFmtId="0" fontId="76" fillId="0" borderId="78" xfId="0" applyFont="1" applyBorder="1" applyAlignment="1">
      <alignment horizontal="center" vertical="center" wrapText="1"/>
    </xf>
    <xf numFmtId="0" fontId="20" fillId="10" borderId="94" xfId="0" applyFont="1" applyFill="1" applyBorder="1" applyAlignment="1" applyProtection="1">
      <alignment horizontal="left" vertical="center" indent="1"/>
    </xf>
    <xf numFmtId="0" fontId="36" fillId="10" borderId="94" xfId="0" applyNumberFormat="1" applyFont="1" applyFill="1" applyBorder="1" applyAlignment="1" applyProtection="1">
      <alignment horizontal="left" vertical="center" indent="1"/>
    </xf>
    <xf numFmtId="0" fontId="20" fillId="10" borderId="58" xfId="0" applyFont="1" applyFill="1" applyBorder="1" applyAlignment="1" applyProtection="1">
      <alignment horizontal="left" vertical="center" indent="1"/>
    </xf>
    <xf numFmtId="0" fontId="20" fillId="10" borderId="33" xfId="0" applyFont="1" applyFill="1" applyBorder="1" applyAlignment="1" applyProtection="1">
      <alignment horizontal="center" vertical="center"/>
    </xf>
    <xf numFmtId="0" fontId="20" fillId="10" borderId="77" xfId="0" applyFont="1" applyFill="1" applyBorder="1" applyAlignment="1" applyProtection="1">
      <alignment horizontal="center" vertical="center"/>
    </xf>
    <xf numFmtId="0" fontId="36" fillId="10" borderId="98" xfId="0" applyNumberFormat="1" applyFont="1" applyFill="1" applyBorder="1" applyAlignment="1" applyProtection="1">
      <alignment horizontal="center"/>
    </xf>
    <xf numFmtId="0" fontId="20" fillId="10" borderId="95" xfId="0" applyNumberFormat="1" applyFont="1" applyFill="1" applyBorder="1" applyAlignment="1" applyProtection="1">
      <alignment horizontal="center"/>
    </xf>
    <xf numFmtId="0" fontId="20" fillId="10" borderId="76" xfId="0" applyFont="1" applyFill="1" applyBorder="1" applyAlignment="1" applyProtection="1">
      <alignment horizontal="center" vertical="center"/>
    </xf>
    <xf numFmtId="0" fontId="20" fillId="10" borderId="77" xfId="0" applyFont="1" applyFill="1" applyBorder="1" applyAlignment="1" applyProtection="1">
      <alignment horizontal="left" vertical="center" indent="1"/>
    </xf>
    <xf numFmtId="0" fontId="0" fillId="0" borderId="0" xfId="0" applyAlignment="1">
      <alignment wrapText="1"/>
    </xf>
    <xf numFmtId="0" fontId="2" fillId="24" borderId="41" xfId="0" applyFont="1" applyFill="1" applyBorder="1" applyAlignment="1">
      <alignment wrapText="1"/>
    </xf>
    <xf numFmtId="0" fontId="2" fillId="7" borderId="0" xfId="0" applyFont="1" applyFill="1" applyAlignment="1">
      <alignment horizontal="left" wrapText="1"/>
    </xf>
    <xf numFmtId="0" fontId="4" fillId="0" borderId="0" xfId="0" applyFont="1" applyAlignment="1">
      <alignment wrapText="1"/>
    </xf>
    <xf numFmtId="0" fontId="2" fillId="0" borderId="0" xfId="0" applyFont="1" applyAlignment="1">
      <alignment vertical="center"/>
    </xf>
    <xf numFmtId="0" fontId="0" fillId="0" borderId="0" xfId="0" applyAlignment="1">
      <alignment vertical="center"/>
    </xf>
    <xf numFmtId="0" fontId="36" fillId="15" borderId="22" xfId="0" applyFont="1" applyFill="1" applyBorder="1" applyAlignment="1" applyProtection="1">
      <alignment horizontal="center" vertical="center"/>
    </xf>
    <xf numFmtId="0" fontId="36" fillId="15" borderId="32" xfId="0" applyFont="1" applyFill="1" applyBorder="1" applyAlignment="1">
      <alignment horizontal="center" vertical="center"/>
    </xf>
    <xf numFmtId="0" fontId="2" fillId="0" borderId="24" xfId="0" applyFont="1" applyBorder="1" applyAlignment="1">
      <alignment horizontal="center"/>
    </xf>
    <xf numFmtId="0" fontId="2" fillId="0" borderId="25" xfId="0" applyFont="1" applyBorder="1" applyAlignment="1">
      <alignment horizontal="center"/>
    </xf>
    <xf numFmtId="174" fontId="38" fillId="15" borderId="29" xfId="15" applyNumberFormat="1" applyFont="1" applyFill="1" applyBorder="1"/>
    <xf numFmtId="0" fontId="0" fillId="0" borderId="0" xfId="0" applyBorder="1"/>
    <xf numFmtId="0" fontId="0" fillId="0" borderId="76" xfId="0" applyBorder="1" applyAlignment="1">
      <alignment horizontal="center"/>
    </xf>
    <xf numFmtId="0" fontId="0" fillId="0" borderId="110" xfId="0" applyBorder="1" applyAlignment="1">
      <alignment horizontal="center"/>
    </xf>
    <xf numFmtId="0" fontId="0" fillId="0" borderId="77" xfId="0" applyBorder="1" applyAlignment="1">
      <alignment horizontal="center"/>
    </xf>
    <xf numFmtId="0" fontId="0" fillId="0" borderId="76" xfId="0" applyFill="1" applyBorder="1" applyAlignment="1">
      <alignment horizontal="center"/>
    </xf>
    <xf numFmtId="0" fontId="2" fillId="15" borderId="100" xfId="0" applyFont="1" applyFill="1" applyBorder="1" applyAlignment="1">
      <alignment horizontal="center"/>
    </xf>
    <xf numFmtId="0" fontId="2" fillId="15" borderId="105" xfId="0" applyFont="1" applyFill="1" applyBorder="1" applyAlignment="1">
      <alignment horizontal="center"/>
    </xf>
    <xf numFmtId="174" fontId="2" fillId="15" borderId="100" xfId="0" applyNumberFormat="1" applyFont="1" applyFill="1" applyBorder="1" applyAlignment="1">
      <alignment horizontal="center"/>
    </xf>
    <xf numFmtId="174" fontId="2" fillId="15" borderId="105" xfId="0" applyNumberFormat="1" applyFont="1" applyFill="1" applyBorder="1" applyAlignment="1">
      <alignment horizontal="center"/>
    </xf>
    <xf numFmtId="174" fontId="2" fillId="15" borderId="108" xfId="0" applyNumberFormat="1" applyFont="1" applyFill="1" applyBorder="1" applyAlignment="1">
      <alignment horizontal="center"/>
    </xf>
    <xf numFmtId="174" fontId="2" fillId="15" borderId="109" xfId="0" applyNumberFormat="1" applyFont="1" applyFill="1" applyBorder="1" applyAlignment="1">
      <alignment horizontal="center"/>
    </xf>
    <xf numFmtId="172" fontId="37" fillId="12" borderId="0" xfId="0" applyNumberFormat="1" applyFont="1" applyFill="1" applyBorder="1" applyAlignment="1">
      <alignment horizontal="center"/>
    </xf>
    <xf numFmtId="170" fontId="20" fillId="12" borderId="71" xfId="14" applyNumberFormat="1" applyFont="1" applyFill="1" applyBorder="1" applyAlignment="1">
      <alignment horizontal="center"/>
      <protection locked="0"/>
    </xf>
    <xf numFmtId="39" fontId="20" fillId="7" borderId="71" xfId="51" applyNumberFormat="1" applyFont="1" applyFill="1" applyBorder="1" applyAlignment="1" applyProtection="1">
      <alignment horizontal="center"/>
      <protection locked="0"/>
    </xf>
    <xf numFmtId="39" fontId="20" fillId="7" borderId="65" xfId="51" applyNumberFormat="1" applyFont="1" applyFill="1" applyBorder="1" applyAlignment="1" applyProtection="1">
      <alignment horizontal="center"/>
      <protection locked="0"/>
    </xf>
    <xf numFmtId="39" fontId="20" fillId="7" borderId="96" xfId="51" applyNumberFormat="1" applyFont="1" applyFill="1" applyBorder="1" applyAlignment="1" applyProtection="1">
      <alignment horizontal="center"/>
      <protection locked="0"/>
    </xf>
    <xf numFmtId="39" fontId="20" fillId="7" borderId="99" xfId="51" applyNumberFormat="1" applyFont="1" applyFill="1" applyBorder="1" applyAlignment="1" applyProtection="1">
      <alignment horizontal="center"/>
      <protection locked="0"/>
    </xf>
    <xf numFmtId="10" fontId="20" fillId="0" borderId="8" xfId="0" applyNumberFormat="1" applyFont="1" applyFill="1" applyBorder="1" applyAlignment="1" applyProtection="1">
      <alignment horizontal="center"/>
    </xf>
    <xf numFmtId="0" fontId="20" fillId="10" borderId="111" xfId="0" applyNumberFormat="1" applyFont="1" applyFill="1" applyBorder="1" applyAlignment="1" applyProtection="1">
      <alignment horizontal="center"/>
    </xf>
    <xf numFmtId="0" fontId="0" fillId="10" borderId="104" xfId="0" applyFill="1" applyBorder="1"/>
    <xf numFmtId="2" fontId="20" fillId="7" borderId="71" xfId="14" applyNumberFormat="1" applyFont="1" applyFill="1" applyBorder="1" applyAlignment="1">
      <alignment horizontal="center"/>
      <protection locked="0"/>
    </xf>
    <xf numFmtId="2" fontId="20" fillId="7" borderId="65" xfId="14" applyNumberFormat="1" applyFont="1" applyFill="1" applyBorder="1" applyAlignment="1">
      <alignment horizontal="center"/>
      <protection locked="0"/>
    </xf>
    <xf numFmtId="2" fontId="20" fillId="7" borderId="96" xfId="14" applyNumberFormat="1" applyFont="1" applyFill="1" applyBorder="1" applyAlignment="1">
      <alignment horizontal="center"/>
      <protection locked="0"/>
    </xf>
    <xf numFmtId="2" fontId="20" fillId="7" borderId="99" xfId="14" applyNumberFormat="1" applyFont="1" applyFill="1" applyBorder="1" applyAlignment="1">
      <alignment horizontal="center"/>
      <protection locked="0"/>
    </xf>
    <xf numFmtId="0" fontId="0" fillId="0" borderId="94" xfId="0" applyBorder="1" applyAlignment="1">
      <alignment vertical="center" wrapText="1"/>
    </xf>
    <xf numFmtId="0" fontId="76" fillId="0" borderId="78" xfId="0" applyFont="1" applyBorder="1" applyAlignment="1">
      <alignment horizontal="center" vertical="center" wrapText="1"/>
    </xf>
    <xf numFmtId="0" fontId="87" fillId="21" borderId="39" xfId="0" applyFont="1" applyFill="1" applyBorder="1" applyAlignment="1">
      <alignment vertical="center"/>
    </xf>
    <xf numFmtId="0" fontId="87" fillId="21" borderId="75" xfId="0" applyFont="1" applyFill="1" applyBorder="1" applyAlignment="1">
      <alignment horizontal="left" vertical="center"/>
    </xf>
    <xf numFmtId="0" fontId="87" fillId="21" borderId="97" xfId="0" applyFont="1" applyFill="1" applyBorder="1" applyAlignment="1">
      <alignment horizontal="left" vertical="center"/>
    </xf>
    <xf numFmtId="0" fontId="87" fillId="21" borderId="74" xfId="0" applyFont="1" applyFill="1" applyBorder="1" applyAlignment="1">
      <alignment horizontal="left" vertical="center"/>
    </xf>
    <xf numFmtId="0" fontId="87" fillId="21" borderId="87" xfId="0" applyFont="1" applyFill="1" applyBorder="1" applyAlignment="1">
      <alignment horizontal="center" vertical="center"/>
    </xf>
    <xf numFmtId="0" fontId="87" fillId="21" borderId="77" xfId="0" applyFont="1" applyFill="1" applyBorder="1" applyAlignment="1">
      <alignment horizontal="center" vertical="center"/>
    </xf>
    <xf numFmtId="0" fontId="87" fillId="21" borderId="76" xfId="0" applyFont="1" applyFill="1" applyBorder="1" applyAlignment="1">
      <alignment horizontal="center" vertical="center"/>
    </xf>
    <xf numFmtId="0" fontId="87" fillId="21" borderId="90" xfId="0" applyFont="1" applyFill="1" applyBorder="1" applyAlignment="1">
      <alignment horizontal="center" vertical="center"/>
    </xf>
    <xf numFmtId="0" fontId="87" fillId="21" borderId="91" xfId="0" applyFont="1" applyFill="1" applyBorder="1" applyAlignment="1">
      <alignment horizontal="center" vertical="center"/>
    </xf>
    <xf numFmtId="0" fontId="87" fillId="21" borderId="92" xfId="0" applyFont="1" applyFill="1" applyBorder="1" applyAlignment="1">
      <alignment horizontal="center" vertical="center"/>
    </xf>
    <xf numFmtId="9" fontId="37" fillId="12" borderId="102" xfId="23" applyFont="1" applyFill="1" applyBorder="1"/>
    <xf numFmtId="174" fontId="37" fillId="12" borderId="27" xfId="15" applyNumberFormat="1" applyFont="1" applyFill="1" applyBorder="1" applyAlignment="1">
      <alignment horizontal="center"/>
    </xf>
    <xf numFmtId="174" fontId="2" fillId="15" borderId="30" xfId="15" applyNumberFormat="1" applyFont="1" applyFill="1" applyBorder="1"/>
    <xf numFmtId="0" fontId="0" fillId="0" borderId="0" xfId="0" applyAlignment="1">
      <alignment vertical="top"/>
    </xf>
    <xf numFmtId="0" fontId="2" fillId="0" borderId="0" xfId="0" applyFont="1" applyAlignment="1">
      <alignment vertical="top"/>
    </xf>
    <xf numFmtId="184" fontId="37" fillId="12" borderId="22" xfId="15" applyNumberFormat="1" applyFont="1" applyFill="1" applyBorder="1"/>
    <xf numFmtId="0" fontId="5" fillId="2" borderId="104" xfId="1" applyFill="1" applyBorder="1" applyAlignment="1" applyProtection="1">
      <alignment horizontal="center" vertical="center"/>
    </xf>
    <xf numFmtId="2" fontId="20" fillId="7" borderId="19" xfId="14" applyNumberFormat="1" applyFont="1" applyFill="1" applyBorder="1" applyAlignment="1">
      <alignment horizontal="center"/>
      <protection locked="0"/>
    </xf>
    <xf numFmtId="170" fontId="93" fillId="12" borderId="19" xfId="14" applyNumberFormat="1" applyFont="1" applyFill="1" applyBorder="1" applyAlignment="1">
      <alignment horizontal="center"/>
      <protection locked="0"/>
    </xf>
    <xf numFmtId="10" fontId="93" fillId="12" borderId="8" xfId="0" applyNumberFormat="1" applyFont="1" applyFill="1" applyBorder="1" applyAlignment="1" applyProtection="1">
      <alignment horizontal="center"/>
    </xf>
    <xf numFmtId="0" fontId="21" fillId="10" borderId="114" xfId="10" applyFont="1" applyFill="1" applyBorder="1" applyProtection="1"/>
    <xf numFmtId="0" fontId="21" fillId="0" borderId="0" xfId="10" applyFont="1" applyFill="1" applyBorder="1" applyProtection="1"/>
    <xf numFmtId="0" fontId="21" fillId="10" borderId="115" xfId="10" applyFont="1" applyFill="1" applyBorder="1" applyProtection="1"/>
    <xf numFmtId="0" fontId="21" fillId="10" borderId="116" xfId="10" applyFont="1" applyFill="1" applyBorder="1" applyProtection="1"/>
    <xf numFmtId="0" fontId="76" fillId="0" borderId="0" xfId="0" applyFont="1" applyFill="1" applyBorder="1" applyAlignment="1">
      <alignment horizontal="left" vertical="center" wrapText="1"/>
    </xf>
    <xf numFmtId="0" fontId="36" fillId="0" borderId="25" xfId="0" applyFont="1" applyBorder="1" applyAlignment="1">
      <alignment horizontal="center" wrapText="1"/>
    </xf>
    <xf numFmtId="0" fontId="3" fillId="15" borderId="0" xfId="0" applyFont="1" applyFill="1"/>
    <xf numFmtId="0" fontId="0" fillId="0" borderId="0" xfId="0" applyAlignment="1">
      <alignment horizontal="left" wrapText="1"/>
    </xf>
    <xf numFmtId="0" fontId="3" fillId="0" borderId="0" xfId="0" applyFont="1" applyAlignment="1">
      <alignment horizontal="center"/>
    </xf>
    <xf numFmtId="0" fontId="5" fillId="0" borderId="22" xfId="1" applyBorder="1" applyAlignment="1" applyProtection="1">
      <alignment horizontal="center"/>
    </xf>
    <xf numFmtId="0" fontId="0" fillId="0" borderId="22" xfId="0" applyBorder="1" applyAlignment="1">
      <alignment horizontal="center"/>
    </xf>
    <xf numFmtId="0" fontId="0" fillId="0" borderId="31" xfId="0" applyBorder="1" applyAlignment="1">
      <alignment horizontal="center"/>
    </xf>
    <xf numFmtId="0" fontId="0" fillId="0" borderId="40" xfId="0" applyBorder="1" applyAlignment="1">
      <alignment horizontal="center"/>
    </xf>
    <xf numFmtId="0" fontId="0" fillId="0" borderId="41" xfId="0" applyBorder="1" applyAlignment="1">
      <alignment horizontal="center"/>
    </xf>
    <xf numFmtId="0" fontId="2" fillId="23" borderId="22" xfId="0" applyFont="1" applyFill="1" applyBorder="1" applyAlignment="1">
      <alignment horizontal="center"/>
    </xf>
    <xf numFmtId="0" fontId="2" fillId="24" borderId="22" xfId="0" applyFont="1" applyFill="1" applyBorder="1" applyAlignment="1">
      <alignment horizontal="center"/>
    </xf>
    <xf numFmtId="0" fontId="3" fillId="7" borderId="0" xfId="0" applyFont="1" applyFill="1" applyAlignment="1">
      <alignment horizontal="left"/>
    </xf>
    <xf numFmtId="0" fontId="3" fillId="7" borderId="51" xfId="0" applyFont="1" applyFill="1" applyBorder="1" applyAlignment="1">
      <alignment horizontal="left"/>
    </xf>
    <xf numFmtId="0" fontId="0" fillId="0" borderId="22" xfId="0" applyBorder="1" applyAlignment="1">
      <alignment horizontal="center" vertical="center"/>
    </xf>
    <xf numFmtId="0" fontId="0" fillId="0" borderId="31" xfId="0" applyBorder="1" applyAlignment="1">
      <alignment horizontal="center" vertical="center"/>
    </xf>
    <xf numFmtId="0" fontId="0" fillId="0" borderId="41" xfId="0" applyBorder="1" applyAlignment="1">
      <alignment horizontal="center" vertical="center"/>
    </xf>
    <xf numFmtId="0" fontId="2" fillId="0" borderId="23" xfId="0" applyFont="1" applyBorder="1" applyAlignment="1">
      <alignment horizontal="center"/>
    </xf>
    <xf numFmtId="0" fontId="2" fillId="0" borderId="24" xfId="0" applyFont="1" applyBorder="1" applyAlignment="1">
      <alignment horizontal="center"/>
    </xf>
    <xf numFmtId="0" fontId="2" fillId="0" borderId="25" xfId="0" applyFont="1" applyBorder="1" applyAlignment="1">
      <alignment horizontal="center"/>
    </xf>
    <xf numFmtId="0" fontId="2" fillId="15" borderId="106" xfId="0" applyFont="1" applyFill="1" applyBorder="1" applyAlignment="1">
      <alignment horizontal="center"/>
    </xf>
    <xf numFmtId="0" fontId="2" fillId="15" borderId="107" xfId="0" applyFont="1" applyFill="1" applyBorder="1" applyAlignment="1">
      <alignment horizontal="center"/>
    </xf>
    <xf numFmtId="0" fontId="20" fillId="0" borderId="46" xfId="0" applyFont="1" applyBorder="1" applyAlignment="1">
      <alignment horizontal="center"/>
    </xf>
    <xf numFmtId="0" fontId="20" fillId="0" borderId="47" xfId="0" applyFont="1" applyBorder="1" applyAlignment="1">
      <alignment horizontal="center"/>
    </xf>
    <xf numFmtId="0" fontId="20" fillId="0" borderId="48" xfId="0" applyFont="1" applyBorder="1" applyAlignment="1">
      <alignment horizontal="center"/>
    </xf>
    <xf numFmtId="0" fontId="20" fillId="0" borderId="40" xfId="0" applyFont="1" applyBorder="1" applyAlignment="1">
      <alignment horizontal="center"/>
    </xf>
    <xf numFmtId="0" fontId="20" fillId="0" borderId="49" xfId="0" applyFont="1" applyBorder="1" applyAlignment="1">
      <alignment horizontal="center"/>
    </xf>
    <xf numFmtId="166" fontId="20" fillId="0" borderId="54" xfId="0" applyNumberFormat="1" applyFont="1" applyBorder="1" applyAlignment="1">
      <alignment horizontal="center" vertical="center"/>
    </xf>
    <xf numFmtId="0" fontId="20" fillId="0" borderId="56" xfId="0" applyFont="1" applyBorder="1" applyAlignment="1">
      <alignment horizontal="center" vertical="center"/>
    </xf>
    <xf numFmtId="0" fontId="36" fillId="0" borderId="43" xfId="0" applyFont="1" applyBorder="1" applyAlignment="1">
      <alignment horizontal="center"/>
    </xf>
    <xf numFmtId="0" fontId="36" fillId="0" borderId="44" xfId="0" applyFont="1" applyBorder="1" applyAlignment="1">
      <alignment horizontal="center"/>
    </xf>
    <xf numFmtId="0" fontId="36" fillId="0" borderId="45" xfId="0" applyFont="1" applyBorder="1" applyAlignment="1">
      <alignment horizontal="center"/>
    </xf>
    <xf numFmtId="0" fontId="0" fillId="0" borderId="0" xfId="0" applyAlignment="1">
      <alignment horizontal="left" vertical="center" wrapText="1"/>
    </xf>
    <xf numFmtId="0" fontId="61" fillId="0" borderId="22" xfId="10" applyFont="1" applyBorder="1" applyAlignment="1">
      <alignment horizontal="center" vertical="center" wrapText="1"/>
    </xf>
    <xf numFmtId="0" fontId="61" fillId="0" borderId="32" xfId="10" applyFont="1" applyBorder="1" applyAlignment="1">
      <alignment horizontal="center" vertical="center" wrapText="1"/>
    </xf>
    <xf numFmtId="0" fontId="61" fillId="0" borderId="57" xfId="10" applyFont="1" applyBorder="1" applyAlignment="1">
      <alignment horizontal="center" vertical="center" wrapText="1"/>
    </xf>
    <xf numFmtId="0" fontId="63" fillId="9" borderId="112" xfId="48" applyFill="1" applyBorder="1" applyAlignment="1" applyProtection="1">
      <alignment horizontal="left" vertical="center"/>
    </xf>
    <xf numFmtId="0" fontId="63" fillId="9" borderId="10" xfId="48" applyFill="1" applyBorder="1" applyAlignment="1" applyProtection="1">
      <alignment horizontal="left" vertical="center"/>
    </xf>
    <xf numFmtId="0" fontId="63" fillId="9" borderId="113" xfId="48" applyFill="1" applyBorder="1" applyAlignment="1" applyProtection="1">
      <alignment horizontal="left" vertical="center"/>
    </xf>
    <xf numFmtId="0" fontId="63" fillId="0" borderId="20" xfId="48" applyBorder="1" applyAlignment="1" applyProtection="1">
      <alignment horizontal="left"/>
    </xf>
    <xf numFmtId="0" fontId="63" fillId="0" borderId="0" xfId="48" applyBorder="1" applyAlignment="1" applyProtection="1">
      <alignment horizontal="left"/>
    </xf>
    <xf numFmtId="0" fontId="63" fillId="0" borderId="51" xfId="48" applyBorder="1" applyAlignment="1" applyProtection="1">
      <alignment horizontal="left"/>
    </xf>
    <xf numFmtId="0" fontId="63" fillId="0" borderId="58" xfId="48" applyBorder="1" applyAlignment="1" applyProtection="1">
      <alignment horizontal="left" vertical="center"/>
    </xf>
    <xf numFmtId="0" fontId="63" fillId="0" borderId="59" xfId="48" applyBorder="1" applyAlignment="1" applyProtection="1">
      <alignment horizontal="left" vertical="center"/>
    </xf>
    <xf numFmtId="0" fontId="63" fillId="0" borderId="52" xfId="48" applyBorder="1" applyAlignment="1" applyProtection="1">
      <alignment horizontal="left" vertical="center"/>
    </xf>
    <xf numFmtId="0" fontId="63" fillId="9" borderId="20" xfId="48" applyFill="1" applyBorder="1" applyAlignment="1" applyProtection="1">
      <alignment horizontal="left" vertical="center"/>
    </xf>
    <xf numFmtId="0" fontId="63" fillId="9" borderId="0" xfId="48" applyFill="1" applyBorder="1" applyAlignment="1" applyProtection="1">
      <alignment horizontal="left" vertical="center"/>
    </xf>
    <xf numFmtId="0" fontId="63" fillId="9" borderId="51" xfId="48" applyFill="1" applyBorder="1" applyAlignment="1" applyProtection="1">
      <alignment horizontal="left" vertical="center"/>
    </xf>
    <xf numFmtId="0" fontId="63" fillId="9" borderId="58" xfId="48" applyFill="1" applyBorder="1" applyAlignment="1" applyProtection="1">
      <alignment horizontal="left" vertical="center"/>
    </xf>
    <xf numFmtId="0" fontId="63" fillId="9" borderId="59" xfId="48" applyFill="1" applyBorder="1" applyAlignment="1" applyProtection="1">
      <alignment horizontal="left" vertical="center"/>
    </xf>
    <xf numFmtId="0" fontId="63" fillId="9" borderId="52" xfId="48" applyFill="1" applyBorder="1" applyAlignment="1" applyProtection="1">
      <alignment horizontal="left" vertical="center"/>
    </xf>
    <xf numFmtId="0" fontId="62" fillId="27" borderId="22" xfId="10" applyFont="1" applyFill="1" applyBorder="1" applyAlignment="1">
      <alignment horizontal="center" vertical="center"/>
    </xf>
    <xf numFmtId="0" fontId="62" fillId="27" borderId="22" xfId="10" applyFont="1" applyFill="1" applyBorder="1" applyAlignment="1">
      <alignment horizontal="center" vertical="center" wrapText="1"/>
    </xf>
    <xf numFmtId="0" fontId="32" fillId="10" borderId="8" xfId="10" applyFont="1" applyFill="1" applyBorder="1" applyAlignment="1" applyProtection="1">
      <alignment horizontal="center" vertical="center"/>
    </xf>
    <xf numFmtId="0" fontId="32" fillId="10" borderId="8" xfId="10" applyFont="1" applyFill="1" applyBorder="1" applyAlignment="1" applyProtection="1">
      <alignment horizontal="center" vertical="center" wrapText="1"/>
    </xf>
    <xf numFmtId="0" fontId="3" fillId="5" borderId="0" xfId="0" applyFont="1" applyFill="1" applyAlignment="1">
      <alignment horizontal="left"/>
    </xf>
    <xf numFmtId="0" fontId="61" fillId="27" borderId="64" xfId="10" applyFont="1" applyFill="1" applyBorder="1" applyAlignment="1">
      <alignment horizontal="center"/>
    </xf>
    <xf numFmtId="0" fontId="61" fillId="27" borderId="65" xfId="10" applyFont="1" applyFill="1" applyBorder="1" applyAlignment="1">
      <alignment horizontal="center"/>
    </xf>
    <xf numFmtId="0" fontId="61" fillId="27" borderId="68" xfId="10" applyFont="1" applyFill="1" applyBorder="1" applyAlignment="1">
      <alignment horizontal="center"/>
    </xf>
    <xf numFmtId="0" fontId="61" fillId="27" borderId="69" xfId="10" applyFont="1" applyFill="1" applyBorder="1" applyAlignment="1">
      <alignment horizontal="center"/>
    </xf>
    <xf numFmtId="0" fontId="3" fillId="6" borderId="0" xfId="0" applyFont="1" applyFill="1" applyAlignment="1">
      <alignment horizontal="left"/>
    </xf>
    <xf numFmtId="0" fontId="54" fillId="22" borderId="22" xfId="0" applyFont="1" applyFill="1" applyBorder="1" applyAlignment="1">
      <alignment horizontal="center" vertical="center"/>
    </xf>
    <xf numFmtId="0" fontId="54" fillId="22" borderId="31" xfId="0" applyFont="1" applyFill="1" applyBorder="1" applyAlignment="1">
      <alignment horizontal="center" vertical="center"/>
    </xf>
    <xf numFmtId="0" fontId="54" fillId="22" borderId="40" xfId="0" applyFont="1" applyFill="1" applyBorder="1" applyAlignment="1">
      <alignment horizontal="center" vertical="center"/>
    </xf>
    <xf numFmtId="0" fontId="54" fillId="22" borderId="41" xfId="0" applyFont="1" applyFill="1" applyBorder="1" applyAlignment="1">
      <alignment horizontal="center" vertical="center"/>
    </xf>
    <xf numFmtId="0" fontId="36" fillId="15" borderId="32" xfId="0" applyFont="1" applyFill="1" applyBorder="1" applyAlignment="1">
      <alignment horizontal="center" vertical="center"/>
    </xf>
    <xf numFmtId="0" fontId="36" fillId="15" borderId="33" xfId="0" applyFont="1" applyFill="1" applyBorder="1" applyAlignment="1">
      <alignment horizontal="center" vertical="center"/>
    </xf>
    <xf numFmtId="0" fontId="2" fillId="7" borderId="110" xfId="0" applyFont="1" applyFill="1" applyBorder="1" applyAlignment="1">
      <alignment horizontal="center" vertical="center"/>
    </xf>
    <xf numFmtId="0" fontId="2" fillId="7" borderId="33" xfId="0" applyFont="1" applyFill="1" applyBorder="1" applyAlignment="1">
      <alignment horizontal="center" vertical="center"/>
    </xf>
    <xf numFmtId="0" fontId="36" fillId="15" borderId="102" xfId="0" applyFont="1" applyFill="1" applyBorder="1" applyAlignment="1">
      <alignment horizontal="center" vertical="center"/>
    </xf>
    <xf numFmtId="0" fontId="36" fillId="15" borderId="101" xfId="0" applyFont="1" applyFill="1" applyBorder="1" applyAlignment="1">
      <alignment horizontal="center" vertical="center"/>
    </xf>
    <xf numFmtId="0" fontId="36" fillId="15" borderId="103" xfId="0" applyFont="1" applyFill="1" applyBorder="1" applyAlignment="1">
      <alignment horizontal="center" vertical="center"/>
    </xf>
    <xf numFmtId="2" fontId="20" fillId="9" borderId="34" xfId="0" applyNumberFormat="1" applyFont="1" applyFill="1" applyBorder="1" applyAlignment="1">
      <alignment horizontal="center" vertical="center"/>
    </xf>
    <xf numFmtId="2" fontId="20" fillId="9" borderId="33" xfId="0" applyNumberFormat="1" applyFont="1" applyFill="1" applyBorder="1" applyAlignment="1">
      <alignment horizontal="center" vertical="center"/>
    </xf>
    <xf numFmtId="0" fontId="36" fillId="15" borderId="22" xfId="0" applyFont="1" applyFill="1" applyBorder="1" applyAlignment="1" applyProtection="1">
      <alignment horizontal="center" vertical="center"/>
    </xf>
    <xf numFmtId="0" fontId="20" fillId="9" borderId="36" xfId="0" applyFont="1" applyFill="1" applyBorder="1" applyAlignment="1" applyProtection="1">
      <alignment horizontal="left" vertical="center" wrapText="1"/>
    </xf>
    <xf numFmtId="0" fontId="20" fillId="10" borderId="0" xfId="0" applyFont="1" applyFill="1" applyBorder="1" applyAlignment="1" applyProtection="1">
      <alignment horizontal="left" vertical="center" wrapText="1"/>
    </xf>
    <xf numFmtId="0" fontId="20" fillId="9" borderId="37" xfId="0" applyFont="1" applyFill="1" applyBorder="1" applyAlignment="1" applyProtection="1">
      <alignment horizontal="left" vertical="center" wrapText="1"/>
    </xf>
    <xf numFmtId="0" fontId="36" fillId="15" borderId="22" xfId="0" applyFont="1" applyFill="1" applyBorder="1" applyAlignment="1" applyProtection="1">
      <alignment horizontal="left" vertical="center" indent="1"/>
    </xf>
    <xf numFmtId="0" fontId="36" fillId="15" borderId="22" xfId="0" applyFont="1" applyFill="1" applyBorder="1" applyAlignment="1">
      <alignment horizontal="center" vertical="center"/>
    </xf>
    <xf numFmtId="0" fontId="2" fillId="7" borderId="32" xfId="0" applyFont="1" applyFill="1" applyBorder="1" applyAlignment="1">
      <alignment horizontal="center" vertical="center"/>
    </xf>
    <xf numFmtId="2" fontId="20" fillId="9" borderId="32" xfId="0" applyNumberFormat="1" applyFont="1" applyFill="1" applyBorder="1" applyAlignment="1">
      <alignment horizontal="center" vertical="center"/>
    </xf>
    <xf numFmtId="0" fontId="76" fillId="9" borderId="88" xfId="0" applyFont="1" applyFill="1" applyBorder="1" applyAlignment="1">
      <alignment horizontal="center" vertical="center" wrapText="1"/>
    </xf>
    <xf numFmtId="0" fontId="78" fillId="0" borderId="83" xfId="0" applyFont="1" applyBorder="1" applyAlignment="1">
      <alignment horizontal="center" vertical="center" wrapText="1"/>
    </xf>
    <xf numFmtId="0" fontId="78" fillId="0" borderId="84" xfId="0" applyFont="1" applyBorder="1" applyAlignment="1">
      <alignment horizontal="center" vertical="center" wrapText="1"/>
    </xf>
    <xf numFmtId="0" fontId="84" fillId="0" borderId="39" xfId="0" applyFont="1" applyFill="1" applyBorder="1" applyAlignment="1">
      <alignment vertical="center"/>
    </xf>
    <xf numFmtId="0" fontId="80" fillId="0" borderId="0" xfId="0" applyFont="1" applyAlignment="1">
      <alignment horizontal="left" vertical="center" wrapText="1"/>
    </xf>
    <xf numFmtId="0" fontId="76" fillId="0" borderId="78" xfId="0" applyFont="1" applyBorder="1" applyAlignment="1">
      <alignment horizontal="left" vertical="center" wrapText="1"/>
    </xf>
    <xf numFmtId="0" fontId="76" fillId="0" borderId="78" xfId="0" applyFont="1" applyFill="1" applyBorder="1" applyAlignment="1">
      <alignment horizontal="left" vertical="center" wrapText="1"/>
    </xf>
    <xf numFmtId="0" fontId="78" fillId="0" borderId="0" xfId="0" applyFont="1" applyAlignment="1">
      <alignment horizontal="left" vertical="center" wrapText="1"/>
    </xf>
    <xf numFmtId="0" fontId="53" fillId="0" borderId="39" xfId="0" applyFont="1" applyFill="1" applyBorder="1" applyAlignment="1">
      <alignment vertical="center"/>
    </xf>
    <xf numFmtId="0" fontId="76" fillId="0" borderId="78" xfId="0" applyFont="1" applyBorder="1" applyAlignment="1">
      <alignment horizontal="center" vertical="center" wrapText="1"/>
    </xf>
    <xf numFmtId="0" fontId="5" fillId="2" borderId="67" xfId="1" applyFont="1" applyFill="1" applyBorder="1" applyAlignment="1" applyProtection="1">
      <alignment horizontal="left" vertical="center"/>
    </xf>
    <xf numFmtId="0" fontId="56" fillId="16" borderId="10" xfId="1" applyFont="1" applyFill="1" applyBorder="1" applyAlignment="1" applyProtection="1">
      <alignment horizontal="left" vertical="center"/>
    </xf>
    <xf numFmtId="0" fontId="56" fillId="16" borderId="0" xfId="1" applyFont="1" applyFill="1" applyBorder="1" applyAlignment="1" applyProtection="1">
      <alignment horizontal="left" vertical="center"/>
    </xf>
    <xf numFmtId="0" fontId="61" fillId="0" borderId="61" xfId="10" applyFont="1" applyBorder="1" applyAlignment="1">
      <alignment horizontal="center" vertical="center"/>
    </xf>
    <xf numFmtId="0" fontId="61" fillId="0" borderId="62" xfId="10" applyFont="1" applyBorder="1" applyAlignment="1">
      <alignment horizontal="center" vertical="center"/>
    </xf>
    <xf numFmtId="0" fontId="61" fillId="0" borderId="57" xfId="10" applyFont="1" applyBorder="1" applyAlignment="1">
      <alignment horizontal="center" vertical="center"/>
    </xf>
    <xf numFmtId="0" fontId="61" fillId="0" borderId="60" xfId="10" applyFont="1" applyBorder="1" applyAlignment="1">
      <alignment horizontal="center" vertical="center" wrapText="1"/>
    </xf>
    <xf numFmtId="0" fontId="61" fillId="0" borderId="60" xfId="10" applyFont="1" applyBorder="1" applyAlignment="1">
      <alignment horizontal="center" vertical="center"/>
    </xf>
    <xf numFmtId="0" fontId="5" fillId="3" borderId="60" xfId="1" applyFont="1" applyFill="1" applyBorder="1" applyAlignment="1" applyProtection="1">
      <alignment horizontal="left" vertical="center"/>
    </xf>
    <xf numFmtId="0" fontId="61" fillId="0" borderId="61" xfId="10" applyFont="1" applyBorder="1" applyAlignment="1">
      <alignment horizontal="center" vertical="center" wrapText="1"/>
    </xf>
    <xf numFmtId="0" fontId="61" fillId="0" borderId="62" xfId="10" applyFont="1" applyBorder="1" applyAlignment="1">
      <alignment horizontal="center" vertical="center" wrapText="1"/>
    </xf>
    <xf numFmtId="0" fontId="0" fillId="10" borderId="104" xfId="0" applyFill="1" applyBorder="1" applyAlignment="1">
      <alignment horizontal="center"/>
    </xf>
    <xf numFmtId="1" fontId="0" fillId="7" borderId="8" xfId="0" applyNumberFormat="1" applyFill="1" applyBorder="1"/>
    <xf numFmtId="0" fontId="0" fillId="7" borderId="8" xfId="0" applyFill="1" applyBorder="1" applyAlignment="1">
      <alignment horizontal="left"/>
    </xf>
  </cellXfs>
  <cellStyles count="52">
    <cellStyle name="60% - Ênfase2" xfId="2" builtinId="36"/>
    <cellStyle name="Editáveis" xfId="14" xr:uid="{00000000-0005-0000-0000-000002000000}"/>
    <cellStyle name="Hiperlink" xfId="1" builtinId="8"/>
    <cellStyle name="Hiperlink Visitado" xfId="3" builtinId="9" hidden="1"/>
    <cellStyle name="Hiperlink Visitado" xfId="4" builtinId="9" hidden="1"/>
    <cellStyle name="Hiperlink Visitado" xfId="5" builtinId="9" hidden="1"/>
    <cellStyle name="Hiperlink Visitado" xfId="6" builtinId="9" hidden="1"/>
    <cellStyle name="Hiperlink Visitado" xfId="7" builtinId="9" hidden="1"/>
    <cellStyle name="Hiperlink Visitado" xfId="8" builtinId="9" hidden="1"/>
    <cellStyle name="Hiperlink Visitado" xfId="9" builtinId="9" hidden="1"/>
    <cellStyle name="Hiperlink Visitado" xfId="12" builtinId="9" hidden="1"/>
    <cellStyle name="Hiperlink Visitado" xfId="13" builtinId="9" hidden="1"/>
    <cellStyle name="Hiperlink Visitado" xfId="16" builtinId="9" hidden="1"/>
    <cellStyle name="Hiperlink Visitado" xfId="17" builtinId="9" hidden="1"/>
    <cellStyle name="Hiperlink Visitado" xfId="18" builtinId="9" hidden="1"/>
    <cellStyle name="Hiperlink Visitado" xfId="19" builtinId="9" hidden="1"/>
    <cellStyle name="Hiperlink Visitado" xfId="20" builtinId="9" hidden="1"/>
    <cellStyle name="Hiperlink Visitado" xfId="21" builtinId="9" hidden="1"/>
    <cellStyle name="Hiperlink Visitado" xfId="22" builtinId="9" hidden="1"/>
    <cellStyle name="Hiperlink Visitado" xfId="24" builtinId="9" hidden="1"/>
    <cellStyle name="Hiperlink Visitado" xfId="25" builtinId="9" hidden="1"/>
    <cellStyle name="Hiperlink Visitado" xfId="26" builtinId="9" hidden="1"/>
    <cellStyle name="Hiperlink Visitado" xfId="27" builtinId="9" hidden="1"/>
    <cellStyle name="Hiperlink Visitado" xfId="28" builtinId="9" hidden="1"/>
    <cellStyle name="Hiperlink Visitado" xfId="29" builtinId="9" hidden="1"/>
    <cellStyle name="Hiperlink Visitado" xfId="30" builtinId="9" hidden="1"/>
    <cellStyle name="Hiperlink Visitado" xfId="31" builtinId="9" hidden="1"/>
    <cellStyle name="Hiperlink Visitado" xfId="32" builtinId="9" hidden="1"/>
    <cellStyle name="Hiperlink Visitado" xfId="33" builtinId="9" hidden="1"/>
    <cellStyle name="Hiperlink Visitado" xfId="34" builtinId="9" hidden="1"/>
    <cellStyle name="Hiperlink Visitado" xfId="35" builtinId="9" hidden="1"/>
    <cellStyle name="Hiperlink Visitado" xfId="36" builtinId="9" hidden="1"/>
    <cellStyle name="Hiperlink Visitado" xfId="37" builtinId="9" hidden="1"/>
    <cellStyle name="Hiperlink Visitado" xfId="38" builtinId="9" hidden="1"/>
    <cellStyle name="Hiperlink Visitado" xfId="39" builtinId="9" hidden="1"/>
    <cellStyle name="Hiperlink Visitado" xfId="40" builtinId="9" hidden="1"/>
    <cellStyle name="Hiperlink Visitado" xfId="41" builtinId="9" hidden="1"/>
    <cellStyle name="Hiperlink Visitado" xfId="42" builtinId="9" hidden="1"/>
    <cellStyle name="Hiperlink Visitado" xfId="43" builtinId="9" hidden="1"/>
    <cellStyle name="Hiperlink Visitado" xfId="44" builtinId="9" hidden="1"/>
    <cellStyle name="Hiperlink Visitado" xfId="45" builtinId="9" hidden="1"/>
    <cellStyle name="Hiperlink Visitado" xfId="46" builtinId="9" hidden="1"/>
    <cellStyle name="Hyperlink 2" xfId="48" xr:uid="{8122FE62-98F4-D14A-BD9C-0309312D3164}"/>
    <cellStyle name="Moeda" xfId="51" builtinId="4"/>
    <cellStyle name="Normal" xfId="0" builtinId="0"/>
    <cellStyle name="Normal 2" xfId="10" xr:uid="{00000000-0005-0000-0000-00002C000000}"/>
    <cellStyle name="Normal 3" xfId="11" xr:uid="{00000000-0005-0000-0000-00002D000000}"/>
    <cellStyle name="Normal_GhG protocol-  StationaryCombustion.v2.1a" xfId="50" xr:uid="{76007E9A-9A28-FB47-8261-40D3D6059703}"/>
    <cellStyle name="Percent 2" xfId="47" xr:uid="{9E0BFDB7-9DD9-AB41-9EA0-021040111354}"/>
    <cellStyle name="Porcentagem" xfId="23" builtinId="5"/>
    <cellStyle name="Vírgula" xfId="15" builtinId="3"/>
    <cellStyle name="Vírgula 3" xfId="49" xr:uid="{58B448BA-3257-DD41-9A0E-E8DD4F3FEBB3}"/>
  </cellStyles>
  <dxfs count="5">
    <dxf>
      <font>
        <color auto="1"/>
      </font>
      <fill>
        <patternFill>
          <bgColor rgb="FFFF0000"/>
        </patternFill>
      </fill>
    </dxf>
    <dxf>
      <font>
        <color auto="1"/>
      </font>
      <fill>
        <patternFill>
          <bgColor rgb="FFFF0000"/>
        </patternFill>
      </fill>
    </dxf>
    <dxf>
      <font>
        <b/>
        <i val="0"/>
      </font>
      <fill>
        <patternFill>
          <bgColor rgb="FFFF0000"/>
        </patternFill>
      </fill>
    </dxf>
    <dxf>
      <font>
        <color auto="1"/>
      </font>
      <fill>
        <patternFill>
          <bgColor rgb="FFFF0000"/>
        </patternFill>
      </fill>
    </dxf>
    <dxf>
      <font>
        <color auto="1"/>
      </font>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2.jpg"/></Relationships>
</file>

<file path=xl/drawings/_rels/drawing1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2.jpg"/></Relationships>
</file>

<file path=xl/drawings/_rels/drawing19.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2.jpg"/></Relationships>
</file>

<file path=xl/drawings/_rels/drawing9.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4.emf"/><Relationship Id="rId1" Type="http://schemas.openxmlformats.org/officeDocument/2006/relationships/image" Target="../media/image3.emf"/><Relationship Id="rId4"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1</xdr:col>
      <xdr:colOff>17047</xdr:colOff>
      <xdr:row>0</xdr:row>
      <xdr:rowOff>161947</xdr:rowOff>
    </xdr:from>
    <xdr:to>
      <xdr:col>2</xdr:col>
      <xdr:colOff>619749</xdr:colOff>
      <xdr:row>4</xdr:row>
      <xdr:rowOff>42548</xdr:rowOff>
    </xdr:to>
    <xdr:pic>
      <xdr:nvPicPr>
        <xdr:cNvPr id="2" name="Picture 1">
          <a:extLst>
            <a:ext uri="{FF2B5EF4-FFF2-40B4-BE49-F238E27FC236}">
              <a16:creationId xmlns:a16="http://schemas.microsoft.com/office/drawing/2014/main" id="{15034124-57F3-CB40-9226-001212C23D4A}"/>
            </a:ext>
          </a:extLst>
        </xdr:cNvPr>
        <xdr:cNvPicPr>
          <a:picLocks noChangeAspect="1"/>
        </xdr:cNvPicPr>
      </xdr:nvPicPr>
      <xdr:blipFill>
        <a:blip xmlns:r="http://schemas.openxmlformats.org/officeDocument/2006/relationships" r:embed="rId1"/>
        <a:stretch>
          <a:fillRect/>
        </a:stretch>
      </xdr:blipFill>
      <xdr:spPr>
        <a:xfrm>
          <a:off x="690403" y="161947"/>
          <a:ext cx="1906796" cy="630668"/>
        </a:xfrm>
        <a:prstGeom prst="rect">
          <a:avLst/>
        </a:prstGeom>
      </xdr:spPr>
    </xdr:pic>
    <xdr:clientData/>
  </xdr:twoCellAnchor>
  <xdr:twoCellAnchor editAs="oneCell">
    <xdr:from>
      <xdr:col>11</xdr:col>
      <xdr:colOff>273179</xdr:colOff>
      <xdr:row>0</xdr:row>
      <xdr:rowOff>153423</xdr:rowOff>
    </xdr:from>
    <xdr:to>
      <xdr:col>11</xdr:col>
      <xdr:colOff>1096139</xdr:colOff>
      <xdr:row>4</xdr:row>
      <xdr:rowOff>56048</xdr:rowOff>
    </xdr:to>
    <xdr:pic>
      <xdr:nvPicPr>
        <xdr:cNvPr id="4" name="Picture 3">
          <a:extLst>
            <a:ext uri="{FF2B5EF4-FFF2-40B4-BE49-F238E27FC236}">
              <a16:creationId xmlns:a16="http://schemas.microsoft.com/office/drawing/2014/main" id="{961DD9D0-C8DD-D941-ACE5-446D7A62B6DE}"/>
            </a:ext>
          </a:extLst>
        </xdr:cNvPr>
        <xdr:cNvPicPr>
          <a:picLocks noChangeAspect="1"/>
        </xdr:cNvPicPr>
      </xdr:nvPicPr>
      <xdr:blipFill>
        <a:blip xmlns:r="http://schemas.openxmlformats.org/officeDocument/2006/relationships" r:embed="rId2"/>
        <a:stretch>
          <a:fillRect/>
        </a:stretch>
      </xdr:blipFill>
      <xdr:spPr>
        <a:xfrm>
          <a:off x="9793917" y="153423"/>
          <a:ext cx="822960" cy="652692"/>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1077763</xdr:colOff>
      <xdr:row>4</xdr:row>
      <xdr:rowOff>83038</xdr:rowOff>
    </xdr:to>
    <xdr:pic>
      <xdr:nvPicPr>
        <xdr:cNvPr id="2" name="Picture 1">
          <a:extLst>
            <a:ext uri="{FF2B5EF4-FFF2-40B4-BE49-F238E27FC236}">
              <a16:creationId xmlns:a16="http://schemas.microsoft.com/office/drawing/2014/main" id="{79EBF8D1-59B0-604E-95F6-812A008106FA}"/>
            </a:ext>
          </a:extLst>
        </xdr:cNvPr>
        <xdr:cNvPicPr>
          <a:picLocks noChangeAspect="1"/>
        </xdr:cNvPicPr>
      </xdr:nvPicPr>
      <xdr:blipFill>
        <a:blip xmlns:r="http://schemas.openxmlformats.org/officeDocument/2006/relationships" r:embed="rId1"/>
        <a:stretch>
          <a:fillRect/>
        </a:stretch>
      </xdr:blipFill>
      <xdr:spPr>
        <a:xfrm>
          <a:off x="825500" y="190500"/>
          <a:ext cx="1903263" cy="654538"/>
        </a:xfrm>
        <a:prstGeom prst="rect">
          <a:avLst/>
        </a:prstGeom>
      </xdr:spPr>
    </xdr:pic>
    <xdr:clientData/>
  </xdr:twoCellAnchor>
  <xdr:twoCellAnchor editAs="oneCell">
    <xdr:from>
      <xdr:col>10</xdr:col>
      <xdr:colOff>31912</xdr:colOff>
      <xdr:row>1</xdr:row>
      <xdr:rowOff>81085</xdr:rowOff>
    </xdr:from>
    <xdr:to>
      <xdr:col>11</xdr:col>
      <xdr:colOff>29372</xdr:colOff>
      <xdr:row>4</xdr:row>
      <xdr:rowOff>162277</xdr:rowOff>
    </xdr:to>
    <xdr:pic>
      <xdr:nvPicPr>
        <xdr:cNvPr id="3" name="Picture 2">
          <a:extLst>
            <a:ext uri="{FF2B5EF4-FFF2-40B4-BE49-F238E27FC236}">
              <a16:creationId xmlns:a16="http://schemas.microsoft.com/office/drawing/2014/main" id="{7605B153-B02F-BD40-96E8-412E8868CBDE}"/>
            </a:ext>
          </a:extLst>
        </xdr:cNvPr>
        <xdr:cNvPicPr>
          <a:picLocks noChangeAspect="1"/>
        </xdr:cNvPicPr>
      </xdr:nvPicPr>
      <xdr:blipFill>
        <a:blip xmlns:r="http://schemas.openxmlformats.org/officeDocument/2006/relationships" r:embed="rId2"/>
        <a:stretch>
          <a:fillRect/>
        </a:stretch>
      </xdr:blipFill>
      <xdr:spPr>
        <a:xfrm>
          <a:off x="11093612" y="271585"/>
          <a:ext cx="822960" cy="652692"/>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468163</xdr:colOff>
      <xdr:row>4</xdr:row>
      <xdr:rowOff>83038</xdr:rowOff>
    </xdr:to>
    <xdr:pic>
      <xdr:nvPicPr>
        <xdr:cNvPr id="2" name="Picture 1">
          <a:extLst>
            <a:ext uri="{FF2B5EF4-FFF2-40B4-BE49-F238E27FC236}">
              <a16:creationId xmlns:a16="http://schemas.microsoft.com/office/drawing/2014/main" id="{C41A85EF-09EF-A44E-90C6-BB02D85FB6AE}"/>
            </a:ext>
          </a:extLst>
        </xdr:cNvPr>
        <xdr:cNvPicPr>
          <a:picLocks noChangeAspect="1"/>
        </xdr:cNvPicPr>
      </xdr:nvPicPr>
      <xdr:blipFill>
        <a:blip xmlns:r="http://schemas.openxmlformats.org/officeDocument/2006/relationships" r:embed="rId1"/>
        <a:stretch>
          <a:fillRect/>
        </a:stretch>
      </xdr:blipFill>
      <xdr:spPr>
        <a:xfrm>
          <a:off x="673100" y="190500"/>
          <a:ext cx="1903263" cy="654538"/>
        </a:xfrm>
        <a:prstGeom prst="rect">
          <a:avLst/>
        </a:prstGeom>
      </xdr:spPr>
    </xdr:pic>
    <xdr:clientData/>
  </xdr:twoCellAnchor>
  <xdr:twoCellAnchor editAs="oneCell">
    <xdr:from>
      <xdr:col>8</xdr:col>
      <xdr:colOff>578012</xdr:colOff>
      <xdr:row>1</xdr:row>
      <xdr:rowOff>42985</xdr:rowOff>
    </xdr:from>
    <xdr:to>
      <xdr:col>10</xdr:col>
      <xdr:colOff>3972</xdr:colOff>
      <xdr:row>4</xdr:row>
      <xdr:rowOff>124177</xdr:rowOff>
    </xdr:to>
    <xdr:pic>
      <xdr:nvPicPr>
        <xdr:cNvPr id="3" name="Picture 2">
          <a:extLst>
            <a:ext uri="{FF2B5EF4-FFF2-40B4-BE49-F238E27FC236}">
              <a16:creationId xmlns:a16="http://schemas.microsoft.com/office/drawing/2014/main" id="{63AA34F1-809C-244C-A596-A3CDBE6E77DB}"/>
            </a:ext>
          </a:extLst>
        </xdr:cNvPr>
        <xdr:cNvPicPr>
          <a:picLocks noChangeAspect="1"/>
        </xdr:cNvPicPr>
      </xdr:nvPicPr>
      <xdr:blipFill>
        <a:blip xmlns:r="http://schemas.openxmlformats.org/officeDocument/2006/relationships" r:embed="rId2"/>
        <a:stretch>
          <a:fillRect/>
        </a:stretch>
      </xdr:blipFill>
      <xdr:spPr>
        <a:xfrm>
          <a:off x="11004712" y="233485"/>
          <a:ext cx="822960" cy="652692"/>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468163</xdr:colOff>
      <xdr:row>4</xdr:row>
      <xdr:rowOff>83038</xdr:rowOff>
    </xdr:to>
    <xdr:pic>
      <xdr:nvPicPr>
        <xdr:cNvPr id="2" name="Picture 1">
          <a:extLst>
            <a:ext uri="{FF2B5EF4-FFF2-40B4-BE49-F238E27FC236}">
              <a16:creationId xmlns:a16="http://schemas.microsoft.com/office/drawing/2014/main" id="{D55134CE-4D17-8B46-A2AC-620C41CB1B1A}"/>
            </a:ext>
          </a:extLst>
        </xdr:cNvPr>
        <xdr:cNvPicPr>
          <a:picLocks noChangeAspect="1"/>
        </xdr:cNvPicPr>
      </xdr:nvPicPr>
      <xdr:blipFill>
        <a:blip xmlns:r="http://schemas.openxmlformats.org/officeDocument/2006/relationships" r:embed="rId1"/>
        <a:stretch>
          <a:fillRect/>
        </a:stretch>
      </xdr:blipFill>
      <xdr:spPr>
        <a:xfrm>
          <a:off x="673100" y="190500"/>
          <a:ext cx="1903263" cy="654538"/>
        </a:xfrm>
        <a:prstGeom prst="rect">
          <a:avLst/>
        </a:prstGeom>
      </xdr:spPr>
    </xdr:pic>
    <xdr:clientData/>
  </xdr:twoCellAnchor>
  <xdr:twoCellAnchor editAs="oneCell">
    <xdr:from>
      <xdr:col>8</xdr:col>
      <xdr:colOff>692312</xdr:colOff>
      <xdr:row>1</xdr:row>
      <xdr:rowOff>42985</xdr:rowOff>
    </xdr:from>
    <xdr:to>
      <xdr:col>10</xdr:col>
      <xdr:colOff>3972</xdr:colOff>
      <xdr:row>4</xdr:row>
      <xdr:rowOff>124177</xdr:rowOff>
    </xdr:to>
    <xdr:pic>
      <xdr:nvPicPr>
        <xdr:cNvPr id="3" name="Picture 2">
          <a:extLst>
            <a:ext uri="{FF2B5EF4-FFF2-40B4-BE49-F238E27FC236}">
              <a16:creationId xmlns:a16="http://schemas.microsoft.com/office/drawing/2014/main" id="{965E52CD-66C0-1243-B62D-37A5F1180231}"/>
            </a:ext>
          </a:extLst>
        </xdr:cNvPr>
        <xdr:cNvPicPr>
          <a:picLocks noChangeAspect="1"/>
        </xdr:cNvPicPr>
      </xdr:nvPicPr>
      <xdr:blipFill>
        <a:blip xmlns:r="http://schemas.openxmlformats.org/officeDocument/2006/relationships" r:embed="rId2"/>
        <a:stretch>
          <a:fillRect/>
        </a:stretch>
      </xdr:blipFill>
      <xdr:spPr>
        <a:xfrm>
          <a:off x="10585612" y="233485"/>
          <a:ext cx="822960" cy="652692"/>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468163</xdr:colOff>
      <xdr:row>4</xdr:row>
      <xdr:rowOff>83038</xdr:rowOff>
    </xdr:to>
    <xdr:pic>
      <xdr:nvPicPr>
        <xdr:cNvPr id="2" name="Picture 1">
          <a:extLst>
            <a:ext uri="{FF2B5EF4-FFF2-40B4-BE49-F238E27FC236}">
              <a16:creationId xmlns:a16="http://schemas.microsoft.com/office/drawing/2014/main" id="{FCE0E150-0B4F-344B-B230-A2C9E7062219}"/>
            </a:ext>
          </a:extLst>
        </xdr:cNvPr>
        <xdr:cNvPicPr>
          <a:picLocks noChangeAspect="1"/>
        </xdr:cNvPicPr>
      </xdr:nvPicPr>
      <xdr:blipFill>
        <a:blip xmlns:r="http://schemas.openxmlformats.org/officeDocument/2006/relationships" r:embed="rId1"/>
        <a:stretch>
          <a:fillRect/>
        </a:stretch>
      </xdr:blipFill>
      <xdr:spPr>
        <a:xfrm>
          <a:off x="673100" y="190500"/>
          <a:ext cx="1903263" cy="654538"/>
        </a:xfrm>
        <a:prstGeom prst="rect">
          <a:avLst/>
        </a:prstGeom>
      </xdr:spPr>
    </xdr:pic>
    <xdr:clientData/>
  </xdr:twoCellAnchor>
  <xdr:twoCellAnchor editAs="oneCell">
    <xdr:from>
      <xdr:col>8</xdr:col>
      <xdr:colOff>654212</xdr:colOff>
      <xdr:row>1</xdr:row>
      <xdr:rowOff>42985</xdr:rowOff>
    </xdr:from>
    <xdr:to>
      <xdr:col>9</xdr:col>
      <xdr:colOff>753272</xdr:colOff>
      <xdr:row>4</xdr:row>
      <xdr:rowOff>124177</xdr:rowOff>
    </xdr:to>
    <xdr:pic>
      <xdr:nvPicPr>
        <xdr:cNvPr id="3" name="Picture 2">
          <a:extLst>
            <a:ext uri="{FF2B5EF4-FFF2-40B4-BE49-F238E27FC236}">
              <a16:creationId xmlns:a16="http://schemas.microsoft.com/office/drawing/2014/main" id="{E53A5DCB-8206-E641-BF83-4AA01992FDEE}"/>
            </a:ext>
          </a:extLst>
        </xdr:cNvPr>
        <xdr:cNvPicPr>
          <a:picLocks noChangeAspect="1"/>
        </xdr:cNvPicPr>
      </xdr:nvPicPr>
      <xdr:blipFill>
        <a:blip xmlns:r="http://schemas.openxmlformats.org/officeDocument/2006/relationships" r:embed="rId2"/>
        <a:stretch>
          <a:fillRect/>
        </a:stretch>
      </xdr:blipFill>
      <xdr:spPr>
        <a:xfrm>
          <a:off x="10649112" y="233485"/>
          <a:ext cx="822960" cy="652692"/>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112563</xdr:colOff>
      <xdr:row>4</xdr:row>
      <xdr:rowOff>83038</xdr:rowOff>
    </xdr:to>
    <xdr:pic>
      <xdr:nvPicPr>
        <xdr:cNvPr id="2" name="Picture 1">
          <a:extLst>
            <a:ext uri="{FF2B5EF4-FFF2-40B4-BE49-F238E27FC236}">
              <a16:creationId xmlns:a16="http://schemas.microsoft.com/office/drawing/2014/main" id="{528CB7C3-F442-1C4D-9437-5D20BF9BB14C}"/>
            </a:ext>
          </a:extLst>
        </xdr:cNvPr>
        <xdr:cNvPicPr>
          <a:picLocks noChangeAspect="1"/>
        </xdr:cNvPicPr>
      </xdr:nvPicPr>
      <xdr:blipFill>
        <a:blip xmlns:r="http://schemas.openxmlformats.org/officeDocument/2006/relationships" r:embed="rId1"/>
        <a:stretch>
          <a:fillRect/>
        </a:stretch>
      </xdr:blipFill>
      <xdr:spPr>
        <a:xfrm>
          <a:off x="673100" y="190500"/>
          <a:ext cx="1903263" cy="654538"/>
        </a:xfrm>
        <a:prstGeom prst="rect">
          <a:avLst/>
        </a:prstGeom>
      </xdr:spPr>
    </xdr:pic>
    <xdr:clientData/>
  </xdr:twoCellAnchor>
  <xdr:twoCellAnchor editAs="oneCell">
    <xdr:from>
      <xdr:col>6</xdr:col>
      <xdr:colOff>616112</xdr:colOff>
      <xdr:row>1</xdr:row>
      <xdr:rowOff>55685</xdr:rowOff>
    </xdr:from>
    <xdr:to>
      <xdr:col>8</xdr:col>
      <xdr:colOff>92872</xdr:colOff>
      <xdr:row>4</xdr:row>
      <xdr:rowOff>136877</xdr:rowOff>
    </xdr:to>
    <xdr:pic>
      <xdr:nvPicPr>
        <xdr:cNvPr id="3" name="Picture 2">
          <a:extLst>
            <a:ext uri="{FF2B5EF4-FFF2-40B4-BE49-F238E27FC236}">
              <a16:creationId xmlns:a16="http://schemas.microsoft.com/office/drawing/2014/main" id="{FE6C9646-8BEB-094C-A1E1-E421784E8C89}"/>
            </a:ext>
          </a:extLst>
        </xdr:cNvPr>
        <xdr:cNvPicPr>
          <a:picLocks noChangeAspect="1"/>
        </xdr:cNvPicPr>
      </xdr:nvPicPr>
      <xdr:blipFill>
        <a:blip xmlns:r="http://schemas.openxmlformats.org/officeDocument/2006/relationships" r:embed="rId2"/>
        <a:stretch>
          <a:fillRect/>
        </a:stretch>
      </xdr:blipFill>
      <xdr:spPr>
        <a:xfrm>
          <a:off x="9861712" y="246185"/>
          <a:ext cx="822960" cy="652692"/>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226863</xdr:colOff>
      <xdr:row>4</xdr:row>
      <xdr:rowOff>83038</xdr:rowOff>
    </xdr:to>
    <xdr:pic>
      <xdr:nvPicPr>
        <xdr:cNvPr id="8" name="Picture 7">
          <a:extLst>
            <a:ext uri="{FF2B5EF4-FFF2-40B4-BE49-F238E27FC236}">
              <a16:creationId xmlns:a16="http://schemas.microsoft.com/office/drawing/2014/main" id="{5F6919D1-7330-C743-8CE4-9A1FF41F0E5F}"/>
            </a:ext>
          </a:extLst>
        </xdr:cNvPr>
        <xdr:cNvPicPr>
          <a:picLocks noChangeAspect="1"/>
        </xdr:cNvPicPr>
      </xdr:nvPicPr>
      <xdr:blipFill>
        <a:blip xmlns:r="http://schemas.openxmlformats.org/officeDocument/2006/relationships" r:embed="rId1"/>
        <a:stretch>
          <a:fillRect/>
        </a:stretch>
      </xdr:blipFill>
      <xdr:spPr>
        <a:xfrm>
          <a:off x="825500" y="190500"/>
          <a:ext cx="1903263" cy="654538"/>
        </a:xfrm>
        <a:prstGeom prst="rect">
          <a:avLst/>
        </a:prstGeom>
      </xdr:spPr>
    </xdr:pic>
    <xdr:clientData/>
  </xdr:twoCellAnchor>
  <xdr:twoCellAnchor editAs="oneCell">
    <xdr:from>
      <xdr:col>8</xdr:col>
      <xdr:colOff>19212</xdr:colOff>
      <xdr:row>1</xdr:row>
      <xdr:rowOff>17585</xdr:rowOff>
    </xdr:from>
    <xdr:to>
      <xdr:col>8</xdr:col>
      <xdr:colOff>773592</xdr:colOff>
      <xdr:row>4</xdr:row>
      <xdr:rowOff>98777</xdr:rowOff>
    </xdr:to>
    <xdr:pic>
      <xdr:nvPicPr>
        <xdr:cNvPr id="9" name="Picture 8">
          <a:extLst>
            <a:ext uri="{FF2B5EF4-FFF2-40B4-BE49-F238E27FC236}">
              <a16:creationId xmlns:a16="http://schemas.microsoft.com/office/drawing/2014/main" id="{E43BD647-1808-AD48-8ADC-9A582578EF0F}"/>
            </a:ext>
          </a:extLst>
        </xdr:cNvPr>
        <xdr:cNvPicPr>
          <a:picLocks noChangeAspect="1"/>
        </xdr:cNvPicPr>
      </xdr:nvPicPr>
      <xdr:blipFill>
        <a:blip xmlns:r="http://schemas.openxmlformats.org/officeDocument/2006/relationships" r:embed="rId2"/>
        <a:stretch>
          <a:fillRect/>
        </a:stretch>
      </xdr:blipFill>
      <xdr:spPr>
        <a:xfrm>
          <a:off x="10153812" y="208085"/>
          <a:ext cx="822960" cy="652692"/>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226863</xdr:colOff>
      <xdr:row>4</xdr:row>
      <xdr:rowOff>83038</xdr:rowOff>
    </xdr:to>
    <xdr:pic>
      <xdr:nvPicPr>
        <xdr:cNvPr id="2" name="Picture 1">
          <a:extLst>
            <a:ext uri="{FF2B5EF4-FFF2-40B4-BE49-F238E27FC236}">
              <a16:creationId xmlns:a16="http://schemas.microsoft.com/office/drawing/2014/main" id="{75285BFD-F707-7742-80DE-4E2B77807DDF}"/>
            </a:ext>
          </a:extLst>
        </xdr:cNvPr>
        <xdr:cNvPicPr>
          <a:picLocks noChangeAspect="1"/>
        </xdr:cNvPicPr>
      </xdr:nvPicPr>
      <xdr:blipFill>
        <a:blip xmlns:r="http://schemas.openxmlformats.org/officeDocument/2006/relationships" r:embed="rId1"/>
        <a:stretch>
          <a:fillRect/>
        </a:stretch>
      </xdr:blipFill>
      <xdr:spPr>
        <a:xfrm>
          <a:off x="825500" y="190500"/>
          <a:ext cx="1903263" cy="654538"/>
        </a:xfrm>
        <a:prstGeom prst="rect">
          <a:avLst/>
        </a:prstGeom>
      </xdr:spPr>
    </xdr:pic>
    <xdr:clientData/>
  </xdr:twoCellAnchor>
  <xdr:twoCellAnchor editAs="oneCell">
    <xdr:from>
      <xdr:col>8</xdr:col>
      <xdr:colOff>70012</xdr:colOff>
      <xdr:row>1</xdr:row>
      <xdr:rowOff>68385</xdr:rowOff>
    </xdr:from>
    <xdr:to>
      <xdr:col>9</xdr:col>
      <xdr:colOff>29372</xdr:colOff>
      <xdr:row>4</xdr:row>
      <xdr:rowOff>149577</xdr:rowOff>
    </xdr:to>
    <xdr:pic>
      <xdr:nvPicPr>
        <xdr:cNvPr id="3" name="Picture 2">
          <a:extLst>
            <a:ext uri="{FF2B5EF4-FFF2-40B4-BE49-F238E27FC236}">
              <a16:creationId xmlns:a16="http://schemas.microsoft.com/office/drawing/2014/main" id="{AC2EAA20-4DA6-7546-9830-1B16DD89AEBF}"/>
            </a:ext>
          </a:extLst>
        </xdr:cNvPr>
        <xdr:cNvPicPr>
          <a:picLocks noChangeAspect="1"/>
        </xdr:cNvPicPr>
      </xdr:nvPicPr>
      <xdr:blipFill>
        <a:blip xmlns:r="http://schemas.openxmlformats.org/officeDocument/2006/relationships" r:embed="rId2"/>
        <a:stretch>
          <a:fillRect/>
        </a:stretch>
      </xdr:blipFill>
      <xdr:spPr>
        <a:xfrm>
          <a:off x="10204612" y="258885"/>
          <a:ext cx="822960" cy="652692"/>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2</xdr:col>
      <xdr:colOff>38100</xdr:colOff>
      <xdr:row>21</xdr:row>
      <xdr:rowOff>50800</xdr:rowOff>
    </xdr:from>
    <xdr:to>
      <xdr:col>3</xdr:col>
      <xdr:colOff>76200</xdr:colOff>
      <xdr:row>23</xdr:row>
      <xdr:rowOff>127000</xdr:rowOff>
    </xdr:to>
    <xdr:sp macro="" textlink="">
      <xdr:nvSpPr>
        <xdr:cNvPr id="2" name="Object 1" hidden="1">
          <a:extLst>
            <a:ext uri="{63B3BB69-23CF-44E3-9099-C40C66FF867C}">
              <a14:compatExt xmlns:a14="http://schemas.microsoft.com/office/drawing/2010/main" spid="_x0000_s6145"/>
            </a:ext>
            <a:ext uri="{FF2B5EF4-FFF2-40B4-BE49-F238E27FC236}">
              <a16:creationId xmlns:a16="http://schemas.microsoft.com/office/drawing/2014/main" id="{00000000-0008-0000-0E00-000002000000}"/>
            </a:ext>
          </a:extLst>
        </xdr:cNvPr>
        <xdr:cNvSpPr/>
      </xdr:nvSpPr>
      <xdr:spPr>
        <a:xfrm>
          <a:off x="1219200" y="2717800"/>
          <a:ext cx="552450" cy="457200"/>
        </a:xfrm>
        <a:prstGeom prst="rect">
          <a:avLst/>
        </a:prstGeom>
      </xdr:spPr>
    </xdr:sp>
    <xdr:clientData/>
  </xdr:twoCellAnchor>
  <xdr:twoCellAnchor editAs="oneCell">
    <xdr:from>
      <xdr:col>2</xdr:col>
      <xdr:colOff>25400</xdr:colOff>
      <xdr:row>45</xdr:row>
      <xdr:rowOff>25400</xdr:rowOff>
    </xdr:from>
    <xdr:to>
      <xdr:col>2</xdr:col>
      <xdr:colOff>1165225</xdr:colOff>
      <xdr:row>47</xdr:row>
      <xdr:rowOff>114300</xdr:rowOff>
    </xdr:to>
    <xdr:sp macro="" textlink="">
      <xdr:nvSpPr>
        <xdr:cNvPr id="3" name="Object 2" hidden="1">
          <a:extLst>
            <a:ext uri="{63B3BB69-23CF-44E3-9099-C40C66FF867C}">
              <a14:compatExt xmlns:a14="http://schemas.microsoft.com/office/drawing/2010/main" spid="_x0000_s6146"/>
            </a:ext>
            <a:ext uri="{FF2B5EF4-FFF2-40B4-BE49-F238E27FC236}">
              <a16:creationId xmlns:a16="http://schemas.microsoft.com/office/drawing/2014/main" id="{00000000-0008-0000-0E00-000003000000}"/>
            </a:ext>
          </a:extLst>
        </xdr:cNvPr>
        <xdr:cNvSpPr/>
      </xdr:nvSpPr>
      <xdr:spPr>
        <a:xfrm>
          <a:off x="1206500" y="7264400"/>
          <a:ext cx="568325" cy="469900"/>
        </a:xfrm>
        <a:prstGeom prst="rect">
          <a:avLst/>
        </a:prstGeom>
      </xdr:spPr>
    </xdr:sp>
    <xdr:clientData/>
  </xdr:twoCellAnchor>
  <xdr:twoCellAnchor editAs="oneCell">
    <xdr:from>
      <xdr:col>2</xdr:col>
      <xdr:colOff>38100</xdr:colOff>
      <xdr:row>21</xdr:row>
      <xdr:rowOff>50800</xdr:rowOff>
    </xdr:from>
    <xdr:to>
      <xdr:col>5</xdr:col>
      <xdr:colOff>103717</xdr:colOff>
      <xdr:row>23</xdr:row>
      <xdr:rowOff>127000</xdr:rowOff>
    </xdr:to>
    <xdr:pic>
      <xdr:nvPicPr>
        <xdr:cNvPr id="4" name="Picture 1">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543300" y="2832100"/>
          <a:ext cx="6477000" cy="457200"/>
        </a:xfrm>
        <a:prstGeom prst="rect">
          <a:avLst/>
        </a:prstGeom>
        <a:solidFill>
          <a:srgbClr val="FFFFFF"/>
        </a:solidFill>
        <a:ln>
          <a:noFill/>
        </a:ln>
        <a:extLs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25400</xdr:colOff>
      <xdr:row>45</xdr:row>
      <xdr:rowOff>25400</xdr:rowOff>
    </xdr:from>
    <xdr:to>
      <xdr:col>3</xdr:col>
      <xdr:colOff>2395537</xdr:colOff>
      <xdr:row>47</xdr:row>
      <xdr:rowOff>114300</xdr:rowOff>
    </xdr:to>
    <xdr:pic>
      <xdr:nvPicPr>
        <xdr:cNvPr id="5" name="Picture 2">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6500" y="7264400"/>
          <a:ext cx="1743075" cy="469900"/>
        </a:xfrm>
        <a:prstGeom prst="rect">
          <a:avLst/>
        </a:prstGeom>
        <a:solidFill>
          <a:srgbClr val="FFFFFF"/>
        </a:solidFill>
        <a:ln>
          <a:noFill/>
        </a:ln>
        <a:extLs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0</xdr:colOff>
      <xdr:row>1</xdr:row>
      <xdr:rowOff>0</xdr:rowOff>
    </xdr:from>
    <xdr:to>
      <xdr:col>1</xdr:col>
      <xdr:colOff>1903263</xdr:colOff>
      <xdr:row>4</xdr:row>
      <xdr:rowOff>83038</xdr:rowOff>
    </xdr:to>
    <xdr:pic>
      <xdr:nvPicPr>
        <xdr:cNvPr id="19" name="Picture 18">
          <a:extLst>
            <a:ext uri="{FF2B5EF4-FFF2-40B4-BE49-F238E27FC236}">
              <a16:creationId xmlns:a16="http://schemas.microsoft.com/office/drawing/2014/main" id="{4D882670-1CEF-374A-87D9-B238F8300192}"/>
            </a:ext>
          </a:extLst>
        </xdr:cNvPr>
        <xdr:cNvPicPr>
          <a:picLocks noChangeAspect="1"/>
        </xdr:cNvPicPr>
      </xdr:nvPicPr>
      <xdr:blipFill>
        <a:blip xmlns:r="http://schemas.openxmlformats.org/officeDocument/2006/relationships" r:embed="rId3"/>
        <a:stretch>
          <a:fillRect/>
        </a:stretch>
      </xdr:blipFill>
      <xdr:spPr>
        <a:xfrm>
          <a:off x="673100" y="190500"/>
          <a:ext cx="1903263" cy="654538"/>
        </a:xfrm>
        <a:prstGeom prst="rect">
          <a:avLst/>
        </a:prstGeom>
      </xdr:spPr>
    </xdr:pic>
    <xdr:clientData/>
  </xdr:twoCellAnchor>
  <xdr:twoCellAnchor editAs="oneCell">
    <xdr:from>
      <xdr:col>7</xdr:col>
      <xdr:colOff>705012</xdr:colOff>
      <xdr:row>1</xdr:row>
      <xdr:rowOff>42985</xdr:rowOff>
    </xdr:from>
    <xdr:to>
      <xdr:col>8</xdr:col>
      <xdr:colOff>715172</xdr:colOff>
      <xdr:row>4</xdr:row>
      <xdr:rowOff>124177</xdr:rowOff>
    </xdr:to>
    <xdr:pic>
      <xdr:nvPicPr>
        <xdr:cNvPr id="20" name="Picture 19">
          <a:extLst>
            <a:ext uri="{FF2B5EF4-FFF2-40B4-BE49-F238E27FC236}">
              <a16:creationId xmlns:a16="http://schemas.microsoft.com/office/drawing/2014/main" id="{AC021DBB-82D0-4C4E-B55D-C7445AC99595}"/>
            </a:ext>
          </a:extLst>
        </xdr:cNvPr>
        <xdr:cNvPicPr>
          <a:picLocks noChangeAspect="1"/>
        </xdr:cNvPicPr>
      </xdr:nvPicPr>
      <xdr:blipFill>
        <a:blip xmlns:r="http://schemas.openxmlformats.org/officeDocument/2006/relationships" r:embed="rId4"/>
        <a:stretch>
          <a:fillRect/>
        </a:stretch>
      </xdr:blipFill>
      <xdr:spPr>
        <a:xfrm>
          <a:off x="13862212" y="233485"/>
          <a:ext cx="822960" cy="652692"/>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2</xdr:col>
      <xdr:colOff>38100</xdr:colOff>
      <xdr:row>21</xdr:row>
      <xdr:rowOff>50800</xdr:rowOff>
    </xdr:from>
    <xdr:to>
      <xdr:col>3</xdr:col>
      <xdr:colOff>76200</xdr:colOff>
      <xdr:row>23</xdr:row>
      <xdr:rowOff>127000</xdr:rowOff>
    </xdr:to>
    <xdr:sp macro="" textlink="">
      <xdr:nvSpPr>
        <xdr:cNvPr id="2" name="Object 1" hidden="1">
          <a:extLst>
            <a:ext uri="{63B3BB69-23CF-44E3-9099-C40C66FF867C}">
              <a14:compatExt xmlns:a14="http://schemas.microsoft.com/office/drawing/2010/main" spid="_x0000_s6145"/>
            </a:ext>
            <a:ext uri="{FF2B5EF4-FFF2-40B4-BE49-F238E27FC236}">
              <a16:creationId xmlns:a16="http://schemas.microsoft.com/office/drawing/2014/main" id="{5BEDEFA0-B4CE-B74A-8AE9-FA3EA3E9741D}"/>
            </a:ext>
          </a:extLst>
        </xdr:cNvPr>
        <xdr:cNvSpPr/>
      </xdr:nvSpPr>
      <xdr:spPr>
        <a:xfrm>
          <a:off x="5003800" y="3606800"/>
          <a:ext cx="1981200" cy="482600"/>
        </a:xfrm>
        <a:prstGeom prst="rect">
          <a:avLst/>
        </a:prstGeom>
      </xdr:spPr>
    </xdr:sp>
    <xdr:clientData/>
  </xdr:twoCellAnchor>
  <xdr:twoCellAnchor editAs="oneCell">
    <xdr:from>
      <xdr:col>2</xdr:col>
      <xdr:colOff>25400</xdr:colOff>
      <xdr:row>45</xdr:row>
      <xdr:rowOff>25400</xdr:rowOff>
    </xdr:from>
    <xdr:to>
      <xdr:col>2</xdr:col>
      <xdr:colOff>1165225</xdr:colOff>
      <xdr:row>47</xdr:row>
      <xdr:rowOff>114300</xdr:rowOff>
    </xdr:to>
    <xdr:sp macro="" textlink="">
      <xdr:nvSpPr>
        <xdr:cNvPr id="3" name="Object 2" hidden="1">
          <a:extLst>
            <a:ext uri="{63B3BB69-23CF-44E3-9099-C40C66FF867C}">
              <a14:compatExt xmlns:a14="http://schemas.microsoft.com/office/drawing/2010/main" spid="_x0000_s6146"/>
            </a:ext>
            <a:ext uri="{FF2B5EF4-FFF2-40B4-BE49-F238E27FC236}">
              <a16:creationId xmlns:a16="http://schemas.microsoft.com/office/drawing/2014/main" id="{8A3A044A-6E40-D94B-AE1C-D8C886B37B23}"/>
            </a:ext>
          </a:extLst>
        </xdr:cNvPr>
        <xdr:cNvSpPr/>
      </xdr:nvSpPr>
      <xdr:spPr>
        <a:xfrm>
          <a:off x="4991100" y="8559800"/>
          <a:ext cx="1139825" cy="495300"/>
        </a:xfrm>
        <a:prstGeom prst="rect">
          <a:avLst/>
        </a:prstGeom>
      </xdr:spPr>
    </xdr:sp>
    <xdr:clientData/>
  </xdr:twoCellAnchor>
  <xdr:twoCellAnchor editAs="oneCell">
    <xdr:from>
      <xdr:col>2</xdr:col>
      <xdr:colOff>38100</xdr:colOff>
      <xdr:row>21</xdr:row>
      <xdr:rowOff>50800</xdr:rowOff>
    </xdr:from>
    <xdr:to>
      <xdr:col>5</xdr:col>
      <xdr:colOff>103717</xdr:colOff>
      <xdr:row>23</xdr:row>
      <xdr:rowOff>127000</xdr:rowOff>
    </xdr:to>
    <xdr:pic>
      <xdr:nvPicPr>
        <xdr:cNvPr id="4" name="Picture 1">
          <a:extLst>
            <a:ext uri="{FF2B5EF4-FFF2-40B4-BE49-F238E27FC236}">
              <a16:creationId xmlns:a16="http://schemas.microsoft.com/office/drawing/2014/main" id="{57CBB205-3AA1-AE4F-8375-606164C0F6E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03800" y="3606800"/>
          <a:ext cx="6479117" cy="482600"/>
        </a:xfrm>
        <a:prstGeom prst="rect">
          <a:avLst/>
        </a:prstGeom>
        <a:solidFill>
          <a:srgbClr val="FFFFFF"/>
        </a:solidFill>
        <a:ln>
          <a:noFill/>
        </a:ln>
        <a:extLs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2</xdr:col>
      <xdr:colOff>25400</xdr:colOff>
      <xdr:row>45</xdr:row>
      <xdr:rowOff>25400</xdr:rowOff>
    </xdr:from>
    <xdr:to>
      <xdr:col>3</xdr:col>
      <xdr:colOff>2395537</xdr:colOff>
      <xdr:row>47</xdr:row>
      <xdr:rowOff>114300</xdr:rowOff>
    </xdr:to>
    <xdr:pic>
      <xdr:nvPicPr>
        <xdr:cNvPr id="5" name="Picture 2">
          <a:extLst>
            <a:ext uri="{FF2B5EF4-FFF2-40B4-BE49-F238E27FC236}">
              <a16:creationId xmlns:a16="http://schemas.microsoft.com/office/drawing/2014/main" id="{A04B3554-8DB9-CC46-9E5C-25364278AAA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91100" y="8559800"/>
          <a:ext cx="4313237" cy="495300"/>
        </a:xfrm>
        <a:prstGeom prst="rect">
          <a:avLst/>
        </a:prstGeom>
        <a:solidFill>
          <a:srgbClr val="FFFFFF"/>
        </a:solidFill>
        <a:ln>
          <a:noFill/>
        </a:ln>
        <a:extLs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0</xdr:colOff>
      <xdr:row>1</xdr:row>
      <xdr:rowOff>0</xdr:rowOff>
    </xdr:from>
    <xdr:to>
      <xdr:col>1</xdr:col>
      <xdr:colOff>1903263</xdr:colOff>
      <xdr:row>4</xdr:row>
      <xdr:rowOff>83038</xdr:rowOff>
    </xdr:to>
    <xdr:pic>
      <xdr:nvPicPr>
        <xdr:cNvPr id="6" name="Picture 5">
          <a:extLst>
            <a:ext uri="{FF2B5EF4-FFF2-40B4-BE49-F238E27FC236}">
              <a16:creationId xmlns:a16="http://schemas.microsoft.com/office/drawing/2014/main" id="{74F0BB1C-B683-9D42-B858-2F07DB4CAC61}"/>
            </a:ext>
          </a:extLst>
        </xdr:cNvPr>
        <xdr:cNvPicPr>
          <a:picLocks noChangeAspect="1"/>
        </xdr:cNvPicPr>
      </xdr:nvPicPr>
      <xdr:blipFill>
        <a:blip xmlns:r="http://schemas.openxmlformats.org/officeDocument/2006/relationships" r:embed="rId3"/>
        <a:stretch>
          <a:fillRect/>
        </a:stretch>
      </xdr:blipFill>
      <xdr:spPr>
        <a:xfrm>
          <a:off x="673100" y="190500"/>
          <a:ext cx="1903263" cy="654538"/>
        </a:xfrm>
        <a:prstGeom prst="rect">
          <a:avLst/>
        </a:prstGeom>
      </xdr:spPr>
    </xdr:pic>
    <xdr:clientData/>
  </xdr:twoCellAnchor>
  <xdr:twoCellAnchor editAs="oneCell">
    <xdr:from>
      <xdr:col>7</xdr:col>
      <xdr:colOff>730412</xdr:colOff>
      <xdr:row>1</xdr:row>
      <xdr:rowOff>30285</xdr:rowOff>
    </xdr:from>
    <xdr:to>
      <xdr:col>8</xdr:col>
      <xdr:colOff>778672</xdr:colOff>
      <xdr:row>4</xdr:row>
      <xdr:rowOff>111477</xdr:rowOff>
    </xdr:to>
    <xdr:pic>
      <xdr:nvPicPr>
        <xdr:cNvPr id="7" name="Picture 6">
          <a:extLst>
            <a:ext uri="{FF2B5EF4-FFF2-40B4-BE49-F238E27FC236}">
              <a16:creationId xmlns:a16="http://schemas.microsoft.com/office/drawing/2014/main" id="{7736AF31-E83D-894A-BE89-3C685DD19036}"/>
            </a:ext>
          </a:extLst>
        </xdr:cNvPr>
        <xdr:cNvPicPr>
          <a:picLocks noChangeAspect="1"/>
        </xdr:cNvPicPr>
      </xdr:nvPicPr>
      <xdr:blipFill>
        <a:blip xmlns:r="http://schemas.openxmlformats.org/officeDocument/2006/relationships" r:embed="rId4"/>
        <a:stretch>
          <a:fillRect/>
        </a:stretch>
      </xdr:blipFill>
      <xdr:spPr>
        <a:xfrm>
          <a:off x="13963812" y="220785"/>
          <a:ext cx="822960" cy="652692"/>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49063</xdr:colOff>
      <xdr:row>4</xdr:row>
      <xdr:rowOff>83038</xdr:rowOff>
    </xdr:to>
    <xdr:pic>
      <xdr:nvPicPr>
        <xdr:cNvPr id="2" name="Picture 1">
          <a:extLst>
            <a:ext uri="{FF2B5EF4-FFF2-40B4-BE49-F238E27FC236}">
              <a16:creationId xmlns:a16="http://schemas.microsoft.com/office/drawing/2014/main" id="{674E7707-3127-2646-A9E3-38775208735C}"/>
            </a:ext>
          </a:extLst>
        </xdr:cNvPr>
        <xdr:cNvPicPr>
          <a:picLocks noChangeAspect="1"/>
        </xdr:cNvPicPr>
      </xdr:nvPicPr>
      <xdr:blipFill>
        <a:blip xmlns:r="http://schemas.openxmlformats.org/officeDocument/2006/relationships" r:embed="rId1"/>
        <a:stretch>
          <a:fillRect/>
        </a:stretch>
      </xdr:blipFill>
      <xdr:spPr>
        <a:xfrm>
          <a:off x="673100" y="190500"/>
          <a:ext cx="1903263" cy="654538"/>
        </a:xfrm>
        <a:prstGeom prst="rect">
          <a:avLst/>
        </a:prstGeom>
      </xdr:spPr>
    </xdr:pic>
    <xdr:clientData/>
  </xdr:twoCellAnchor>
  <xdr:twoCellAnchor editAs="oneCell">
    <xdr:from>
      <xdr:col>3</xdr:col>
      <xdr:colOff>285912</xdr:colOff>
      <xdr:row>1</xdr:row>
      <xdr:rowOff>17585</xdr:rowOff>
    </xdr:from>
    <xdr:to>
      <xdr:col>3</xdr:col>
      <xdr:colOff>1108872</xdr:colOff>
      <xdr:row>4</xdr:row>
      <xdr:rowOff>98777</xdr:rowOff>
    </xdr:to>
    <xdr:pic>
      <xdr:nvPicPr>
        <xdr:cNvPr id="3" name="Picture 2">
          <a:extLst>
            <a:ext uri="{FF2B5EF4-FFF2-40B4-BE49-F238E27FC236}">
              <a16:creationId xmlns:a16="http://schemas.microsoft.com/office/drawing/2014/main" id="{93D768CF-5F9C-0041-9835-7662E38B1354}"/>
            </a:ext>
          </a:extLst>
        </xdr:cNvPr>
        <xdr:cNvPicPr>
          <a:picLocks noChangeAspect="1"/>
        </xdr:cNvPicPr>
      </xdr:nvPicPr>
      <xdr:blipFill>
        <a:blip xmlns:r="http://schemas.openxmlformats.org/officeDocument/2006/relationships" r:embed="rId2"/>
        <a:stretch>
          <a:fillRect/>
        </a:stretch>
      </xdr:blipFill>
      <xdr:spPr>
        <a:xfrm>
          <a:off x="14459112" y="208085"/>
          <a:ext cx="822960" cy="6526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669291</xdr:colOff>
      <xdr:row>4</xdr:row>
      <xdr:rowOff>92806</xdr:rowOff>
    </xdr:to>
    <xdr:pic>
      <xdr:nvPicPr>
        <xdr:cNvPr id="4" name="Picture 3">
          <a:extLst>
            <a:ext uri="{FF2B5EF4-FFF2-40B4-BE49-F238E27FC236}">
              <a16:creationId xmlns:a16="http://schemas.microsoft.com/office/drawing/2014/main" id="{FDB8BBDE-85BB-594D-A263-948583FA7F8F}"/>
            </a:ext>
          </a:extLst>
        </xdr:cNvPr>
        <xdr:cNvPicPr>
          <a:picLocks noChangeAspect="1"/>
        </xdr:cNvPicPr>
      </xdr:nvPicPr>
      <xdr:blipFill>
        <a:blip xmlns:r="http://schemas.openxmlformats.org/officeDocument/2006/relationships" r:embed="rId1"/>
        <a:stretch>
          <a:fillRect/>
        </a:stretch>
      </xdr:blipFill>
      <xdr:spPr>
        <a:xfrm>
          <a:off x="225177" y="189149"/>
          <a:ext cx="1903263" cy="654538"/>
        </a:xfrm>
        <a:prstGeom prst="rect">
          <a:avLst/>
        </a:prstGeom>
      </xdr:spPr>
    </xdr:pic>
    <xdr:clientData/>
  </xdr:twoCellAnchor>
  <xdr:twoCellAnchor editAs="oneCell">
    <xdr:from>
      <xdr:col>4</xdr:col>
      <xdr:colOff>18491</xdr:colOff>
      <xdr:row>1</xdr:row>
      <xdr:rowOff>6956</xdr:rowOff>
    </xdr:from>
    <xdr:to>
      <xdr:col>5</xdr:col>
      <xdr:colOff>3251</xdr:colOff>
      <xdr:row>4</xdr:row>
      <xdr:rowOff>92201</xdr:rowOff>
    </xdr:to>
    <xdr:pic>
      <xdr:nvPicPr>
        <xdr:cNvPr id="5" name="Picture 4">
          <a:extLst>
            <a:ext uri="{FF2B5EF4-FFF2-40B4-BE49-F238E27FC236}">
              <a16:creationId xmlns:a16="http://schemas.microsoft.com/office/drawing/2014/main" id="{A4875B05-8A09-4941-997F-0DD25C74B059}"/>
            </a:ext>
          </a:extLst>
        </xdr:cNvPr>
        <xdr:cNvPicPr>
          <a:picLocks noChangeAspect="1"/>
        </xdr:cNvPicPr>
      </xdr:nvPicPr>
      <xdr:blipFill>
        <a:blip xmlns:r="http://schemas.openxmlformats.org/officeDocument/2006/relationships" r:embed="rId2"/>
        <a:stretch>
          <a:fillRect/>
        </a:stretch>
      </xdr:blipFill>
      <xdr:spPr>
        <a:xfrm>
          <a:off x="11214307" y="196105"/>
          <a:ext cx="822960" cy="652692"/>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1903263</xdr:colOff>
      <xdr:row>4</xdr:row>
      <xdr:rowOff>83038</xdr:rowOff>
    </xdr:to>
    <xdr:pic>
      <xdr:nvPicPr>
        <xdr:cNvPr id="2" name="Picture 1">
          <a:extLst>
            <a:ext uri="{FF2B5EF4-FFF2-40B4-BE49-F238E27FC236}">
              <a16:creationId xmlns:a16="http://schemas.microsoft.com/office/drawing/2014/main" id="{0E7316E1-3FC8-8A41-B989-3929EE8CAEE5}"/>
            </a:ext>
          </a:extLst>
        </xdr:cNvPr>
        <xdr:cNvPicPr>
          <a:picLocks noChangeAspect="1"/>
        </xdr:cNvPicPr>
      </xdr:nvPicPr>
      <xdr:blipFill>
        <a:blip xmlns:r="http://schemas.openxmlformats.org/officeDocument/2006/relationships" r:embed="rId1"/>
        <a:stretch>
          <a:fillRect/>
        </a:stretch>
      </xdr:blipFill>
      <xdr:spPr>
        <a:xfrm>
          <a:off x="673100" y="190500"/>
          <a:ext cx="1903263" cy="654538"/>
        </a:xfrm>
        <a:prstGeom prst="rect">
          <a:avLst/>
        </a:prstGeom>
      </xdr:spPr>
    </xdr:pic>
    <xdr:clientData/>
  </xdr:twoCellAnchor>
  <xdr:twoCellAnchor editAs="oneCell">
    <xdr:from>
      <xdr:col>4</xdr:col>
      <xdr:colOff>514512</xdr:colOff>
      <xdr:row>1</xdr:row>
      <xdr:rowOff>4885</xdr:rowOff>
    </xdr:from>
    <xdr:to>
      <xdr:col>5</xdr:col>
      <xdr:colOff>664372</xdr:colOff>
      <xdr:row>4</xdr:row>
      <xdr:rowOff>86077</xdr:rowOff>
    </xdr:to>
    <xdr:pic>
      <xdr:nvPicPr>
        <xdr:cNvPr id="3" name="Picture 2">
          <a:extLst>
            <a:ext uri="{FF2B5EF4-FFF2-40B4-BE49-F238E27FC236}">
              <a16:creationId xmlns:a16="http://schemas.microsoft.com/office/drawing/2014/main" id="{C987CD81-C5E8-E147-8E9A-2940B07E49A7}"/>
            </a:ext>
          </a:extLst>
        </xdr:cNvPr>
        <xdr:cNvPicPr>
          <a:picLocks noChangeAspect="1"/>
        </xdr:cNvPicPr>
      </xdr:nvPicPr>
      <xdr:blipFill>
        <a:blip xmlns:r="http://schemas.openxmlformats.org/officeDocument/2006/relationships" r:embed="rId2"/>
        <a:stretch>
          <a:fillRect/>
        </a:stretch>
      </xdr:blipFill>
      <xdr:spPr>
        <a:xfrm>
          <a:off x="9823612" y="195385"/>
          <a:ext cx="822960" cy="65269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88900</xdr:colOff>
      <xdr:row>0</xdr:row>
      <xdr:rowOff>152400</xdr:rowOff>
    </xdr:from>
    <xdr:to>
      <xdr:col>3</xdr:col>
      <xdr:colOff>114300</xdr:colOff>
      <xdr:row>4</xdr:row>
      <xdr:rowOff>25400</xdr:rowOff>
    </xdr:to>
    <xdr:pic>
      <xdr:nvPicPr>
        <xdr:cNvPr id="2" name="Picture 1">
          <a:extLst>
            <a:ext uri="{FF2B5EF4-FFF2-40B4-BE49-F238E27FC236}">
              <a16:creationId xmlns:a16="http://schemas.microsoft.com/office/drawing/2014/main" id="{B2B05DC0-319F-DD4A-BD4F-BF9D6A4FBCEB}"/>
            </a:ext>
          </a:extLst>
        </xdr:cNvPr>
        <xdr:cNvPicPr>
          <a:picLocks noChangeAspect="1"/>
        </xdr:cNvPicPr>
      </xdr:nvPicPr>
      <xdr:blipFill>
        <a:blip xmlns:r="http://schemas.openxmlformats.org/officeDocument/2006/relationships" r:embed="rId1"/>
        <a:stretch>
          <a:fillRect/>
        </a:stretch>
      </xdr:blipFill>
      <xdr:spPr>
        <a:xfrm>
          <a:off x="88900" y="152400"/>
          <a:ext cx="1905000" cy="635000"/>
        </a:xfrm>
        <a:prstGeom prst="rect">
          <a:avLst/>
        </a:prstGeom>
      </xdr:spPr>
    </xdr:pic>
    <xdr:clientData/>
  </xdr:twoCellAnchor>
  <xdr:twoCellAnchor editAs="oneCell">
    <xdr:from>
      <xdr:col>15</xdr:col>
      <xdr:colOff>314786</xdr:colOff>
      <xdr:row>1</xdr:row>
      <xdr:rowOff>0</xdr:rowOff>
    </xdr:from>
    <xdr:to>
      <xdr:col>16</xdr:col>
      <xdr:colOff>464754</xdr:colOff>
      <xdr:row>4</xdr:row>
      <xdr:rowOff>66539</xdr:rowOff>
    </xdr:to>
    <xdr:pic>
      <xdr:nvPicPr>
        <xdr:cNvPr id="8" name="Picture 7">
          <a:extLst>
            <a:ext uri="{FF2B5EF4-FFF2-40B4-BE49-F238E27FC236}">
              <a16:creationId xmlns:a16="http://schemas.microsoft.com/office/drawing/2014/main" id="{2A7A7888-4428-6C43-904A-192D87D44A9B}"/>
            </a:ext>
          </a:extLst>
        </xdr:cNvPr>
        <xdr:cNvPicPr>
          <a:picLocks noChangeAspect="1"/>
        </xdr:cNvPicPr>
      </xdr:nvPicPr>
      <xdr:blipFill>
        <a:blip xmlns:r="http://schemas.openxmlformats.org/officeDocument/2006/relationships" r:embed="rId2"/>
        <a:stretch>
          <a:fillRect/>
        </a:stretch>
      </xdr:blipFill>
      <xdr:spPr>
        <a:xfrm>
          <a:off x="12960512" y="195385"/>
          <a:ext cx="822960" cy="65269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1903263</xdr:colOff>
      <xdr:row>4</xdr:row>
      <xdr:rowOff>92563</xdr:rowOff>
    </xdr:to>
    <xdr:pic>
      <xdr:nvPicPr>
        <xdr:cNvPr id="2" name="Picture 1">
          <a:extLst>
            <a:ext uri="{FF2B5EF4-FFF2-40B4-BE49-F238E27FC236}">
              <a16:creationId xmlns:a16="http://schemas.microsoft.com/office/drawing/2014/main" id="{561CDD5B-61CC-E14E-8BBA-7F185FA762D1}"/>
            </a:ext>
          </a:extLst>
        </xdr:cNvPr>
        <xdr:cNvPicPr>
          <a:picLocks noChangeAspect="1"/>
        </xdr:cNvPicPr>
      </xdr:nvPicPr>
      <xdr:blipFill>
        <a:blip xmlns:r="http://schemas.openxmlformats.org/officeDocument/2006/relationships" r:embed="rId1"/>
        <a:stretch>
          <a:fillRect/>
        </a:stretch>
      </xdr:blipFill>
      <xdr:spPr>
        <a:xfrm>
          <a:off x="673100" y="190500"/>
          <a:ext cx="1903263" cy="654538"/>
        </a:xfrm>
        <a:prstGeom prst="rect">
          <a:avLst/>
        </a:prstGeom>
      </xdr:spPr>
    </xdr:pic>
    <xdr:clientData/>
  </xdr:twoCellAnchor>
  <xdr:twoCellAnchor editAs="oneCell">
    <xdr:from>
      <xdr:col>13</xdr:col>
      <xdr:colOff>527212</xdr:colOff>
      <xdr:row>1</xdr:row>
      <xdr:rowOff>17585</xdr:rowOff>
    </xdr:from>
    <xdr:to>
      <xdr:col>15</xdr:col>
      <xdr:colOff>19212</xdr:colOff>
      <xdr:row>4</xdr:row>
      <xdr:rowOff>98777</xdr:rowOff>
    </xdr:to>
    <xdr:pic>
      <xdr:nvPicPr>
        <xdr:cNvPr id="3" name="Picture 2">
          <a:extLst>
            <a:ext uri="{FF2B5EF4-FFF2-40B4-BE49-F238E27FC236}">
              <a16:creationId xmlns:a16="http://schemas.microsoft.com/office/drawing/2014/main" id="{18835CE4-9C13-E241-B709-298468C4BA6F}"/>
            </a:ext>
          </a:extLst>
        </xdr:cNvPr>
        <xdr:cNvPicPr>
          <a:picLocks noChangeAspect="1"/>
        </xdr:cNvPicPr>
      </xdr:nvPicPr>
      <xdr:blipFill>
        <a:blip xmlns:r="http://schemas.openxmlformats.org/officeDocument/2006/relationships" r:embed="rId2"/>
        <a:stretch>
          <a:fillRect/>
        </a:stretch>
      </xdr:blipFill>
      <xdr:spPr>
        <a:xfrm>
          <a:off x="14509912" y="208085"/>
          <a:ext cx="822960" cy="65269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772963</xdr:colOff>
      <xdr:row>4</xdr:row>
      <xdr:rowOff>83038</xdr:rowOff>
    </xdr:to>
    <xdr:pic>
      <xdr:nvPicPr>
        <xdr:cNvPr id="2" name="Picture 1">
          <a:extLst>
            <a:ext uri="{FF2B5EF4-FFF2-40B4-BE49-F238E27FC236}">
              <a16:creationId xmlns:a16="http://schemas.microsoft.com/office/drawing/2014/main" id="{31B5AB27-CDC0-204B-B3BC-5992231429B3}"/>
            </a:ext>
          </a:extLst>
        </xdr:cNvPr>
        <xdr:cNvPicPr>
          <a:picLocks noChangeAspect="1"/>
        </xdr:cNvPicPr>
      </xdr:nvPicPr>
      <xdr:blipFill>
        <a:blip xmlns:r="http://schemas.openxmlformats.org/officeDocument/2006/relationships" r:embed="rId1"/>
        <a:stretch>
          <a:fillRect/>
        </a:stretch>
      </xdr:blipFill>
      <xdr:spPr>
        <a:xfrm>
          <a:off x="673100" y="190500"/>
          <a:ext cx="1903263" cy="654538"/>
        </a:xfrm>
        <a:prstGeom prst="rect">
          <a:avLst/>
        </a:prstGeom>
      </xdr:spPr>
    </xdr:pic>
    <xdr:clientData/>
  </xdr:twoCellAnchor>
  <xdr:twoCellAnchor editAs="oneCell">
    <xdr:from>
      <xdr:col>9</xdr:col>
      <xdr:colOff>514512</xdr:colOff>
      <xdr:row>1</xdr:row>
      <xdr:rowOff>17585</xdr:rowOff>
    </xdr:from>
    <xdr:to>
      <xdr:col>11</xdr:col>
      <xdr:colOff>1432</xdr:colOff>
      <xdr:row>4</xdr:row>
      <xdr:rowOff>98777</xdr:rowOff>
    </xdr:to>
    <xdr:pic>
      <xdr:nvPicPr>
        <xdr:cNvPr id="3" name="Picture 2">
          <a:extLst>
            <a:ext uri="{FF2B5EF4-FFF2-40B4-BE49-F238E27FC236}">
              <a16:creationId xmlns:a16="http://schemas.microsoft.com/office/drawing/2014/main" id="{62EF3360-A89D-244D-9B82-B540905CC41E}"/>
            </a:ext>
          </a:extLst>
        </xdr:cNvPr>
        <xdr:cNvPicPr>
          <a:picLocks noChangeAspect="1"/>
        </xdr:cNvPicPr>
      </xdr:nvPicPr>
      <xdr:blipFill>
        <a:blip xmlns:r="http://schemas.openxmlformats.org/officeDocument/2006/relationships" r:embed="rId2"/>
        <a:stretch>
          <a:fillRect/>
        </a:stretch>
      </xdr:blipFill>
      <xdr:spPr>
        <a:xfrm>
          <a:off x="9772812" y="208085"/>
          <a:ext cx="822960" cy="65269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1903263</xdr:colOff>
      <xdr:row>4</xdr:row>
      <xdr:rowOff>83038</xdr:rowOff>
    </xdr:to>
    <xdr:pic>
      <xdr:nvPicPr>
        <xdr:cNvPr id="2" name="Picture 1">
          <a:extLst>
            <a:ext uri="{FF2B5EF4-FFF2-40B4-BE49-F238E27FC236}">
              <a16:creationId xmlns:a16="http://schemas.microsoft.com/office/drawing/2014/main" id="{339AC1E1-AF07-684A-B0B3-CC955B6B942F}"/>
            </a:ext>
          </a:extLst>
        </xdr:cNvPr>
        <xdr:cNvPicPr>
          <a:picLocks noChangeAspect="1"/>
        </xdr:cNvPicPr>
      </xdr:nvPicPr>
      <xdr:blipFill>
        <a:blip xmlns:r="http://schemas.openxmlformats.org/officeDocument/2006/relationships" r:embed="rId1"/>
        <a:stretch>
          <a:fillRect/>
        </a:stretch>
      </xdr:blipFill>
      <xdr:spPr>
        <a:xfrm>
          <a:off x="266700" y="190500"/>
          <a:ext cx="1903263" cy="654538"/>
        </a:xfrm>
        <a:prstGeom prst="rect">
          <a:avLst/>
        </a:prstGeom>
      </xdr:spPr>
    </xdr:pic>
    <xdr:clientData/>
  </xdr:twoCellAnchor>
  <xdr:twoCellAnchor editAs="oneCell">
    <xdr:from>
      <xdr:col>8</xdr:col>
      <xdr:colOff>616112</xdr:colOff>
      <xdr:row>1</xdr:row>
      <xdr:rowOff>55685</xdr:rowOff>
    </xdr:from>
    <xdr:to>
      <xdr:col>9</xdr:col>
      <xdr:colOff>664372</xdr:colOff>
      <xdr:row>4</xdr:row>
      <xdr:rowOff>136877</xdr:rowOff>
    </xdr:to>
    <xdr:pic>
      <xdr:nvPicPr>
        <xdr:cNvPr id="3" name="Picture 2">
          <a:extLst>
            <a:ext uri="{FF2B5EF4-FFF2-40B4-BE49-F238E27FC236}">
              <a16:creationId xmlns:a16="http://schemas.microsoft.com/office/drawing/2014/main" id="{8D5B2128-3CDF-874C-954E-E5A7B8093381}"/>
            </a:ext>
          </a:extLst>
        </xdr:cNvPr>
        <xdr:cNvPicPr>
          <a:picLocks noChangeAspect="1"/>
        </xdr:cNvPicPr>
      </xdr:nvPicPr>
      <xdr:blipFill>
        <a:blip xmlns:r="http://schemas.openxmlformats.org/officeDocument/2006/relationships" r:embed="rId2"/>
        <a:stretch>
          <a:fillRect/>
        </a:stretch>
      </xdr:blipFill>
      <xdr:spPr>
        <a:xfrm>
          <a:off x="9429912" y="246185"/>
          <a:ext cx="822960" cy="652692"/>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417363</xdr:colOff>
      <xdr:row>4</xdr:row>
      <xdr:rowOff>86848</xdr:rowOff>
    </xdr:to>
    <xdr:pic>
      <xdr:nvPicPr>
        <xdr:cNvPr id="2" name="Picture 1">
          <a:extLst>
            <a:ext uri="{FF2B5EF4-FFF2-40B4-BE49-F238E27FC236}">
              <a16:creationId xmlns:a16="http://schemas.microsoft.com/office/drawing/2014/main" id="{D40A960A-DB65-8744-AE40-1056D3558301}"/>
            </a:ext>
          </a:extLst>
        </xdr:cNvPr>
        <xdr:cNvPicPr>
          <a:picLocks noChangeAspect="1"/>
        </xdr:cNvPicPr>
      </xdr:nvPicPr>
      <xdr:blipFill>
        <a:blip xmlns:r="http://schemas.openxmlformats.org/officeDocument/2006/relationships" r:embed="rId1"/>
        <a:stretch>
          <a:fillRect/>
        </a:stretch>
      </xdr:blipFill>
      <xdr:spPr>
        <a:xfrm>
          <a:off x="673100" y="190500"/>
          <a:ext cx="1903263" cy="654538"/>
        </a:xfrm>
        <a:prstGeom prst="rect">
          <a:avLst/>
        </a:prstGeom>
      </xdr:spPr>
    </xdr:pic>
    <xdr:clientData/>
  </xdr:twoCellAnchor>
  <xdr:twoCellAnchor editAs="oneCell">
    <xdr:from>
      <xdr:col>9</xdr:col>
      <xdr:colOff>2343312</xdr:colOff>
      <xdr:row>1</xdr:row>
      <xdr:rowOff>17585</xdr:rowOff>
    </xdr:from>
    <xdr:to>
      <xdr:col>11</xdr:col>
      <xdr:colOff>7782</xdr:colOff>
      <xdr:row>4</xdr:row>
      <xdr:rowOff>98777</xdr:rowOff>
    </xdr:to>
    <xdr:pic>
      <xdr:nvPicPr>
        <xdr:cNvPr id="3" name="Picture 2">
          <a:extLst>
            <a:ext uri="{FF2B5EF4-FFF2-40B4-BE49-F238E27FC236}">
              <a16:creationId xmlns:a16="http://schemas.microsoft.com/office/drawing/2014/main" id="{9770D1E2-59F3-2C40-A24C-DA7F71836442}"/>
            </a:ext>
          </a:extLst>
        </xdr:cNvPr>
        <xdr:cNvPicPr>
          <a:picLocks noChangeAspect="1"/>
        </xdr:cNvPicPr>
      </xdr:nvPicPr>
      <xdr:blipFill>
        <a:blip xmlns:r="http://schemas.openxmlformats.org/officeDocument/2006/relationships" r:embed="rId2"/>
        <a:stretch>
          <a:fillRect/>
        </a:stretch>
      </xdr:blipFill>
      <xdr:spPr>
        <a:xfrm>
          <a:off x="15132212" y="208085"/>
          <a:ext cx="822960" cy="652692"/>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3</xdr:col>
      <xdr:colOff>38100</xdr:colOff>
      <xdr:row>19</xdr:row>
      <xdr:rowOff>50800</xdr:rowOff>
    </xdr:from>
    <xdr:to>
      <xdr:col>6</xdr:col>
      <xdr:colOff>25400</xdr:colOff>
      <xdr:row>21</xdr:row>
      <xdr:rowOff>127000</xdr:rowOff>
    </xdr:to>
    <xdr:sp macro="" textlink="">
      <xdr:nvSpPr>
        <xdr:cNvPr id="2" name="Object 1" hidden="1">
          <a:extLst>
            <a:ext uri="{63B3BB69-23CF-44E3-9099-C40C66FF867C}">
              <a14:compatExt xmlns:a14="http://schemas.microsoft.com/office/drawing/2010/main" spid="_x0000_s6145"/>
            </a:ext>
            <a:ext uri="{FF2B5EF4-FFF2-40B4-BE49-F238E27FC236}">
              <a16:creationId xmlns:a16="http://schemas.microsoft.com/office/drawing/2014/main" id="{00000000-0008-0000-0900-000002000000}"/>
            </a:ext>
          </a:extLst>
        </xdr:cNvPr>
        <xdr:cNvSpPr/>
      </xdr:nvSpPr>
      <xdr:spPr>
        <a:xfrm>
          <a:off x="0" y="0"/>
          <a:ext cx="0" cy="0"/>
        </a:xfrm>
        <a:prstGeom prst="rect">
          <a:avLst/>
        </a:prstGeom>
      </xdr:spPr>
    </xdr:sp>
    <xdr:clientData/>
  </xdr:twoCellAnchor>
  <xdr:twoCellAnchor editAs="oneCell">
    <xdr:from>
      <xdr:col>3</xdr:col>
      <xdr:colOff>25400</xdr:colOff>
      <xdr:row>43</xdr:row>
      <xdr:rowOff>25400</xdr:rowOff>
    </xdr:from>
    <xdr:to>
      <xdr:col>4</xdr:col>
      <xdr:colOff>492125</xdr:colOff>
      <xdr:row>45</xdr:row>
      <xdr:rowOff>114300</xdr:rowOff>
    </xdr:to>
    <xdr:sp macro="" textlink="">
      <xdr:nvSpPr>
        <xdr:cNvPr id="3" name="Object 2" hidden="1">
          <a:extLst>
            <a:ext uri="{63B3BB69-23CF-44E3-9099-C40C66FF867C}">
              <a14:compatExt xmlns:a14="http://schemas.microsoft.com/office/drawing/2010/main" spid="_x0000_s6146"/>
            </a:ext>
            <a:ext uri="{FF2B5EF4-FFF2-40B4-BE49-F238E27FC236}">
              <a16:creationId xmlns:a16="http://schemas.microsoft.com/office/drawing/2014/main" id="{00000000-0008-0000-0900-000003000000}"/>
            </a:ext>
          </a:extLst>
        </xdr:cNvPr>
        <xdr:cNvSpPr/>
      </xdr:nvSpPr>
      <xdr:spPr>
        <a:xfrm>
          <a:off x="0" y="0"/>
          <a:ext cx="0" cy="0"/>
        </a:xfrm>
        <a:prstGeom prst="rect">
          <a:avLst/>
        </a:prstGeom>
      </xdr:spPr>
    </xdr:sp>
    <xdr:clientData/>
  </xdr:twoCellAnchor>
  <xdr:twoCellAnchor editAs="oneCell">
    <xdr:from>
      <xdr:col>3</xdr:col>
      <xdr:colOff>38100</xdr:colOff>
      <xdr:row>19</xdr:row>
      <xdr:rowOff>50800</xdr:rowOff>
    </xdr:from>
    <xdr:to>
      <xdr:col>6</xdr:col>
      <xdr:colOff>25400</xdr:colOff>
      <xdr:row>21</xdr:row>
      <xdr:rowOff>127000</xdr:rowOff>
    </xdr:to>
    <xdr:pic>
      <xdr:nvPicPr>
        <xdr:cNvPr id="6145" name="Picture 1">
          <a:extLst>
            <a:ext uri="{FF2B5EF4-FFF2-40B4-BE49-F238E27FC236}">
              <a16:creationId xmlns:a16="http://schemas.microsoft.com/office/drawing/2014/main" id="{00000000-0008-0000-0900-00000118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66900" y="2705100"/>
          <a:ext cx="5334000" cy="457200"/>
        </a:xfrm>
        <a:prstGeom prst="rect">
          <a:avLst/>
        </a:prstGeom>
        <a:solidFill>
          <a:srgbClr val="FFFFFF"/>
        </a:solidFill>
        <a:ln>
          <a:noFill/>
        </a:ln>
        <a:extLs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25400</xdr:colOff>
      <xdr:row>43</xdr:row>
      <xdr:rowOff>25400</xdr:rowOff>
    </xdr:from>
    <xdr:to>
      <xdr:col>4</xdr:col>
      <xdr:colOff>492125</xdr:colOff>
      <xdr:row>45</xdr:row>
      <xdr:rowOff>114300</xdr:rowOff>
    </xdr:to>
    <xdr:pic>
      <xdr:nvPicPr>
        <xdr:cNvPr id="6146" name="Picture 2">
          <a:extLst>
            <a:ext uri="{FF2B5EF4-FFF2-40B4-BE49-F238E27FC236}">
              <a16:creationId xmlns:a16="http://schemas.microsoft.com/office/drawing/2014/main" id="{00000000-0008-0000-0900-0000021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854200" y="7162800"/>
          <a:ext cx="2870200" cy="469900"/>
        </a:xfrm>
        <a:prstGeom prst="rect">
          <a:avLst/>
        </a:prstGeom>
        <a:solidFill>
          <a:srgbClr val="FFFFFF"/>
        </a:solidFill>
        <a:ln>
          <a:noFill/>
        </a:ln>
        <a:extLs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0</xdr:colOff>
      <xdr:row>1</xdr:row>
      <xdr:rowOff>0</xdr:rowOff>
    </xdr:from>
    <xdr:to>
      <xdr:col>2</xdr:col>
      <xdr:colOff>798363</xdr:colOff>
      <xdr:row>4</xdr:row>
      <xdr:rowOff>83038</xdr:rowOff>
    </xdr:to>
    <xdr:pic>
      <xdr:nvPicPr>
        <xdr:cNvPr id="6" name="Picture 5">
          <a:extLst>
            <a:ext uri="{FF2B5EF4-FFF2-40B4-BE49-F238E27FC236}">
              <a16:creationId xmlns:a16="http://schemas.microsoft.com/office/drawing/2014/main" id="{81860E6E-60C6-374B-B6DC-6A4AE3B894B2}"/>
            </a:ext>
          </a:extLst>
        </xdr:cNvPr>
        <xdr:cNvPicPr>
          <a:picLocks noChangeAspect="1"/>
        </xdr:cNvPicPr>
      </xdr:nvPicPr>
      <xdr:blipFill>
        <a:blip xmlns:r="http://schemas.openxmlformats.org/officeDocument/2006/relationships" r:embed="rId3"/>
        <a:stretch>
          <a:fillRect/>
        </a:stretch>
      </xdr:blipFill>
      <xdr:spPr>
        <a:xfrm>
          <a:off x="673100" y="190500"/>
          <a:ext cx="1903263" cy="654538"/>
        </a:xfrm>
        <a:prstGeom prst="rect">
          <a:avLst/>
        </a:prstGeom>
      </xdr:spPr>
    </xdr:pic>
    <xdr:clientData/>
  </xdr:twoCellAnchor>
  <xdr:twoCellAnchor editAs="oneCell">
    <xdr:from>
      <xdr:col>11</xdr:col>
      <xdr:colOff>501812</xdr:colOff>
      <xdr:row>1</xdr:row>
      <xdr:rowOff>42985</xdr:rowOff>
    </xdr:from>
    <xdr:to>
      <xdr:col>12</xdr:col>
      <xdr:colOff>651672</xdr:colOff>
      <xdr:row>4</xdr:row>
      <xdr:rowOff>124177</xdr:rowOff>
    </xdr:to>
    <xdr:pic>
      <xdr:nvPicPr>
        <xdr:cNvPr id="7" name="Picture 6">
          <a:extLst>
            <a:ext uri="{FF2B5EF4-FFF2-40B4-BE49-F238E27FC236}">
              <a16:creationId xmlns:a16="http://schemas.microsoft.com/office/drawing/2014/main" id="{2815DBA7-9556-4540-A130-9FDDD11BD20D}"/>
            </a:ext>
          </a:extLst>
        </xdr:cNvPr>
        <xdr:cNvPicPr>
          <a:picLocks noChangeAspect="1"/>
        </xdr:cNvPicPr>
      </xdr:nvPicPr>
      <xdr:blipFill>
        <a:blip xmlns:r="http://schemas.openxmlformats.org/officeDocument/2006/relationships" r:embed="rId4"/>
        <a:stretch>
          <a:fillRect/>
        </a:stretch>
      </xdr:blipFill>
      <xdr:spPr>
        <a:xfrm>
          <a:off x="12858912" y="233485"/>
          <a:ext cx="822960" cy="652692"/>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3</xdr:col>
      <xdr:colOff>38100</xdr:colOff>
      <xdr:row>19</xdr:row>
      <xdr:rowOff>50800</xdr:rowOff>
    </xdr:from>
    <xdr:to>
      <xdr:col>6</xdr:col>
      <xdr:colOff>50800</xdr:colOff>
      <xdr:row>21</xdr:row>
      <xdr:rowOff>127000</xdr:rowOff>
    </xdr:to>
    <xdr:sp macro="" textlink="">
      <xdr:nvSpPr>
        <xdr:cNvPr id="2" name="Object 1" hidden="1">
          <a:extLst>
            <a:ext uri="{63B3BB69-23CF-44E3-9099-C40C66FF867C}">
              <a14:compatExt xmlns:a14="http://schemas.microsoft.com/office/drawing/2010/main" spid="_x0000_s6145"/>
            </a:ext>
            <a:ext uri="{FF2B5EF4-FFF2-40B4-BE49-F238E27FC236}">
              <a16:creationId xmlns:a16="http://schemas.microsoft.com/office/drawing/2014/main" id="{98CD2BCC-20C6-034E-BA49-27312A11A35E}"/>
            </a:ext>
          </a:extLst>
        </xdr:cNvPr>
        <xdr:cNvSpPr/>
      </xdr:nvSpPr>
      <xdr:spPr>
        <a:xfrm>
          <a:off x="2743200" y="3187700"/>
          <a:ext cx="5118100" cy="482600"/>
        </a:xfrm>
        <a:prstGeom prst="rect">
          <a:avLst/>
        </a:prstGeom>
      </xdr:spPr>
    </xdr:sp>
    <xdr:clientData/>
  </xdr:twoCellAnchor>
  <xdr:twoCellAnchor editAs="oneCell">
    <xdr:from>
      <xdr:col>3</xdr:col>
      <xdr:colOff>25400</xdr:colOff>
      <xdr:row>43</xdr:row>
      <xdr:rowOff>25400</xdr:rowOff>
    </xdr:from>
    <xdr:to>
      <xdr:col>4</xdr:col>
      <xdr:colOff>492125</xdr:colOff>
      <xdr:row>45</xdr:row>
      <xdr:rowOff>114300</xdr:rowOff>
    </xdr:to>
    <xdr:sp macro="" textlink="">
      <xdr:nvSpPr>
        <xdr:cNvPr id="3" name="Object 2" hidden="1">
          <a:extLst>
            <a:ext uri="{63B3BB69-23CF-44E3-9099-C40C66FF867C}">
              <a14:compatExt xmlns:a14="http://schemas.microsoft.com/office/drawing/2010/main" spid="_x0000_s6146"/>
            </a:ext>
            <a:ext uri="{FF2B5EF4-FFF2-40B4-BE49-F238E27FC236}">
              <a16:creationId xmlns:a16="http://schemas.microsoft.com/office/drawing/2014/main" id="{1F874CBB-CCF8-784E-ACBE-6E212443734F}"/>
            </a:ext>
          </a:extLst>
        </xdr:cNvPr>
        <xdr:cNvSpPr/>
      </xdr:nvSpPr>
      <xdr:spPr>
        <a:xfrm>
          <a:off x="2730500" y="8140700"/>
          <a:ext cx="2917825" cy="495300"/>
        </a:xfrm>
        <a:prstGeom prst="rect">
          <a:avLst/>
        </a:prstGeom>
      </xdr:spPr>
    </xdr:sp>
    <xdr:clientData/>
  </xdr:twoCellAnchor>
  <xdr:twoCellAnchor editAs="oneCell">
    <xdr:from>
      <xdr:col>3</xdr:col>
      <xdr:colOff>38100</xdr:colOff>
      <xdr:row>19</xdr:row>
      <xdr:rowOff>50800</xdr:rowOff>
    </xdr:from>
    <xdr:to>
      <xdr:col>6</xdr:col>
      <xdr:colOff>50800</xdr:colOff>
      <xdr:row>21</xdr:row>
      <xdr:rowOff>127000</xdr:rowOff>
    </xdr:to>
    <xdr:pic>
      <xdr:nvPicPr>
        <xdr:cNvPr id="4" name="Picture 1">
          <a:extLst>
            <a:ext uri="{FF2B5EF4-FFF2-40B4-BE49-F238E27FC236}">
              <a16:creationId xmlns:a16="http://schemas.microsoft.com/office/drawing/2014/main" id="{FB82070E-C47B-D445-B2E2-28E53862E8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43200" y="3187700"/>
          <a:ext cx="5118100" cy="482600"/>
        </a:xfrm>
        <a:prstGeom prst="rect">
          <a:avLst/>
        </a:prstGeom>
        <a:solidFill>
          <a:srgbClr val="FFFFFF"/>
        </a:solidFill>
        <a:ln>
          <a:noFill/>
        </a:ln>
        <a:extLs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3</xdr:col>
      <xdr:colOff>25400</xdr:colOff>
      <xdr:row>43</xdr:row>
      <xdr:rowOff>25400</xdr:rowOff>
    </xdr:from>
    <xdr:to>
      <xdr:col>4</xdr:col>
      <xdr:colOff>492125</xdr:colOff>
      <xdr:row>45</xdr:row>
      <xdr:rowOff>114300</xdr:rowOff>
    </xdr:to>
    <xdr:pic>
      <xdr:nvPicPr>
        <xdr:cNvPr id="5" name="Picture 2">
          <a:extLst>
            <a:ext uri="{FF2B5EF4-FFF2-40B4-BE49-F238E27FC236}">
              <a16:creationId xmlns:a16="http://schemas.microsoft.com/office/drawing/2014/main" id="{D4FA7074-6045-4140-8698-F80FAA9F547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730500" y="8140700"/>
          <a:ext cx="2917825" cy="495300"/>
        </a:xfrm>
        <a:prstGeom prst="rect">
          <a:avLst/>
        </a:prstGeom>
        <a:solidFill>
          <a:srgbClr val="FFFFFF"/>
        </a:solidFill>
        <a:ln>
          <a:noFill/>
        </a:ln>
        <a:extLst>
          <a:ext uri="{91240B29-F687-4f45-9708-019B960494DF}">
            <a14:hiddenLine xmlns:a14="http://schemas.microsoft.com/office/drawing/2010/main" xmlns="" w="9525">
              <a:solidFill>
                <a:srgbClr xmlns:mc="http://schemas.openxmlformats.org/markup-compatibility/2006" val="000000" mc:Ignorable="a14" a14:legacySpreadsheetColorIndex="64"/>
              </a:solidFill>
              <a:miter lim="800000"/>
              <a:headEnd/>
              <a:tailEnd/>
            </a14:hiddenLine>
          </a:ext>
        </a:extLst>
      </xdr:spPr>
    </xdr:pic>
    <xdr:clientData/>
  </xdr:twoCellAnchor>
  <xdr:twoCellAnchor editAs="oneCell">
    <xdr:from>
      <xdr:col>1</xdr:col>
      <xdr:colOff>0</xdr:colOff>
      <xdr:row>1</xdr:row>
      <xdr:rowOff>0</xdr:rowOff>
    </xdr:from>
    <xdr:to>
      <xdr:col>2</xdr:col>
      <xdr:colOff>798363</xdr:colOff>
      <xdr:row>4</xdr:row>
      <xdr:rowOff>83038</xdr:rowOff>
    </xdr:to>
    <xdr:pic>
      <xdr:nvPicPr>
        <xdr:cNvPr id="6" name="Picture 5">
          <a:extLst>
            <a:ext uri="{FF2B5EF4-FFF2-40B4-BE49-F238E27FC236}">
              <a16:creationId xmlns:a16="http://schemas.microsoft.com/office/drawing/2014/main" id="{0C113FC2-0756-5742-8BBA-1C496591FC32}"/>
            </a:ext>
          </a:extLst>
        </xdr:cNvPr>
        <xdr:cNvPicPr>
          <a:picLocks noChangeAspect="1"/>
        </xdr:cNvPicPr>
      </xdr:nvPicPr>
      <xdr:blipFill>
        <a:blip xmlns:r="http://schemas.openxmlformats.org/officeDocument/2006/relationships" r:embed="rId3"/>
        <a:stretch>
          <a:fillRect/>
        </a:stretch>
      </xdr:blipFill>
      <xdr:spPr>
        <a:xfrm>
          <a:off x="673100" y="190500"/>
          <a:ext cx="1903263" cy="654538"/>
        </a:xfrm>
        <a:prstGeom prst="rect">
          <a:avLst/>
        </a:prstGeom>
      </xdr:spPr>
    </xdr:pic>
    <xdr:clientData/>
  </xdr:twoCellAnchor>
  <xdr:twoCellAnchor editAs="oneCell">
    <xdr:from>
      <xdr:col>11</xdr:col>
      <xdr:colOff>489112</xdr:colOff>
      <xdr:row>1</xdr:row>
      <xdr:rowOff>42985</xdr:rowOff>
    </xdr:from>
    <xdr:to>
      <xdr:col>12</xdr:col>
      <xdr:colOff>638972</xdr:colOff>
      <xdr:row>4</xdr:row>
      <xdr:rowOff>124177</xdr:rowOff>
    </xdr:to>
    <xdr:pic>
      <xdr:nvPicPr>
        <xdr:cNvPr id="7" name="Picture 6">
          <a:extLst>
            <a:ext uri="{FF2B5EF4-FFF2-40B4-BE49-F238E27FC236}">
              <a16:creationId xmlns:a16="http://schemas.microsoft.com/office/drawing/2014/main" id="{F6338B3F-3B92-E54E-A528-61A0EAD6AE19}"/>
            </a:ext>
          </a:extLst>
        </xdr:cNvPr>
        <xdr:cNvPicPr>
          <a:picLocks noChangeAspect="1"/>
        </xdr:cNvPicPr>
      </xdr:nvPicPr>
      <xdr:blipFill>
        <a:blip xmlns:r="http://schemas.openxmlformats.org/officeDocument/2006/relationships" r:embed="rId4"/>
        <a:stretch>
          <a:fillRect/>
        </a:stretch>
      </xdr:blipFill>
      <xdr:spPr>
        <a:xfrm>
          <a:off x="12795412" y="233485"/>
          <a:ext cx="822960" cy="652692"/>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reu/Documents/Vertas/Ferramenta%2020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breu/Documents/Vertas/Waste%20Sector%20GHG%20Protocol_Calculation%20Tool_Version%205_October%202013_1_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tualizações"/>
      <sheetName val="Listas"/>
      <sheetName val="Introdução"/>
      <sheetName val="Combustão estacionária"/>
      <sheetName val="Combustão móvel"/>
      <sheetName val="Emissões fugitivas"/>
      <sheetName val="Processos industriais"/>
      <sheetName val="Atividades de agricultura"/>
      <sheetName val="Mudança no uso do solo"/>
      <sheetName val="Resíduos sólidos"/>
      <sheetName val="Efluentes"/>
      <sheetName val="En. elétrica (localização)"/>
      <sheetName val="Perdas T&amp;D (abord. localização)"/>
      <sheetName val="Compra de Energia Térmica"/>
      <sheetName val="En. elétrica(escolha de compra)"/>
      <sheetName val="Perdas T&amp;D (escolha de compra)"/>
      <sheetName val="Categorias de Escopo 3"/>
      <sheetName val="Transp.&amp; Distribuição(Upstream)"/>
      <sheetName val="Resíduos sólidos da operação"/>
      <sheetName val="Efluentes gerados na operação"/>
      <sheetName val="Viagens a Negócios"/>
      <sheetName val="Deslocamento casa-trabalho"/>
      <sheetName val="Transp&amp;Distribuição(Downstream)"/>
      <sheetName val="Resumo"/>
      <sheetName val="Registro Público de Emissões"/>
      <sheetName val="Fatores de Emissão"/>
      <sheetName val="Fatores Variáveis"/>
      <sheetName val="Fugitivas - GEE não Quioto"/>
      <sheetName val="Aeroportos"/>
      <sheetName val="Fatores de conversão"/>
    </sheetNames>
    <sheetDataSet>
      <sheetData sheetId="0" refreshError="1"/>
      <sheetData sheetId="1">
        <row r="2">
          <cell r="BS2" t="str">
            <v>Selecione</v>
          </cell>
        </row>
        <row r="3">
          <cell r="BS3" t="str">
            <v>Queima em flare</v>
          </cell>
        </row>
        <row r="4">
          <cell r="BS4" t="str">
            <v>Geração de energia</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ow r="464">
          <cell r="E464">
            <v>25</v>
          </cell>
        </row>
        <row r="465">
          <cell r="E465">
            <v>298</v>
          </cell>
        </row>
      </sheetData>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 pas modifier-Do not modify"/>
      <sheetName val="Introduction"/>
      <sheetName val="Source Type List"/>
      <sheetName val="Méthodologie"/>
      <sheetName val="Transport"/>
      <sheetName val="Sorting-Transfer-Recycling"/>
      <sheetName val="AD-Methanisation"/>
      <sheetName val="Composting-Compostage"/>
      <sheetName val="Waste derived fuel-Comb. de sub"/>
      <sheetName val="MBT - TMB"/>
      <sheetName val="LFwithData "/>
      <sheetName val="Stockage-Landfill"/>
      <sheetName val="Thermal Treatment"/>
      <sheetName val="Evitées-Avoided"/>
      <sheetName val="Facteurs-Factors"/>
      <sheetName val="Recycling factors"/>
      <sheetName val="Source Type List with results"/>
      <sheetName val="Synthèse-Synthesis"/>
      <sheetName val="About-A propos"/>
    </sheetNames>
    <sheetDataSet>
      <sheetData sheetId="0">
        <row r="2">
          <cell r="B2" t="str">
            <v>Protocole de quantification des émissions de GES liées à la gestion des déchets</v>
          </cell>
          <cell r="C2" t="str">
            <v>Protocol for the quantification of GHG emissions from waste management activities</v>
          </cell>
        </row>
        <row r="3">
          <cell r="B3" t="str">
            <v>Choose your langage / choisissez votre langue</v>
          </cell>
          <cell r="C3" t="str">
            <v>Choisissez votre langue / choose your langage:</v>
          </cell>
        </row>
        <row r="4">
          <cell r="B4" t="str">
            <v>Cet outil Excel accompagne le Protocole préparé par Entreprises pour l'Environnement afin d'assister un exploitant dans son inventaire des émissions de gaz à effet de serre liées à la gestion des déchets.</v>
          </cell>
          <cell r="C4" t="str">
            <v>This Excel tool is appended to the Protocol prepared by Entreprises pour l'Environnement to assist operators in their greenhouse gas emissions inventory associated with waste management activities.</v>
          </cell>
        </row>
        <row r="5">
          <cell r="B5" t="str">
            <v>Cet outil doit être utilisé dans le cadre d'un inventaire effectué selon les principes décrits dans le Protocole pdf auquel ce fichier est annexé.</v>
          </cell>
          <cell r="C5" t="str">
            <v>This tool has to be used as part of an inventory done according to the principles described in the PDF file Protocol.</v>
          </cell>
        </row>
        <row r="6">
          <cell r="B6" t="str">
            <v xml:space="preserve">Cet outil Excel comporte les onglets suivants : </v>
          </cell>
          <cell r="C6" t="str">
            <v xml:space="preserve">This Excel tool is made of the following sheets: </v>
          </cell>
        </row>
        <row r="7">
          <cell r="B7" t="str">
            <v>Transport et collecte</v>
          </cell>
          <cell r="C7" t="str">
            <v>Transport and collection</v>
          </cell>
        </row>
        <row r="8">
          <cell r="B8" t="str">
            <v>Comb &amp; Indirectes</v>
          </cell>
          <cell r="C8" t="str">
            <v>Comb &amp; Indirect</v>
          </cell>
        </row>
        <row r="9">
          <cell r="B9" t="str">
            <v xml:space="preserve">Stockage </v>
          </cell>
          <cell r="C9" t="str">
            <v>Landfilling</v>
          </cell>
        </row>
        <row r="10">
          <cell r="B10" t="str">
            <v>Traitements thermiques</v>
          </cell>
          <cell r="C10" t="str">
            <v>Thermal treatment</v>
          </cell>
        </row>
        <row r="11">
          <cell r="B11" t="str">
            <v>Eaux Usées</v>
          </cell>
          <cell r="C11" t="str">
            <v>Wastewater</v>
          </cell>
        </row>
        <row r="12">
          <cell r="B12" t="str">
            <v>Evitées</v>
          </cell>
          <cell r="C12" t="str">
            <v>Avoided</v>
          </cell>
        </row>
        <row r="13">
          <cell r="B13" t="str">
            <v>Facteurs</v>
          </cell>
          <cell r="C13" t="str">
            <v>Factors</v>
          </cell>
        </row>
        <row r="14">
          <cell r="B14" t="str">
            <v>Synthèse</v>
          </cell>
          <cell r="C14" t="str">
            <v>Synthesis</v>
          </cell>
        </row>
        <row r="15">
          <cell r="B15" t="str">
            <v>Emissions liées à la collecte et au transport des déchets</v>
          </cell>
          <cell r="C15" t="str">
            <v>Emissions due to waste collection and transport</v>
          </cell>
        </row>
        <row r="16">
          <cell r="B16" t="str">
            <v>Emissions liées à la consommation de combustibles d'électricité et d'énergie thermique</v>
          </cell>
          <cell r="C16" t="str">
            <v>Emissions due to fuel, electricity or thermic energy consumption</v>
          </cell>
        </row>
        <row r="17">
          <cell r="B17" t="str">
            <v xml:space="preserve">Spécifications pour un calcul d'émissions d'un centre de stockage </v>
          </cell>
          <cell r="C17" t="str">
            <v>Specifications for the emissions calculations for landfilling</v>
          </cell>
        </row>
        <row r="18">
          <cell r="B18" t="str">
            <v>Emissions liées aux traitements thermiques des déchets (tous types)</v>
          </cell>
          <cell r="C18" t="str">
            <v>Emissions due to waste thermal treatment (all types)</v>
          </cell>
        </row>
        <row r="19">
          <cell r="B19" t="str">
            <v>Emissions liées au traitement des eaux usées</v>
          </cell>
          <cell r="C19" t="str">
            <v>Emissions due to wastewater treatment</v>
          </cell>
        </row>
        <row r="20">
          <cell r="B20" t="str">
            <v>Emissions evitées lors d'un des traitements listés ci-dessus</v>
          </cell>
          <cell r="C20" t="str">
            <v>Emissions avoided during one of the above activities</v>
          </cell>
        </row>
        <row r="21">
          <cell r="B21" t="str">
            <v>Facteurs indicatifs pouvant être employés</v>
          </cell>
          <cell r="C21" t="str">
            <v>Indicative factors that can be used</v>
          </cell>
        </row>
        <row r="22">
          <cell r="B22" t="str">
            <v>Feuille récapitulative de l'inventaire</v>
          </cell>
          <cell r="C22" t="str">
            <v>Inventory recapitulative sheet</v>
          </cell>
        </row>
        <row r="23">
          <cell r="B23" t="str">
            <v>Des informations automatiques sont fournies dans les différentes cellules, permettant de remplir le formulaire.</v>
          </cell>
          <cell r="C23" t="str">
            <v>Automatic information will be provided in certain cells, helping to complete the form.</v>
          </cell>
        </row>
        <row r="24">
          <cell r="B24" t="str">
            <v xml:space="preserve">Contact EpE : </v>
          </cell>
          <cell r="C24" t="str">
            <v xml:space="preserve">EpE Contact: </v>
          </cell>
        </row>
        <row r="25">
          <cell r="B25" t="str">
            <v>50 rue de la Chaussée d'Antin</v>
          </cell>
          <cell r="C25" t="str">
            <v>50 rue de la Chaussée d'Antin</v>
          </cell>
        </row>
        <row r="26">
          <cell r="B26" t="str">
            <v>Paris 75009</v>
          </cell>
          <cell r="C26" t="str">
            <v>Paris 75009</v>
          </cell>
        </row>
        <row r="27">
          <cell r="B27" t="str">
            <v>Tél : + (33) 1 49 70 98 50</v>
          </cell>
          <cell r="C27" t="str">
            <v>Tél : + (33) 1 49 70 98 50</v>
          </cell>
        </row>
        <row r="28">
          <cell r="B28" t="str">
            <v>Fax : + (33) 1 49 70 02 50</v>
          </cell>
          <cell r="C28" t="str">
            <v>Fax : + (33) 1 49 70 02 50</v>
          </cell>
        </row>
        <row r="29">
          <cell r="B29" t="str">
            <v>E-mail : contact@epe-asso.org</v>
          </cell>
          <cell r="C29" t="str">
            <v>E-mail : contact@epe-asso.org</v>
          </cell>
        </row>
        <row r="30">
          <cell r="B30" t="str">
            <v>http://www.epe-asso.org</v>
          </cell>
          <cell r="C30" t="str">
            <v>http://www.epe-asso.org</v>
          </cell>
        </row>
        <row r="31">
          <cell r="B31" t="str">
            <v>Décembre 2008</v>
          </cell>
          <cell r="C31" t="str">
            <v>December 2008</v>
          </cell>
        </row>
        <row r="32">
          <cell r="B32" t="str">
            <v>Facteurs recyclage</v>
          </cell>
          <cell r="C32" t="str">
            <v>Recycling factors</v>
          </cell>
        </row>
        <row r="33">
          <cell r="B33" t="str">
            <v>Facteurs indicatifs pour le calcul des émissions évitées liées à la valorisation matière</v>
          </cell>
          <cell r="C33" t="str">
            <v>Indicative factors for avoided emissions related to material  recovery</v>
          </cell>
        </row>
        <row r="34">
          <cell r="B34" t="str">
            <v>TMB</v>
          </cell>
          <cell r="C34" t="str">
            <v>MBT</v>
          </cell>
        </row>
        <row r="35">
          <cell r="B35" t="str">
            <v>Attention: Ce protocole est un outil aidant à la quantification d'émissions de gaz à effet de serre pour le secteur des déchets sur une période donnée d'un an en général. Ainsi, les quantités de méthane émis par les installations de stockage de déchets non dangereux sont uniquement celles de la période considérée. La valeur n'inclut pas les émissions à venir qui résulteront de la progressive dégradation des déchets enfouis dans l'année et les années précédentes. Ainsi, l'évaluation de la quantité de méthane émise issue du Protocole ne doit pas être utilisée dans le cadre d'une comparaison d'impact carbone multifilière.</v>
          </cell>
          <cell r="C35" t="str">
            <v>Attention: This Protocol is a tool for quantifying and reporting a greenhouse gas inventory from waste activities over a given timeframe, typically a year. In this regard, the landfill methane emissions reported are only those estimated to be emitted in the given reporting year. The reported value does not include the future emissions resulting from the degradation of waste landfilled in and prior to the reporting year. Therefore, the reported landfill methane values based on this Protocol should not be used in the context of a comparison of greenhouse gas footprint of various waste technologies.</v>
          </cell>
        </row>
        <row r="36">
          <cell r="B36" t="str">
            <v>Emissions de CO2 biogénique</v>
          </cell>
          <cell r="C36" t="str">
            <v>Biogenic CO2 emissions</v>
          </cell>
        </row>
        <row r="37">
          <cell r="B37" t="str">
            <v>POUR INFORMATION UNIQUEMENT - Emissions de CO2 biogénique</v>
          </cell>
          <cell r="C37" t="str">
            <v xml:space="preserve">FOR INFORMATION ONLY - Biogenic CO2 emissions
</v>
          </cell>
        </row>
        <row r="38">
          <cell r="C38">
            <v>37</v>
          </cell>
        </row>
        <row r="39">
          <cell r="C39">
            <v>38</v>
          </cell>
        </row>
        <row r="40">
          <cell r="C40">
            <v>39</v>
          </cell>
        </row>
        <row r="41">
          <cell r="C41">
            <v>40</v>
          </cell>
        </row>
        <row r="42">
          <cell r="C42">
            <v>41</v>
          </cell>
        </row>
        <row r="43">
          <cell r="C43">
            <v>42</v>
          </cell>
        </row>
        <row r="44">
          <cell r="C44">
            <v>43</v>
          </cell>
        </row>
        <row r="45">
          <cell r="C45">
            <v>44</v>
          </cell>
        </row>
        <row r="46">
          <cell r="C46">
            <v>45</v>
          </cell>
        </row>
        <row r="47">
          <cell r="C47">
            <v>46</v>
          </cell>
        </row>
        <row r="48">
          <cell r="C48">
            <v>47</v>
          </cell>
        </row>
        <row r="49">
          <cell r="C49">
            <v>48</v>
          </cell>
        </row>
        <row r="50">
          <cell r="C50">
            <v>49</v>
          </cell>
        </row>
        <row r="51">
          <cell r="B51" t="str">
            <v xml:space="preserve"> - Emissions de GES liées aux transports -</v>
          </cell>
          <cell r="C51" t="str">
            <v xml:space="preserve"> - GHG emissions due to transports -</v>
          </cell>
        </row>
        <row r="52">
          <cell r="B52" t="str">
            <v>Ces tableaux sont extraits du Module GES Transports élaboré conjointement par EpE et l'ADEME</v>
          </cell>
          <cell r="C52" t="str">
            <v>These tables are extracted for the GHG emissions calculation tool from transport activities developped together by EpE and ADEME</v>
          </cell>
        </row>
        <row r="53">
          <cell r="B53" t="str">
            <v>CODE COULEURS :</v>
          </cell>
          <cell r="C53" t="str">
            <v>COLOUR CODE:</v>
          </cell>
        </row>
        <row r="54">
          <cell r="B54" t="str">
            <v>Emissions directes des moyens de transport détenus en propre ou opérés par l'entité effectuant le reporting</v>
          </cell>
          <cell r="C54" t="str">
            <v>Direct emissions from transportation vehicles owned or operated by the reporting entity</v>
          </cell>
        </row>
        <row r="55">
          <cell r="B55" t="str">
            <v>Emissions associées à la production d'électricité consommée par des véhicules électriques ou hybrides opérés par l'entité</v>
          </cell>
          <cell r="C55" t="str">
            <v>Emissions due to the production of electricity that is used by the electric or hybrid vehicles operated by the entity</v>
          </cell>
        </row>
        <row r="56">
          <cell r="B56" t="str">
            <v>Emissions des moyens de transport détenus ou opérés par un sous-traitant de l'entité effectuant le reporting</v>
          </cell>
          <cell r="C56" t="str">
            <v>Emissions from transportation vehicles owned or operated by a subcontractor of the reporting entity</v>
          </cell>
        </row>
        <row r="57">
          <cell r="B57" t="str">
            <v xml:space="preserve">Cet onglet doit être utilisé pour déterminer les émissions liées au transport. Doivent être reportées  les émissions directes liées aux moyens détenus ou opérés par l'entité, les émissions indirectes des véhicules électriques ainsi que les émissions indirectes provenant des opérations de transport sous-traitées. Les 3 types d'émissions pré-cités ne doivent pas être additionés.
L'utilisateur, en fonction des données dont il dispose, pourra faire usage d'un ou plusieurs des tableaux proposés ci-dessous. 
Si un moyen de transport n'est pas indiqué (transport ferroviaire, maritime ou fluvial par exemple), ou si l'utilisateur souhaite utiliser le modèle permettant d'estimer les tonnes.km, il est invité à utiliser le Module GES Transports EpE / ADEME. </v>
          </cell>
          <cell r="C57" t="str">
            <v xml:space="preserve">This sheet has to be used to assess emissions from transport. Direct emissions from vehicles owned or operated by the entity, indirect emissions from electric vehicles and indirect emissions from contracted transport operations should also be reported. The 3 emission-types listed above should not be added together.
According to the available data, the user could use one or several of the following tables. 
If a mean of transport is not mentioned (railway, shipping, river transport for example), or if the user wishes to use a model that allows estimation of  tonnes.km, he is invited to use the GHG emissions calculation tool developped by EpE / ADEME. </v>
          </cell>
        </row>
        <row r="58">
          <cell r="B58" t="str">
            <v>1 - Calcul à partir des achats de carburants (unité : L)</v>
          </cell>
          <cell r="C58" t="str">
            <v>1 - Calculated from fuels purchased (unit: L)</v>
          </cell>
        </row>
        <row r="59">
          <cell r="B59" t="str">
            <v>Consommation</v>
          </cell>
          <cell r="C59" t="str">
            <v>Consumption</v>
          </cell>
        </row>
        <row r="60">
          <cell r="B60" t="str">
            <v>kg CO2-e</v>
          </cell>
          <cell r="C60" t="str">
            <v>kg CO2-e</v>
          </cell>
        </row>
        <row r="61">
          <cell r="B61" t="str">
            <v>t</v>
          </cell>
          <cell r="C61" t="str">
            <v>t</v>
          </cell>
        </row>
        <row r="62">
          <cell r="B62" t="str">
            <v>(litre)</v>
          </cell>
          <cell r="C62" t="str">
            <v>(litre)</v>
          </cell>
        </row>
        <row r="63">
          <cell r="B63" t="str">
            <v>par litre</v>
          </cell>
          <cell r="C63" t="str">
            <v>per litre</v>
          </cell>
        </row>
        <row r="64">
          <cell r="B64" t="str">
            <v>CO2-e</v>
          </cell>
          <cell r="C64" t="str">
            <v>CO2-e</v>
          </cell>
        </row>
        <row r="65">
          <cell r="B65" t="str">
            <v>moyens détenus,</v>
          </cell>
          <cell r="C65" t="str">
            <v>owned,</v>
          </cell>
        </row>
        <row r="66">
          <cell r="B66" t="str">
            <v>contrôlés ou</v>
          </cell>
          <cell r="C66" t="str">
            <v xml:space="preserve">
controlled or </v>
          </cell>
        </row>
        <row r="67">
          <cell r="B67" t="str">
            <v>opérés</v>
          </cell>
          <cell r="C67" t="str">
            <v xml:space="preserve">operated </v>
          </cell>
        </row>
        <row r="68">
          <cell r="B68" t="str">
            <v>activité externalisée</v>
          </cell>
          <cell r="C68" t="str">
            <v>outsourced goods</v>
          </cell>
        </row>
        <row r="69">
          <cell r="B69" t="str">
            <v>de transport</v>
          </cell>
          <cell r="C69" t="str">
            <v xml:space="preserve"> transportation</v>
          </cell>
        </row>
        <row r="70">
          <cell r="B70" t="str">
            <v>de marchandises</v>
          </cell>
          <cell r="C70" t="str">
            <v xml:space="preserve"> activity</v>
          </cell>
        </row>
        <row r="71">
          <cell r="B71" t="str">
            <v>Combustible</v>
          </cell>
          <cell r="C71" t="str">
            <v>Fuel</v>
          </cell>
        </row>
        <row r="72">
          <cell r="B72" t="str">
            <v>Supercarburant / Essence à la pompe</v>
          </cell>
          <cell r="C72" t="str">
            <v>Gasoline</v>
          </cell>
        </row>
        <row r="73">
          <cell r="B73" t="str">
            <v>Gasoil routier</v>
          </cell>
          <cell r="C73" t="str">
            <v>Diesel oil</v>
          </cell>
        </row>
        <row r="74">
          <cell r="B74" t="str">
            <v>GPL</v>
          </cell>
          <cell r="C74" t="str">
            <v>LPG</v>
          </cell>
        </row>
        <row r="75">
          <cell r="B75" t="str">
            <v>Autre carburant fossile</v>
          </cell>
          <cell r="C75" t="str">
            <v>Other fossil fuel</v>
          </cell>
        </row>
        <row r="76">
          <cell r="B76" t="str">
            <v>Total</v>
          </cell>
          <cell r="C76" t="str">
            <v>Total</v>
          </cell>
        </row>
        <row r="77">
          <cell r="B77" t="str">
            <v>2 - Calcul à partir des achats de carburants  (unité : tonnes)</v>
          </cell>
          <cell r="C77" t="str">
            <v>2 - Calculated from fuels purchased (unit: tonnes)</v>
          </cell>
        </row>
        <row r="78">
          <cell r="B78" t="str">
            <v>(tonnes)</v>
          </cell>
          <cell r="C78" t="str">
            <v>(tons)</v>
          </cell>
        </row>
        <row r="79">
          <cell r="B79" t="str">
            <v>par tonne</v>
          </cell>
          <cell r="C79" t="str">
            <v>per ton</v>
          </cell>
        </row>
        <row r="80">
          <cell r="B80" t="str">
            <v>Gaz naturel</v>
          </cell>
          <cell r="C80" t="str">
            <v>Natural gas</v>
          </cell>
        </row>
        <row r="81">
          <cell r="B81" t="str">
            <v>3 - Calcul à partir des achats d'électricité</v>
          </cell>
          <cell r="C81" t="str">
            <v>3 - Calculated from electricity purchased</v>
          </cell>
        </row>
        <row r="82">
          <cell r="B82" t="str">
            <v>(MWh)</v>
          </cell>
          <cell r="C82" t="str">
            <v>(MWh)</v>
          </cell>
        </row>
        <row r="83">
          <cell r="B83" t="str">
            <v>4 - Calcul à partir des véhicules.km et des consommations moyennes (fret routier )</v>
          </cell>
          <cell r="C83" t="str">
            <v>4 - Calculated from vehicles.km and average consumptions (road freightage)</v>
          </cell>
        </row>
        <row r="84">
          <cell r="B84" t="str">
            <v>véhicule.km</v>
          </cell>
          <cell r="C84" t="str">
            <v>vehicle.km</v>
          </cell>
        </row>
        <row r="85">
          <cell r="B85" t="str">
            <v>Désignation du véhicule</v>
          </cell>
          <cell r="C85" t="str">
            <v>Vehicle's designation</v>
          </cell>
        </row>
        <row r="86">
          <cell r="B86" t="str">
            <v>Véhicule essence, 1</v>
          </cell>
          <cell r="C86" t="str">
            <v>Gasoline vehicle, 1</v>
          </cell>
        </row>
        <row r="87">
          <cell r="B87" t="str">
            <v>Véhicule essence, 2</v>
          </cell>
          <cell r="C87" t="str">
            <v>Gasoline vehicle, 2</v>
          </cell>
        </row>
        <row r="88">
          <cell r="B88" t="str">
            <v>Véhicule essence, 3</v>
          </cell>
          <cell r="C88" t="str">
            <v>Gasoline vehicle, 3</v>
          </cell>
        </row>
        <row r="89">
          <cell r="B89" t="str">
            <v>Véhicule diesel, 1</v>
          </cell>
          <cell r="C89" t="str">
            <v>Diesel oil vehicle, 1</v>
          </cell>
        </row>
        <row r="90">
          <cell r="B90" t="str">
            <v>Véhicule diesel, 2</v>
          </cell>
          <cell r="C90" t="str">
            <v>Diesel oil vehicle, 2</v>
          </cell>
        </row>
        <row r="91">
          <cell r="B91" t="str">
            <v>Véhicule diesel, 3</v>
          </cell>
          <cell r="C91" t="str">
            <v>Diesel oil vehicle, 3</v>
          </cell>
        </row>
        <row r="92">
          <cell r="B92" t="str">
            <v>Autre véhicule, 1</v>
          </cell>
          <cell r="C92" t="str">
            <v>Other vehicle, 1</v>
          </cell>
        </row>
        <row r="93">
          <cell r="B93" t="str">
            <v>Autre véhicule, 2</v>
          </cell>
          <cell r="C93" t="str">
            <v>Other vehicle, 2</v>
          </cell>
        </row>
        <row r="94">
          <cell r="B94" t="str">
            <v>Autre véhicule, 3</v>
          </cell>
          <cell r="C94" t="str">
            <v>Other vehicle, 3</v>
          </cell>
        </row>
        <row r="95">
          <cell r="B95" t="str">
            <v>litres</v>
          </cell>
          <cell r="C95" t="str">
            <v>litres</v>
          </cell>
        </row>
        <row r="96">
          <cell r="B96" t="str">
            <v>aux 100</v>
          </cell>
          <cell r="C96" t="str">
            <v>per 100 km</v>
          </cell>
        </row>
        <row r="97">
          <cell r="B97" t="str">
            <v>kg CO2-e</v>
          </cell>
          <cell r="C97" t="str">
            <v>kg CO2-e</v>
          </cell>
        </row>
        <row r="98">
          <cell r="B98" t="str">
            <v>par litre</v>
          </cell>
          <cell r="C98" t="str">
            <v>per litre</v>
          </cell>
        </row>
        <row r="99">
          <cell r="B99" t="str">
            <v>t</v>
          </cell>
          <cell r="C99" t="str">
            <v>t</v>
          </cell>
        </row>
        <row r="100">
          <cell r="B100" t="str">
            <v>CO2-e</v>
          </cell>
          <cell r="C100" t="str">
            <v>CO2-e</v>
          </cell>
        </row>
        <row r="101">
          <cell r="B101" t="str">
            <v>EMISSIONS PAR ORIGINE</v>
          </cell>
          <cell r="C101" t="str">
            <v>EMISSIONS BY ORIGIN</v>
          </cell>
        </row>
        <row r="102">
          <cell r="B102" t="str">
            <v>Emissions directes des moyens de transport détenus en propre ou opérés par l'entité effectuant le reporting</v>
          </cell>
          <cell r="C102" t="str">
            <v>Direct emissions from transportation vehicles owned or operated by the reporting entity</v>
          </cell>
        </row>
        <row r="103">
          <cell r="B103" t="str">
            <v>Emissions associées à la production d'électricité consommée par des véhicules électriques ou hybrides opérés par l'entité</v>
          </cell>
          <cell r="C103" t="str">
            <v>Emissions due to the production of electricity that is used by the electric or hybrid vehicles operated by the entity</v>
          </cell>
        </row>
        <row r="104">
          <cell r="B104" t="str">
            <v>Emissions des moyens de transport détenus ou opérés par un sous-traitant de l'entité effectuant le reporting</v>
          </cell>
          <cell r="C104" t="str">
            <v>Emissions of transport means owned or operated by a sub-contractor of the entity performing the inventory</v>
          </cell>
        </row>
        <row r="105">
          <cell r="B105" t="str">
            <v>Total émissions</v>
          </cell>
          <cell r="C105" t="str">
            <v>Total emissions</v>
          </cell>
        </row>
        <row r="106">
          <cell r="B106" t="str">
            <v>tonnes CO2-e</v>
          </cell>
          <cell r="C106" t="str">
            <v>tonnes CO2-e</v>
          </cell>
        </row>
        <row r="107">
          <cell r="B107" t="str">
            <v>→ Synthèse</v>
          </cell>
          <cell r="C107" t="str">
            <v>→ Global balance</v>
          </cell>
        </row>
        <row r="108">
          <cell r="B108" t="str">
            <v>France, usage Transport</v>
          </cell>
          <cell r="C108" t="str">
            <v>France, Transport use</v>
          </cell>
        </row>
        <row r="109">
          <cell r="B109" t="str">
            <v>Consommation</v>
          </cell>
          <cell r="C109" t="str">
            <v>Average fuel</v>
          </cell>
        </row>
        <row r="110">
          <cell r="B110" t="str">
            <v>moyenne</v>
          </cell>
          <cell r="C110" t="str">
            <v>consumption</v>
          </cell>
        </row>
        <row r="111">
          <cell r="B111" t="str">
            <v>Emissions directes des véhicules possédés, contrôlés ou exploités par l'entité réalisant le reporting</v>
          </cell>
          <cell r="C111" t="str">
            <v>Direct emissions from transportation vehicles owned, controlled or operated by the reporting entity</v>
          </cell>
        </row>
        <row r="112">
          <cell r="B112" t="str">
            <v>Emissions indirectes liées à la production de l'électricité utilisée par les véhicules électriques ou hybrides exploités par l'entité</v>
          </cell>
          <cell r="C112" t="str">
            <v>Indirect emissions due to the production of electricity that is used by the electric or hybrid vehicles operated by the entity</v>
          </cell>
        </row>
        <row r="113">
          <cell r="B113" t="str">
            <v>Emissions directes &amp; indirectes</v>
          </cell>
          <cell r="C113" t="str">
            <v>Direct and indirect emissions</v>
          </cell>
        </row>
        <row r="114">
          <cell r="C114">
            <v>113</v>
          </cell>
        </row>
        <row r="115">
          <cell r="C115">
            <v>114</v>
          </cell>
        </row>
        <row r="116">
          <cell r="C116">
            <v>115</v>
          </cell>
        </row>
        <row r="117">
          <cell r="C117">
            <v>116</v>
          </cell>
        </row>
        <row r="118">
          <cell r="C118">
            <v>117</v>
          </cell>
        </row>
        <row r="119">
          <cell r="C119">
            <v>118</v>
          </cell>
        </row>
        <row r="120">
          <cell r="C120">
            <v>119</v>
          </cell>
        </row>
        <row r="121">
          <cell r="C121">
            <v>120</v>
          </cell>
        </row>
        <row r="122">
          <cell r="C122">
            <v>121</v>
          </cell>
        </row>
        <row r="123">
          <cell r="C123">
            <v>122</v>
          </cell>
        </row>
        <row r="124">
          <cell r="C124">
            <v>123</v>
          </cell>
        </row>
        <row r="125">
          <cell r="C125">
            <v>124</v>
          </cell>
        </row>
        <row r="126">
          <cell r="C126">
            <v>125</v>
          </cell>
        </row>
        <row r="127">
          <cell r="C127">
            <v>126</v>
          </cell>
        </row>
        <row r="128">
          <cell r="C128">
            <v>127</v>
          </cell>
        </row>
        <row r="129">
          <cell r="C129">
            <v>128</v>
          </cell>
        </row>
        <row r="130">
          <cell r="C130">
            <v>129</v>
          </cell>
        </row>
        <row r="131">
          <cell r="C131">
            <v>130</v>
          </cell>
        </row>
        <row r="132">
          <cell r="B132" t="str">
            <v>EMISSIONS DE GAZ A EFFET DE SERRE DIRECTES (CONSOMMATION DE COMBUSTIBLE) ET INDIRECTES (CONSOMMATION D'ELECTRICITE ET ENERGIE THERMIQUE)
(NON SPECIFIQUES A LA FILIERE)</v>
          </cell>
          <cell r="C132" t="str">
            <v>DIRECT GREENHOUSE GAS EMISSIONS (FUEL CONSUMPTION) AND INDIRECT EMISSIONS (ELECTRICITY AND THERMAL ENERGY CONSUMPTION)
(NOT SECTOR SPECIFIC)</v>
          </cell>
        </row>
        <row r="133">
          <cell r="B133" t="str">
            <v>CODE COULEURS :</v>
          </cell>
          <cell r="C133" t="str">
            <v>COLOUR CODE:</v>
          </cell>
        </row>
        <row r="134">
          <cell r="B134" t="str">
            <v>Valeurs par défaut</v>
          </cell>
          <cell r="C134" t="str">
            <v>Default values</v>
          </cell>
        </row>
        <row r="135">
          <cell r="B135" t="str">
            <v>Valeurs calculées</v>
          </cell>
          <cell r="C135" t="str">
            <v>Calculated values</v>
          </cell>
        </row>
        <row r="136">
          <cell r="B136" t="str">
            <v>Valeurs à saisir</v>
          </cell>
          <cell r="C136" t="str">
            <v>Values to enter</v>
          </cell>
        </row>
        <row r="137">
          <cell r="B137" t="str">
            <v xml:space="preserve">Ce module s'adresse à l'ensemble des consommations d'énergie, quelle que soit la filière de traitement suivie : il peut s'agir des consommations de combustible en appoint sur les incinérateurs, pour le fonctionnement de moteurs ou turbines sur des CSD, l'utilisation de fuel, de gaz ou d'électricité sur des stations de traitement des eaux usées, etc. Il appartient à l'utilisateur de s'assurer  de l'exhaustivité des points de consommation de combustibles pris en compte. </v>
          </cell>
          <cell r="C137" t="str">
            <v>This sheet is intended for all energy consumption, whatever the waste treatment method is: it can be additional fuel consumption for incinerators or for engines or turbines in landfills, the use of liquid fuel, gas or electricity in wastewater treatment plants, etc. It is up to the user to make sure that all the fuel consuming points are taken into account.</v>
          </cell>
        </row>
        <row r="138">
          <cell r="B138" t="str">
            <v>→ Emissions liées aux installations de combustion fixes et aux équipements mobiles sur site</v>
          </cell>
          <cell r="C138" t="str">
            <v>→ Emissions from permanent combustion facilities and on-site mobile equipment</v>
          </cell>
        </row>
        <row r="139">
          <cell r="B139" t="str">
            <v>1 - Calcul à partir des tonnages de combustibles</v>
          </cell>
          <cell r="C139" t="str">
            <v>1 - Calculation from fuels' tonnages</v>
          </cell>
        </row>
        <row r="140">
          <cell r="B140" t="str">
            <v>Type de combustible</v>
          </cell>
          <cell r="C140" t="str">
            <v>Fuel type</v>
          </cell>
        </row>
        <row r="141">
          <cell r="B141" t="str">
            <v>Fioul domestique</v>
          </cell>
          <cell r="C141" t="str">
            <v>Gas oil</v>
          </cell>
        </row>
        <row r="142">
          <cell r="B142" t="str">
            <v>Gasoil</v>
          </cell>
          <cell r="C142" t="str">
            <v xml:space="preserve">Diesel </v>
          </cell>
        </row>
        <row r="143">
          <cell r="B143" t="str">
            <v>Fioul lourd</v>
          </cell>
          <cell r="C143" t="str">
            <v>Heavy Fuel oil</v>
          </cell>
        </row>
        <row r="144">
          <cell r="B144" t="str">
            <v>Gaz naturel</v>
          </cell>
          <cell r="C144" t="str">
            <v>Natural gas</v>
          </cell>
        </row>
        <row r="145">
          <cell r="B145" t="str">
            <v>Autres (à préciser)</v>
          </cell>
          <cell r="C145" t="str">
            <v>Others (to be specified)</v>
          </cell>
        </row>
        <row r="146">
          <cell r="B146" t="str">
            <v>Quantité utilisée</v>
          </cell>
          <cell r="C146" t="str">
            <v>Used quantities</v>
          </cell>
        </row>
        <row r="147">
          <cell r="B147" t="str">
            <v>Facteur d'émission</v>
          </cell>
          <cell r="C147" t="str">
            <v>Emission factor</v>
          </cell>
        </row>
        <row r="148">
          <cell r="B148" t="str">
            <v>Emissions brutes prises en compte</v>
          </cell>
          <cell r="C148" t="str">
            <v>CO2 gross accounting</v>
          </cell>
        </row>
        <row r="149">
          <cell r="B149" t="str">
            <v>Prise en compte</v>
          </cell>
          <cell r="C149" t="str">
            <v>Accounting</v>
          </cell>
        </row>
        <row r="150">
          <cell r="B150" t="str">
            <v>Emissions directes</v>
          </cell>
          <cell r="C150" t="str">
            <v>Direct emissions</v>
          </cell>
        </row>
        <row r="151">
          <cell r="B151" t="str">
            <v>brutes de CO2</v>
          </cell>
          <cell r="C151" t="str">
            <v>direct emissions</v>
          </cell>
        </row>
        <row r="152">
          <cell r="B152" t="str">
            <v>Emissions directes</v>
          </cell>
          <cell r="C152" t="str">
            <v>direct emissions</v>
          </cell>
        </row>
        <row r="153">
          <cell r="B153" t="str">
            <v>tonnes</v>
          </cell>
          <cell r="C153" t="str">
            <v>tons</v>
          </cell>
        </row>
        <row r="154">
          <cell r="B154" t="str">
            <v>2 - Calcul à partir des volumes de combustibles</v>
          </cell>
          <cell r="C154" t="str">
            <v>2 - Calculation from fuels' volume</v>
          </cell>
        </row>
        <row r="155">
          <cell r="B155" t="str">
            <v>(0 ou 100 %)</v>
          </cell>
          <cell r="C155" t="str">
            <v>(0 or 100%)</v>
          </cell>
        </row>
        <row r="156">
          <cell r="B156" t="str">
            <v>* les facteurs par défaut sont ceux du GIEC - Vous pouvez les modifier (voir autres facteurs à l'onglet 'Facteurs')</v>
          </cell>
          <cell r="C156" t="str">
            <v>* default factors are the GIEC factors. These can be revised (see other factors in the 'Factors' thumbnail)</v>
          </cell>
        </row>
        <row r="157">
          <cell r="B157" t="str">
            <v>Emissions indirectes</v>
          </cell>
          <cell r="C157" t="str">
            <v>Indirect emissions</v>
          </cell>
        </row>
        <row r="158">
          <cell r="B158" t="str">
            <v>4 - Emissions indirectes liées à la consommation d'électricité ou de chaleur achetée</v>
          </cell>
          <cell r="C158" t="str">
            <v>4 - Indirect emissions from electricity or purchased heat consumption</v>
          </cell>
        </row>
        <row r="159">
          <cell r="B159" t="str">
            <v>Zone de production de l'électricité</v>
          </cell>
          <cell r="C159" t="str">
            <v xml:space="preserve">Consumed electricity </v>
          </cell>
        </row>
        <row r="160">
          <cell r="B160" t="str">
            <v xml:space="preserve"> ou de la chaleur consommée</v>
          </cell>
          <cell r="C160" t="str">
            <v>or heat production area</v>
          </cell>
        </row>
        <row r="161">
          <cell r="B161" t="str">
            <v>* voir les facteurs proposés à l'onglet 'Facteurs'</v>
          </cell>
          <cell r="C161" t="str">
            <v>* see factors given in the 'Factors' tab</v>
          </cell>
        </row>
        <row r="162">
          <cell r="B162" t="str">
            <v>Emissions indirectes</v>
          </cell>
          <cell r="C162" t="str">
            <v>Indirect emissions</v>
          </cell>
        </row>
        <row r="163">
          <cell r="B163" t="str">
            <v>Emissions directes de CO2</v>
          </cell>
          <cell r="C163" t="str">
            <v>Direct CO2 emissions</v>
          </cell>
        </row>
        <row r="164">
          <cell r="B164" t="str">
            <v>Emissions indirectes brutes</v>
          </cell>
          <cell r="C164" t="str">
            <v>Indirect gross emissions</v>
          </cell>
        </row>
        <row r="165">
          <cell r="B165" t="str">
            <v>Emissions de CO2 biogénique des installations de combustion fixes et des équipements mobiles sur site</v>
          </cell>
          <cell r="C165" t="str">
            <v>Biogenic CO2 emissions from permanent combustion facilities and on-site mobile equipment</v>
          </cell>
        </row>
        <row r="166">
          <cell r="C166">
            <v>165</v>
          </cell>
        </row>
        <row r="167">
          <cell r="C167">
            <v>166</v>
          </cell>
        </row>
        <row r="168">
          <cell r="C168">
            <v>167</v>
          </cell>
        </row>
        <row r="169">
          <cell r="C169">
            <v>168</v>
          </cell>
        </row>
        <row r="170">
          <cell r="C170">
            <v>169</v>
          </cell>
        </row>
        <row r="171">
          <cell r="C171">
            <v>170</v>
          </cell>
        </row>
        <row r="172">
          <cell r="C172">
            <v>171</v>
          </cell>
        </row>
        <row r="173">
          <cell r="C173">
            <v>172</v>
          </cell>
        </row>
        <row r="174">
          <cell r="C174">
            <v>173</v>
          </cell>
        </row>
        <row r="175">
          <cell r="C175">
            <v>174</v>
          </cell>
        </row>
        <row r="176">
          <cell r="C176">
            <v>175</v>
          </cell>
        </row>
        <row r="177">
          <cell r="C177">
            <v>176</v>
          </cell>
        </row>
        <row r="178">
          <cell r="C178">
            <v>177</v>
          </cell>
        </row>
        <row r="179">
          <cell r="C179">
            <v>178</v>
          </cell>
        </row>
        <row r="180">
          <cell r="C180">
            <v>179</v>
          </cell>
        </row>
        <row r="181">
          <cell r="B181" t="str">
            <v xml:space="preserve"> - Emissions GES des installations de stockage -</v>
          </cell>
          <cell r="C181" t="str">
            <v xml:space="preserve"> - GHG emissions from landfills - </v>
          </cell>
        </row>
        <row r="182">
          <cell r="B182" t="str">
            <v>Emissions directes liées aux installations de stockage de déchets non dangereux</v>
          </cell>
          <cell r="C182" t="str">
            <v>Direct methane emissions from landfilling</v>
          </cell>
        </row>
        <row r="183">
          <cell r="B183" t="str">
            <v>1.1 - Calcul à partir de modèles existants</v>
          </cell>
          <cell r="C183" t="str">
            <v>1.1 - Calculation from existing models</v>
          </cell>
        </row>
        <row r="184">
          <cell r="B184" t="str">
            <v>Afin de calculer les émissions de GES des installations de stockage de déchets non dangereux, l'entité se référera aux méthodologies réglementaires préconisées par les autorités administratives du pays où est situé le(s) site(s).</v>
          </cell>
          <cell r="C184" t="str">
            <v xml:space="preserve">To calculate GHG emissions from landfills the entity should refer to the regulatory methologies recommended  by the competent authorities of the country where the site(s) is (are) located. </v>
          </cell>
        </row>
        <row r="185">
          <cell r="B185" t="str">
            <v>Par défaut, l'entité pourra employer l'un des modèles ci-dessous.</v>
          </cell>
          <cell r="C185" t="str">
            <v>By default, the entity could use one of the following models.</v>
          </cell>
        </row>
        <row r="186">
          <cell r="B186" t="str">
            <v>France</v>
          </cell>
          <cell r="C186" t="str">
            <v>France</v>
          </cell>
        </row>
        <row r="187">
          <cell r="B187" t="str">
            <v>USA</v>
          </cell>
          <cell r="C187" t="str">
            <v>USA</v>
          </cell>
        </row>
        <row r="188">
          <cell r="B188" t="str">
            <v>Royaume Uni</v>
          </cell>
          <cell r="C188" t="str">
            <v>United Kingdom</v>
          </cell>
        </row>
        <row r="189">
          <cell r="B189" t="str">
            <v>GIEC</v>
          </cell>
          <cell r="C189" t="str">
            <v>IPCC</v>
          </cell>
        </row>
        <row r="190">
          <cell r="B190" t="str">
            <v>Modèle ADEME</v>
          </cell>
          <cell r="C190" t="str">
            <v>ADEME Model</v>
          </cell>
        </row>
        <row r="191">
          <cell r="B191" t="str">
            <v>LandGEM</v>
          </cell>
          <cell r="C191" t="str">
            <v>LandGEM</v>
          </cell>
        </row>
        <row r="192">
          <cell r="B192" t="str">
            <v>GasSIM</v>
          </cell>
          <cell r="C192" t="str">
            <v>GasSIM</v>
          </cell>
        </row>
        <row r="193">
          <cell r="B193" t="str">
            <v>Modèle Tier II</v>
          </cell>
          <cell r="C193" t="str">
            <v>Tier II Model</v>
          </cell>
        </row>
        <row r="194">
          <cell r="B194" t="str">
            <v>"Outil de calcul des émissions dans l’air de CH4, CO2, SOx, NOx issues des centres de stockage de déchets ménagers et assimilés"</v>
          </cell>
          <cell r="C194" t="str">
            <v>"Outil de calcul des émissions dans l’air de CH4, CO2, SOx, Nox issues des centres de stockage de déchets ménagers et assimilés"</v>
          </cell>
        </row>
        <row r="195">
          <cell r="B195" t="str">
            <v>www.epa.gov/ttn/catc/products.html</v>
          </cell>
          <cell r="C195" t="str">
            <v>www.epa.gov/ttn/catc/products.html</v>
          </cell>
        </row>
        <row r="196">
          <cell r="B196" t="str">
            <v>www.gassim.co.uk/</v>
          </cell>
          <cell r="C196" t="str">
            <v>www.gassim.co.uk/</v>
          </cell>
        </row>
        <row r="197">
          <cell r="B197" t="str">
            <v>http://www.ipcc-nggip.iges.or.jp/public/gl/invs1.htm</v>
          </cell>
          <cell r="C197" t="str">
            <v>http://www.ipcc-nggip.iges.or.jp/public/gl/invs1.htm</v>
          </cell>
        </row>
        <row r="198">
          <cell r="B198" t="str">
            <v>Le calcul sera effectué pour les sites en activité</v>
          </cell>
          <cell r="C198" t="str">
            <v>Calculation to be made for operating sites.</v>
          </cell>
        </row>
        <row r="199">
          <cell r="B199" t="str">
            <v>1.2 - Calcul à partir d'un modèle développé en interne</v>
          </cell>
          <cell r="C199" t="str">
            <v>1.2 - Calculation from a model drawn up internally</v>
          </cell>
        </row>
        <row r="200">
          <cell r="B200" t="str">
            <v>Un exploitant peut avoir recours à un autre modèle que ceux listés ci-dessus. Ce modèle doit présenter a minima les caractéristiques suivantes :</v>
          </cell>
          <cell r="C200" t="str">
            <v>An operator could use a different model from the ones listed above. This model needs to present at least the following caracteristics:</v>
          </cell>
        </row>
        <row r="201">
          <cell r="B201" t="str">
            <v xml:space="preserve">1) Ce modèle doit faire appel à une équation cinétique sur le modèle de celle rappelée ci-dessous à titre d'exemple </v>
          </cell>
          <cell r="C201" t="str">
            <v xml:space="preserve">1) This model has to resort to a kinetic equation on the model of the equation presented below as an example </v>
          </cell>
        </row>
        <row r="202">
          <cell r="B202" t="str">
            <v>Quantité de méthane produite par an (Nm3 / an)</v>
          </cell>
          <cell r="C202" t="str">
            <v>Quantity of methane produced per year (Nm3/year)</v>
          </cell>
        </row>
        <row r="203">
          <cell r="B203" t="str">
            <v>pouvoir méthanogène (Nm3 CH4 / t de déchets)</v>
          </cell>
          <cell r="C203" t="str">
            <v>methane generation potential (Nm3 CH4 / t of waste)</v>
          </cell>
        </row>
        <row r="204">
          <cell r="B204" t="str">
            <v>tonnage de déchets enfouis (t)</v>
          </cell>
          <cell r="C204" t="str">
            <v>tonnes of landfilled waste (t)</v>
          </cell>
        </row>
        <row r="205">
          <cell r="B205" t="str">
            <v>constante cinétique (an-1)</v>
          </cell>
          <cell r="C205" t="str">
            <v>kinetic constant (year-1)</v>
          </cell>
        </row>
        <row r="206">
          <cell r="B206" t="str">
            <v>année où les déchets ont été enfouis</v>
          </cell>
          <cell r="C206" t="str">
            <v>year when waste was landfilled</v>
          </cell>
        </row>
        <row r="207">
          <cell r="B207" t="str">
            <v>année de l’inventaire des émissions (t ≥ x)</v>
          </cell>
          <cell r="C207" t="str">
            <v>year of emissions inventory (t ≥ x)</v>
          </cell>
        </row>
        <row r="208">
          <cell r="B208" t="str">
            <v>2) Il ne doit pas avoir recours à des facteurs d'émissions directs appliqués aux tonnages de déchets</v>
          </cell>
          <cell r="C208" t="str">
            <v>2) It should not resort to direct emission factors that would be applied to waste tonnages</v>
          </cell>
        </row>
        <row r="209">
          <cell r="B209" t="str">
            <v>3) Il doit tenir compte de la composition des déchets</v>
          </cell>
          <cell r="C209" t="str">
            <v>3) It should consider waste's composition</v>
          </cell>
        </row>
        <row r="210">
          <cell r="B210" t="str">
            <v>4) Il doit clairement préciser les règles de prise en compte des émissions diffuses et des facteurs d'oxydation</v>
          </cell>
          <cell r="C210" t="str">
            <v>4) It should clearly specify the rules followed for diffuse emissions and oxidation factors</v>
          </cell>
        </row>
        <row r="211">
          <cell r="B211" t="str">
            <v>5) Il doit être publié, reconnu et disponible dans la litérature scientifique et technique</v>
          </cell>
          <cell r="C211" t="str">
            <v>5) It should be published, accepted and available in scientific and technical papers</v>
          </cell>
        </row>
        <row r="212">
          <cell r="B212" t="str">
            <v xml:space="preserve">6) La teneur en méthane du biogaz doit être basée sur des analyses spécifiques et doit éviter autant que possible </v>
          </cell>
          <cell r="C212" t="str">
            <v>6) The methane content of biogas should be based on specific analysis and avoid standard values as much as possible</v>
          </cell>
        </row>
        <row r="213">
          <cell r="B213" t="str">
            <v>les valeurs standards</v>
          </cell>
        </row>
        <row r="214">
          <cell r="B214" t="str">
            <v>2 - Emissions directes liées aux installations de combustion fixes et aux équipements mobiles sur site</v>
          </cell>
          <cell r="C214" t="str">
            <v>2 - Direct CO2 emissions from permanent combustion facilities and on-site mobile equipment</v>
          </cell>
        </row>
        <row r="215">
          <cell r="B215" t="str">
            <v>Si vous utilisez des combustibles fossiles pour alimenter des installations thermiques (moteurs, compresseurs, chaudières…), vous devez calculer les émissions correspondantes à l'onglet 'Comb &amp; Indirectes'.</v>
          </cell>
          <cell r="C215" t="str">
            <v>If you use fossil fuels to feed thermal facilities (engines, compressors, boilers…), you should calculate the corresponding emissions  using  the "Comb &amp; Indirect thumbnail"</v>
          </cell>
        </row>
        <row r="216">
          <cell r="B216" t="str">
            <v>→ Informations complémentaires : Présentation des quatre modèles théoriques</v>
          </cell>
          <cell r="C216" t="str">
            <v>→ Additional Information: Presentation of the four theoretical models</v>
          </cell>
        </row>
        <row r="217">
          <cell r="B217" t="str">
            <v xml:space="preserve">&gt; Résumé des quatre modèles théoriques de production et d’émission de méthane </v>
          </cell>
          <cell r="C217" t="str">
            <v>&gt; Summary of the four methane production and emission theoretical models</v>
          </cell>
        </row>
        <row r="218">
          <cell r="B218" t="str">
            <v>* Facteur de normalisation assurant que la somme des valeurs discrètes sur chaque année équivaut au potentiel de CH4 pouvant être émis par un déchet pour une dégradation complète, Ai = (1- e-ki)/ki. Ce facteur est toujours inférieur à l’unité et réduit la production du modèle.</v>
          </cell>
          <cell r="C218" t="str">
            <v>* Normalisation factor to assure that the sum of the discrete values for each year are equal to the CH4 generation potential for the waste's complete degradation, Ai = (1- e-ki)/ki. This factor is always &lt;1 and reduces the production calculated through the model.</v>
          </cell>
        </row>
        <row r="219">
          <cell r="B219" t="str">
            <v xml:space="preserve">* La constante de vitesse de dégradation (k) se rapporte au temps requis pour que le carbone organique dégradable contenu dans les déchets se dégrade jusqu’à la moitié de sa masse initiale (la ‘demi-vie’ ou t½) : </v>
          </cell>
          <cell r="C219" t="str">
            <v>* The kinetic decay constant (k) refers to the time reuired for the degradable organic carbon contained in the waste to decay until half of its initial mass ("half-time" or  t½).</v>
          </cell>
        </row>
        <row r="220">
          <cell r="B220" t="str">
            <v>Modèle</v>
          </cell>
          <cell r="C220" t="str">
            <v>Model</v>
          </cell>
        </row>
        <row r="221">
          <cell r="B221" t="str">
            <v>Equation calcul de la production de méthane</v>
          </cell>
          <cell r="C221" t="str">
            <v>Methane production calculation equation</v>
          </cell>
        </row>
        <row r="222">
          <cell r="B222" t="str">
            <v>Paramètres principaux</v>
          </cell>
          <cell r="C222" t="str">
            <v>Major parameters</v>
          </cell>
        </row>
        <row r="223">
          <cell r="B223" t="str">
            <v>k° (ans-1)</v>
          </cell>
          <cell r="C223" t="str">
            <v>k° (year-1)</v>
          </cell>
        </row>
        <row r="224">
          <cell r="B224" t="str">
            <v>Potentiel méthane L0 (Nm3 CH4 / t)</v>
          </cell>
          <cell r="C224" t="str">
            <v>Methane generation potential L0 (Nm3 CH4 / t)</v>
          </cell>
        </row>
        <row r="225">
          <cell r="B225" t="str">
            <v>Calcul des émissions</v>
          </cell>
          <cell r="C225" t="str">
            <v>Emissions calculation</v>
          </cell>
        </row>
        <row r="226">
          <cell r="B226" t="str">
            <v>GIEC 
(Tier 2)
Ordre 1
(GIEC, 2005)</v>
          </cell>
          <cell r="C226" t="str">
            <v xml:space="preserve">IPCC
(Tier 2)
First order decay model
(IPCC, 2005)
</v>
          </cell>
        </row>
        <row r="227">
          <cell r="B227" t="str">
            <v>ADEME
Ordre 1
multiphase
(Taramini, 2002)</v>
          </cell>
          <cell r="C227" t="str">
            <v>ADEME
First order
multiphase
(Taramini, 2002)</v>
          </cell>
        </row>
        <row r="228">
          <cell r="B228" t="str">
            <v>GasSIM
Ordre 1
multiphase
(UK, 2005)</v>
          </cell>
          <cell r="C228" t="str">
            <v xml:space="preserve">GasSIM
First order
multiphase
(UK, 2005)
</v>
          </cell>
        </row>
        <row r="229">
          <cell r="B229" t="str">
            <v>LandGEM
Ordre 1
(US-EPA, 2005)</v>
          </cell>
          <cell r="C229" t="str">
            <v>LandGEM
First order
(US-EPA, 2005)</v>
          </cell>
        </row>
        <row r="230">
          <cell r="B230" t="str">
            <v xml:space="preserve">A = facteur de normalisation*
DSMT = Total de déchets municipaux produits
DSMF= Fraction mise en ISD
</v>
          </cell>
          <cell r="C230" t="str">
            <v>A = normalisation factor*
DSMT = Total MSW produced
DSMF= Fraction of total MSW disposed in landfill</v>
          </cell>
        </row>
        <row r="231">
          <cell r="B231" t="str">
            <v>Ai= facteur de normalisation*
pi= fraction des déchets ayant une constante de dégradation ki</v>
          </cell>
          <cell r="C231" t="str">
            <v xml:space="preserve">Ai= normalisation factor*
pi= fraction of waste with a methane generation rate constant ki
</v>
          </cell>
        </row>
        <row r="232">
          <cell r="B232" t="str">
            <v xml:space="preserve">C = quantité de carbone dégradable
</v>
          </cell>
          <cell r="C232" t="str">
            <v>C = quantity of degradable carbon</v>
          </cell>
        </row>
        <row r="233">
          <cell r="B233" t="str">
            <v>M= Quantité de déchets mis en ISD</v>
          </cell>
          <cell r="C233" t="str">
            <v>M= Quantity of waste disposed in landfill</v>
          </cell>
        </row>
        <row r="234">
          <cell r="B234" t="str">
            <v>Avec:
FCM= facteur de correction de CH4 
F (fraction CH4 dans biogaz) = 0.5
COD= carbone organique dégradable calculé à partir des flux de déchets</v>
          </cell>
          <cell r="C234" t="str">
            <v xml:space="preserve">
With :
FCM= Methane correction factor 
F (fraction of CH4 in landfill gas) = 0.5
COD= degradable organic carbon, based on the waste's flow</v>
          </cell>
        </row>
        <row r="235">
          <cell r="B235" t="str">
            <v xml:space="preserve">FE0= 100 (OM) et 50 (DIB) </v>
          </cell>
          <cell r="C235" t="str">
            <v xml:space="preserve">FE0= 100 (MSW) et 50 (Non hazardous industrial waste) </v>
          </cell>
        </row>
        <row r="236">
          <cell r="B236" t="str">
            <v>Calculé par le modèle basé sur la composition des déchets</v>
          </cell>
          <cell r="C236" t="str">
            <v>Calculated by the model according to waste's composition</v>
          </cell>
        </row>
        <row r="237">
          <cell r="B237" t="str">
            <v>100 (Inv) Reporting dans le cadre de l’inventaire d’émissions des polluants de EPA 
170 (CAA) l’EPA  Contrôle d’émissions dans le cadre du "Clean Air Act"</v>
          </cell>
          <cell r="C237" t="str">
            <v xml:space="preserve">100 (Inv) US EPA's pollutants' emissions inventory
170 (CAA) Emissions control within the US Clean Air Act </v>
          </cell>
        </row>
        <row r="238">
          <cell r="B238" t="str">
            <v xml:space="preserve">Production théorique – volume collecté *(1-taux d’oxydation) 
Oxydation = 10 % (défaut)
</v>
          </cell>
          <cell r="C238" t="str">
            <v>Theoretical production – collected volume * (1-oxidation rate) 
Oxidation = 10 % (default)</v>
          </cell>
        </row>
        <row r="239">
          <cell r="B239" t="str">
            <v>En fonction d’un taux de collecte théorique défini par type de zone+ 10% d’oxydation
Zone et taux de collecte :
- en exploitation : 35%
- couverture semi-perméable: 65%
- couverture imperméable naturelle : 85%
- géomembrane : 90%</v>
          </cell>
          <cell r="C239" t="str">
            <v>Depending on a theoretical collection rate, defined by zone, + 10% oxidation
Collection rate by zone :
- in operation : 35%
- semi-permeable cover : 65%
- natural impermeable cover :85%
- geomembrane : 90%</v>
          </cell>
        </row>
        <row r="240">
          <cell r="B240" t="str">
            <v>Calculé par le logiciel en fonction des types de couvertures</v>
          </cell>
          <cell r="C240" t="str">
            <v>Calculated by the software according to the cover type</v>
          </cell>
        </row>
        <row r="241">
          <cell r="B241" t="str">
            <v>Production théorique – volume collecté *(1-taux d’oxydation)
Oxydation = 10 % (défaut)</v>
          </cell>
          <cell r="C241" t="str">
            <v xml:space="preserve">Theoretical production – collected volume * (1-oxidation rate) 
Oxidation = 10 % (default)
</v>
          </cell>
        </row>
        <row r="242">
          <cell r="B242" t="str">
            <v xml:space="preserve"> - Emissions GES des unités de traitement thermique - </v>
          </cell>
          <cell r="C242" t="str">
            <v xml:space="preserve"> - GHG emissions from thermal treatment facilities - </v>
          </cell>
        </row>
        <row r="243">
          <cell r="B243" t="str">
            <v>Deux méthodes sont proposées pour le calcul des émissions de CO2 liées à l'incinération : à partir des tonnages incinérés ou à partir des mesures de fumées. L'utilisation des mesures est possible si l'exploitant montre que l'incertitude du résultat est inférieure à celle de la première méthode.
Le facteur d'émission doit être cohérent avec le % de prise en compte : si le facteur d'émission tient compte de la part de biomasse des déchets, la prise en compte est de 100% ; dans le cas contraire, il correspond à la teneur en carbone fossile dans les déchets.</v>
          </cell>
          <cell r="C243" t="str">
            <v>Two methods are presented to calculate CO2 emissions from incineration: from  tonnage of  waste combusted or from flue gas monitoring. Measurement use is possible if the operating manager shows that the result's uncertainty is below that of the first method.
The emission factor should be consitent with the accounting %: if the emission factor considers the biomass content of waste, the % is taken at 100%; if not, it corresponds to the fossil carbon content of the waste</v>
          </cell>
        </row>
        <row r="244">
          <cell r="B244" t="str">
            <v>ATTENTION : l’utilisateur devra éviter tout double compte : 
● La mise en œuvre d’un calcul basé sur le tonnage incinéré nécessite de calculer les émissions liées aux combustibles d'appoint séparément en bas de cet onglet. 
● Au contraire, la mesure à la cheminée concerne l’ensemble des produits carbonés incinérés. Il n’est donc pas nécessaire de calculer en double les émissions liées aux combustibles d’appoint. En revanche, il est nécessaire de déduire les émissions de CO2 provenant de la biomasse incinérée.</v>
          </cell>
          <cell r="C244" t="str">
            <v>BEWARE: the user should avoid any double counting
● The implementation of a calculation based on incinerated tonnage requires to fill the tab concerning incineration as well as the tab concerning eventual additional fossil fuels
● On the opposite, flue gas monitoring concerns all of the incinerated carbonated products. It is therefore not necessary to double calculate emissions from additional fuels. However, it is necessary to deduce CO2 emissions coming from the incinerated biomass.</v>
          </cell>
        </row>
        <row r="245">
          <cell r="B245" t="str">
            <v>Emissions directes liées aux incinérateurs - CO2</v>
          </cell>
          <cell r="C245" t="str">
            <v>Direct emissions from incinerators - CO2</v>
          </cell>
        </row>
        <row r="246">
          <cell r="B246" t="str">
            <v>1 - Calcul des émissions de CO2 à partir des tonnages de déchets incinérés</v>
          </cell>
          <cell r="C246" t="str">
            <v>1 - Calculation of waste CO2 emissions based on the tonnages of incinerated waste</v>
          </cell>
        </row>
        <row r="247">
          <cell r="B247" t="str">
            <v>Facteur d'émissions tenant compte de la teneur en carbone biogénique</v>
          </cell>
          <cell r="C247" t="str">
            <v>Emission factors that consider biogenic carbon content</v>
          </cell>
        </row>
        <row r="248">
          <cell r="B248" t="str">
            <v>Quantité incinérée</v>
          </cell>
          <cell r="C248" t="str">
            <v>Incinerated quantity</v>
          </cell>
        </row>
        <row r="249">
          <cell r="B249" t="str">
            <v>Facteur d'émissions</v>
          </cell>
          <cell r="C249" t="str">
            <v>Emissions factor</v>
          </cell>
        </row>
        <row r="250">
          <cell r="B250" t="str">
            <v>Type de déchet incinéré</v>
          </cell>
          <cell r="C250" t="str">
            <v>Incinerated waste type</v>
          </cell>
        </row>
        <row r="251">
          <cell r="B251" t="str">
            <v>Ordures ménagères</v>
          </cell>
          <cell r="C251" t="str">
            <v>Household waste</v>
          </cell>
        </row>
        <row r="252">
          <cell r="B252" t="str">
            <v>Déchets industriels banals</v>
          </cell>
          <cell r="C252" t="str">
            <v>Non-hazardous industrial waste</v>
          </cell>
        </row>
        <row r="253">
          <cell r="B253" t="str">
            <v>Déchets dangereux</v>
          </cell>
          <cell r="C253" t="str">
            <v>Hazardous waste</v>
          </cell>
        </row>
        <row r="254">
          <cell r="B254" t="str">
            <v>Autres (type de déchet à préciser; les facteurs d'émissions retenus doivent être documentés)</v>
          </cell>
          <cell r="C254" t="str">
            <v>Others (waste type to be specified; the chosen emission factors need to be documented)</v>
          </cell>
        </row>
        <row r="255">
          <cell r="B255" t="str">
            <v>Emissions directes</v>
          </cell>
          <cell r="C255" t="str">
            <v>Direct emissions</v>
          </cell>
        </row>
        <row r="256">
          <cell r="B256" t="str">
            <v>Facteur d'émissions NE tenant PAS compte de la teneur en carbone biogénique</v>
          </cell>
          <cell r="C256" t="str">
            <v>Emission  factors that do NOT consider biogenic carbon content</v>
          </cell>
        </row>
        <row r="257">
          <cell r="B257" t="str">
            <v>Facteurs d'émissions de N2O par défaut pour différents types de déchets et différentes pratiques d'exploitation</v>
          </cell>
          <cell r="C257" t="str">
            <v>Default N2O emission factors for different types of waste and management practices</v>
          </cell>
        </row>
        <row r="258">
          <cell r="B258" t="str">
            <v>Type de déchets</v>
          </cell>
          <cell r="C258" t="str">
            <v>Type of waste</v>
          </cell>
        </row>
        <row r="259">
          <cell r="B259" t="str">
            <v>OM</v>
          </cell>
          <cell r="C259" t="str">
            <v>MSW</v>
          </cell>
        </row>
        <row r="260">
          <cell r="B260" t="str">
            <v>Déchets industriels</v>
          </cell>
          <cell r="C260" t="str">
            <v>Industrial waste</v>
          </cell>
        </row>
        <row r="261">
          <cell r="B261" t="str">
            <v>Boues (sauf boues d'épuration)</v>
          </cell>
          <cell r="C261" t="str">
            <v>Sludge (except sewage sludge)</v>
          </cell>
        </row>
        <row r="262">
          <cell r="B262" t="str">
            <v>Boues d'épuration</v>
          </cell>
          <cell r="C262" t="str">
            <v>Sewage sludge</v>
          </cell>
        </row>
        <row r="263">
          <cell r="B263" t="str">
            <v>Technologie / Pratique d'exploitation</v>
          </cell>
          <cell r="C263" t="str">
            <v>Technology / Management practice</v>
          </cell>
        </row>
        <row r="264">
          <cell r="B264" t="str">
            <v xml:space="preserve">Incinérateurs continus et semi-continus </v>
          </cell>
          <cell r="C264" t="str">
            <v>Continuous and semi-continuous incinerators</v>
          </cell>
        </row>
        <row r="265">
          <cell r="B265" t="str">
            <v>Incinérateurs de type "batch"</v>
          </cell>
          <cell r="C265" t="str">
            <v>Batch-type incinerators</v>
          </cell>
        </row>
        <row r="266">
          <cell r="B266" t="str">
            <v>Brûlage à feu ouvert</v>
          </cell>
          <cell r="C266" t="str">
            <v>Open burning</v>
          </cell>
        </row>
        <row r="267">
          <cell r="B267" t="str">
            <v>Tous types d'incinération</v>
          </cell>
          <cell r="C267" t="str">
            <v>All types of incineration</v>
          </cell>
        </row>
        <row r="268">
          <cell r="B268" t="str">
            <v>Incinération</v>
          </cell>
          <cell r="C268" t="str">
            <v>Incineration</v>
          </cell>
        </row>
        <row r="269">
          <cell r="B269" t="str">
            <v>Facteur d'émissions
 (g N2O / t déchets)</v>
          </cell>
          <cell r="C269" t="str">
            <v>Emission factor (g N2O / t waste)</v>
          </cell>
        </row>
        <row r="270">
          <cell r="B270" t="str">
            <v>Base de poids</v>
          </cell>
          <cell r="C270" t="str">
            <v>weight basis</v>
          </cell>
        </row>
        <row r="271">
          <cell r="B271" t="str">
            <v>Poids humide</v>
          </cell>
          <cell r="C271" t="str">
            <v>wet weight</v>
          </cell>
        </row>
        <row r="272">
          <cell r="B272" t="str">
            <v>Poids sec</v>
          </cell>
          <cell r="C272" t="str">
            <v>dry weight</v>
          </cell>
        </row>
        <row r="273">
          <cell r="B273" t="str">
            <v>2 - Calcul des émissions de CO2 des déchets à partir des mesures de fumées</v>
          </cell>
          <cell r="C273" t="str">
            <v>2 - Calculation of waste CO2 emissions from flue gas monitorings</v>
          </cell>
        </row>
        <row r="274">
          <cell r="B274" t="str">
            <v>Débit de fumées</v>
          </cell>
          <cell r="C274" t="str">
            <v>Flue gas flow</v>
          </cell>
        </row>
        <row r="275">
          <cell r="B275" t="str">
            <v>Teneur en CO2</v>
          </cell>
          <cell r="C275" t="str">
            <v>CO2 content</v>
          </cell>
        </row>
        <row r="276">
          <cell r="B276" t="str">
            <v>Teneur en carbone biogénique</v>
          </cell>
          <cell r="C276" t="str">
            <v>Biogenic carbon content</v>
          </cell>
        </row>
        <row r="277">
          <cell r="B277" t="str">
            <v>Déchets d'activité de soin</v>
          </cell>
          <cell r="C277" t="str">
            <v>Hospital waste</v>
          </cell>
        </row>
        <row r="278">
          <cell r="B278" t="str">
            <v>Emissions prises en compte</v>
          </cell>
          <cell r="C278" t="str">
            <v>Emissions that are accounted for</v>
          </cell>
        </row>
        <row r="279">
          <cell r="B279" t="str">
            <v>Emissions totales de CO2 et N2O liées à l'incinération des déchets</v>
          </cell>
          <cell r="C279" t="str">
            <v>Total CO2 and N2O emissions associated with waste incineration</v>
          </cell>
        </row>
        <row r="280">
          <cell r="B280" t="str">
            <v>Emissions directes liées aux incinérateurs - N2O</v>
          </cell>
          <cell r="C280" t="str">
            <v>N2O gross direct emissions</v>
          </cell>
        </row>
        <row r="281">
          <cell r="B281" t="str">
            <v>3 - Calcul des émissions de N2O à partir des tonnages de déchets incinérés</v>
          </cell>
          <cell r="C281" t="str">
            <v>3 - Calculation of waste N2O emissions from incinerated waste tonnages</v>
          </cell>
        </row>
        <row r="282">
          <cell r="B282" t="str">
            <v>Facteurs d'émissions basés sur le contenu en carbone total</v>
          </cell>
          <cell r="C282" t="str">
            <v>Emission factors based on total carbon content</v>
          </cell>
        </row>
        <row r="283">
          <cell r="B283" t="str">
            <v>CO2 - Emissions directes brutes</v>
          </cell>
          <cell r="C283" t="str">
            <v>Gross Direct CO2 emissions</v>
          </cell>
        </row>
        <row r="284">
          <cell r="B284" t="str">
            <v>tCO2/tdéchets</v>
          </cell>
          <cell r="C284" t="str">
            <v>tC2O / t waste</v>
          </cell>
        </row>
        <row r="285">
          <cell r="B285" t="str">
            <v>Quantité totale (OM + DIB)</v>
          </cell>
          <cell r="C285" t="str">
            <v>Total quantity (Household waste + non-dangerous industrial waste)</v>
          </cell>
        </row>
        <row r="286">
          <cell r="B286" t="str">
            <v>Emissions brutes directes de N20</v>
          </cell>
          <cell r="C286" t="str">
            <v>N2O gross direct emissions</v>
          </cell>
        </row>
        <row r="287">
          <cell r="B287" t="str">
            <v>Prise en compte</v>
          </cell>
          <cell r="C287" t="str">
            <v>Accounting</v>
          </cell>
        </row>
        <row r="288">
          <cell r="B288" t="str">
            <v>Emissions de NO2 prises en compte</v>
          </cell>
          <cell r="C288" t="str">
            <v>N2O emissions that are accounted for</v>
          </cell>
        </row>
        <row r="289">
          <cell r="B289" t="str">
            <v>Emissions de GES prises en compte</v>
          </cell>
          <cell r="C289" t="str">
            <v>GHG emissions that are accounted for</v>
          </cell>
        </row>
        <row r="290">
          <cell r="B290" t="str">
            <v>→ Emissions des procédés d'incinération (CO2 et N2O)</v>
          </cell>
          <cell r="C290" t="str">
            <v>→ Process emissions (CO2 and N2O)</v>
          </cell>
        </row>
        <row r="291">
          <cell r="B291" t="str">
            <v>→ Emissions de CO2 fossile et biogénique</v>
          </cell>
          <cell r="C291" t="str">
            <v>→ Fossil and biogenic CO2 emissions</v>
          </cell>
        </row>
        <row r="292">
          <cell r="B292" t="str">
            <v>tonnes</v>
          </cell>
          <cell r="C292" t="str">
            <v>Tonnes</v>
          </cell>
        </row>
        <row r="293">
          <cell r="B293" t="str">
            <v>kgN2O / t déchet</v>
          </cell>
          <cell r="C293" t="str">
            <v>kgN20 / t waste</v>
          </cell>
        </row>
        <row r="294">
          <cell r="B294" t="str">
            <v>t CO2</v>
          </cell>
          <cell r="C294" t="str">
            <v>t CO2</v>
          </cell>
        </row>
        <row r="295">
          <cell r="B295" t="str">
            <v>t CO2 / t</v>
          </cell>
          <cell r="C295" t="str">
            <v>t CO2 / t</v>
          </cell>
        </row>
        <row r="296">
          <cell r="B296" t="str">
            <v>m3</v>
          </cell>
          <cell r="C296" t="str">
            <v>m3</v>
          </cell>
        </row>
        <row r="297">
          <cell r="B297" t="str">
            <v>t CO2 / m3</v>
          </cell>
          <cell r="C297" t="str">
            <v>t CO2 / m3</v>
          </cell>
        </row>
        <row r="298">
          <cell r="B298" t="str">
            <v>t CO2 éq.</v>
          </cell>
          <cell r="C298" t="str">
            <v>t CO2 eq.</v>
          </cell>
        </row>
        <row r="299">
          <cell r="B299" t="str">
            <v>Volume annuel de fumées</v>
          </cell>
          <cell r="C299" t="str">
            <v>Annual flue gas volume</v>
          </cell>
        </row>
        <row r="300">
          <cell r="B300" t="str">
            <v>Teneur en CO2</v>
          </cell>
          <cell r="C300" t="str">
            <v>CO2 content</v>
          </cell>
        </row>
        <row r="301">
          <cell r="B301" t="str">
            <v>Emissions totales de CO2 (calcul basé sur les tonnes incinérées)</v>
          </cell>
          <cell r="C301" t="str">
            <v>Total of CO2 emissions based on the incinerated tonnes</v>
          </cell>
        </row>
        <row r="302">
          <cell r="B302" t="str">
            <v>Le GIEC donne des valeurs par défaut pour les facteurs d'émissions de N2O de l’incinération (2006 IPCC Guidelines for National Greenhouse Gas Inventories - Volume 5 Waste).</v>
          </cell>
          <cell r="C302" t="str">
            <v xml:space="preserve">The IPCC gives default values for N2O emission factors from incineration (2006 IPCC Guidelines for National Greenhouse Gas Inventories - Volume 5 Waste). </v>
          </cell>
        </row>
        <row r="303">
          <cell r="B303" t="str">
            <v>4 - Calcul des émissions de CO2 liées aux combustibles utilisés</v>
          </cell>
          <cell r="C303" t="str">
            <v>4 - Calculation of CO2 emissions due the type of fuels used</v>
          </cell>
        </row>
        <row r="304">
          <cell r="B304" t="str">
            <v>Si vous utilisez des combustibles fossiles ou de l'électricité pour alimenter ponctuellement l'incinérateur (maintien en température, traitement des fumées), vous devez calculer les émissions correspondantes au moyen de l'onglet 'Comb &amp; Indirectes'.</v>
          </cell>
          <cell r="C304" t="str">
            <v>If you use fossil fuels or electricity to feed the incinerator from time to time (temperature preservation, flue gas treatment), you should calculate the corresponding emissions using the 'Comb &amp; Indirect' sheet</v>
          </cell>
        </row>
        <row r="305">
          <cell r="B305" t="str">
            <v>Teneur C biogénique / C total (t Cbio/tCtotal) dans le déchet en sortie du TMB</v>
          </cell>
          <cell r="C305" t="str">
            <v>Fraction of biogenic C / total C (t Cbio/tCtotal) in waste coming out from MBT</v>
          </cell>
        </row>
        <row r="306">
          <cell r="B306" t="str">
            <v>Quantité incinérée qui suit un pré-traitement mécano-biologique (TMB)</v>
          </cell>
          <cell r="C306" t="str">
            <v>Incinerated waste after an MBT pre-treatment</v>
          </cell>
        </row>
        <row r="307">
          <cell r="B307" t="str">
            <v>Quantité incinérée (tonnes)</v>
          </cell>
          <cell r="C307" t="str">
            <v>Incinerated tonnage (tonnes)</v>
          </cell>
        </row>
        <row r="308">
          <cell r="B308" t="str">
            <v>Contenu carbone total (%)</v>
          </cell>
          <cell r="C308" t="str">
            <v>Total carbon content (%)</v>
          </cell>
        </row>
        <row r="309">
          <cell r="B309" t="str">
            <v>Fraction de carbone biogénique dans le carbone total (%)</v>
          </cell>
          <cell r="C309" t="str">
            <v>Biogenic carbon as fraction of total carbon (%)</v>
          </cell>
        </row>
        <row r="310">
          <cell r="B310" t="str">
            <v>Efficacité de la combustion (%)</v>
          </cell>
          <cell r="C310" t="str">
            <v>Combustion efficiency (%)</v>
          </cell>
        </row>
        <row r="311">
          <cell r="B311" t="str">
            <v>Calcul du facteur d'émission au cas par cas</v>
          </cell>
          <cell r="C311" t="str">
            <v>Case by case calculation of the emission factor</v>
          </cell>
        </row>
        <row r="312">
          <cell r="B312" t="str">
            <v>2 - Calcul des émissions de CO2 à partir des mesures des gaz émis</v>
          </cell>
          <cell r="C312" t="str">
            <v>2 - Calculation of CO2 emissions from flue gas monitorings</v>
          </cell>
        </row>
        <row r="313">
          <cell r="B313" t="str">
            <v>Total des émissions de CO2 calculées à partir des mesures des gaz émis</v>
          </cell>
          <cell r="C313" t="str">
            <v>Total CO2 emissions from flue gas monitorings</v>
          </cell>
        </row>
        <row r="314">
          <cell r="B314" t="str">
            <v>Emissions CO2 totales des procédés d'incinération</v>
          </cell>
          <cell r="C314" t="str">
            <v>Total CO2 emissions from waste incineration process</v>
          </cell>
        </row>
        <row r="315">
          <cell r="B315" t="str">
            <v>→ Emissions directes de N2O</v>
          </cell>
          <cell r="C315" t="str">
            <v>→ Direct N2O emissions</v>
          </cell>
        </row>
        <row r="316">
          <cell r="B316" t="str">
            <v>Emissions totales de N2O (calcul basé sur les tonnes incinérées)</v>
          </cell>
          <cell r="C316" t="str">
            <v>Total of N2O emissions based on the incinerated tonnes</v>
          </cell>
        </row>
        <row r="317">
          <cell r="B317" t="str">
            <v>→ Emissions dues aux consommations d'énergie</v>
          </cell>
          <cell r="C317" t="str">
            <v>→ Emissions from energy consumption</v>
          </cell>
        </row>
        <row r="318">
          <cell r="B318" t="str">
            <v>Total des émissions directes de CO2 dues à la consommation de combustibles fossiles</v>
          </cell>
          <cell r="C318" t="str">
            <v>Total direct CO2 emissions from Fossil fuel consumption</v>
          </cell>
        </row>
        <row r="319">
          <cell r="B319" t="str">
            <v>Energie consommée</v>
          </cell>
          <cell r="C319" t="str">
            <v>Consummed energy</v>
          </cell>
        </row>
        <row r="320">
          <cell r="B320" t="str">
            <v>Total des émissions indirectes de CO2</v>
          </cell>
          <cell r="C320" t="str">
            <v>Total CO2 indirect emissions</v>
          </cell>
        </row>
        <row r="321">
          <cell r="B321" t="str">
            <v>Emissions directes des procédés d'incinération (émissions CO2 fossile et N2O)</v>
          </cell>
          <cell r="C321" t="str">
            <v>Direct emissions from incinerating process (Fossil CO2 and N2O emissions)</v>
          </cell>
        </row>
        <row r="322">
          <cell r="B322" t="str">
            <v>Emissions directes des installations de combustion fixes et des équipements mobiles sur site</v>
          </cell>
          <cell r="C322" t="str">
            <v>Direct emissions from permanent combustion facilities and on-site mobile equipment</v>
          </cell>
        </row>
        <row r="323">
          <cell r="B323" t="str">
            <v>Emissions indirectes dues aux consommations d'électricité ou de chaleur achetée</v>
          </cell>
          <cell r="C323" t="str">
            <v>Indirect emissions  from electricity or purchased heat consumption</v>
          </cell>
        </row>
        <row r="324">
          <cell r="C324">
            <v>323</v>
          </cell>
        </row>
        <row r="325">
          <cell r="C325">
            <v>324</v>
          </cell>
        </row>
        <row r="326">
          <cell r="C326">
            <v>325</v>
          </cell>
        </row>
        <row r="327">
          <cell r="C327">
            <v>326</v>
          </cell>
        </row>
        <row r="328">
          <cell r="C328">
            <v>327</v>
          </cell>
        </row>
        <row r="329">
          <cell r="C329">
            <v>328</v>
          </cell>
        </row>
        <row r="330">
          <cell r="B330" t="str">
            <v>EMISSIONS DE GAZ A EFFET DE SERRE LIEES AU TRAITEMENT DES EAUX USEES</v>
          </cell>
          <cell r="C330" t="str">
            <v>GREENHOUSE GAS EMISSIONS FROM WASTEWATER TREATMENT</v>
          </cell>
        </row>
        <row r="331">
          <cell r="B331" t="str">
            <v>Emissions directes liées au traitement des eaux usées</v>
          </cell>
          <cell r="C331" t="str">
            <v>Direct emissions from wastewater treatment</v>
          </cell>
        </row>
        <row r="332">
          <cell r="B332" t="str">
            <v>1 - Méthane émis par la filière épuration</v>
          </cell>
          <cell r="C332" t="str">
            <v>1 - Methane emitted from water treatment</v>
          </cell>
        </row>
        <row r="333">
          <cell r="B333" t="str">
            <v xml:space="preserve">Il n'existe pas à l'heure actuelle de méthode fiable pourla quantification des émissions de CH4 provenant du traitement des eaux usées. </v>
          </cell>
          <cell r="C333" t="str">
            <v>Currently, there are no available  methods to accurately quantify CH4 emissions from wastewater treatment.</v>
          </cell>
        </row>
        <row r="334">
          <cell r="B334" t="str">
            <v>2 - N2O émis par la filière épuration</v>
          </cell>
          <cell r="C334" t="str">
            <v>2 - N2O emitted from waste water treatment</v>
          </cell>
        </row>
        <row r="335">
          <cell r="B335" t="str">
            <v>A l'heure actuelle, il n'existe pas une connaissance suffisante permettant de mesurer et comptabiliser ces émissions. Des programmes de recherche sont en cours et le module de calcul sera adapté lorsque des données seront disponibles.</v>
          </cell>
          <cell r="C335" t="str">
            <v>There is not enough knowledge today to monitor and quantify these emissions. Research programs are underway and the calculation tool will be updated as soon as data are available.</v>
          </cell>
        </row>
        <row r="336">
          <cell r="B336" t="str">
            <v>3 - Calcul des émissions de CO2 liées aux combustibles utilisés</v>
          </cell>
          <cell r="C336" t="str">
            <v>3 - Calculation of CO2 emissions from used fuels</v>
          </cell>
        </row>
        <row r="337">
          <cell r="B337" t="str">
            <v>Si vous utilisez des combustibles fossiles ou de l'électricité pour alimenter des installations thermiques (moteur, compresseur, chaudières...). vous devez calculer les émissions correspondantes au moyen de l'onglet 'Comb &amp; Indirectes'.</v>
          </cell>
          <cell r="C337" t="str">
            <v>If you use fossil fuels or electricity to feed thermal facilities (engines, compressors, boilers...) you must calculate the corresponding emissions using the 'Comb &amp; Indirect' sheet.</v>
          </cell>
        </row>
        <row r="338">
          <cell r="C338">
            <v>337</v>
          </cell>
        </row>
        <row r="339">
          <cell r="C339">
            <v>338</v>
          </cell>
        </row>
        <row r="340">
          <cell r="C340">
            <v>339</v>
          </cell>
        </row>
        <row r="341">
          <cell r="C341">
            <v>340</v>
          </cell>
        </row>
        <row r="342">
          <cell r="C342">
            <v>341</v>
          </cell>
        </row>
        <row r="343">
          <cell r="C343">
            <v>342</v>
          </cell>
        </row>
        <row r="344">
          <cell r="C344">
            <v>343</v>
          </cell>
        </row>
        <row r="345">
          <cell r="C345">
            <v>344</v>
          </cell>
        </row>
        <row r="346">
          <cell r="C346">
            <v>345</v>
          </cell>
        </row>
        <row r="347">
          <cell r="C347">
            <v>346</v>
          </cell>
        </row>
        <row r="348">
          <cell r="C348">
            <v>347</v>
          </cell>
        </row>
        <row r="349">
          <cell r="C349">
            <v>348</v>
          </cell>
        </row>
        <row r="350">
          <cell r="C350">
            <v>349</v>
          </cell>
        </row>
        <row r="351">
          <cell r="B351" t="str">
            <v xml:space="preserve"> - Emissions de GES évitées - </v>
          </cell>
          <cell r="C351" t="str">
            <v xml:space="preserve"> - Avoided GHG emissions -</v>
          </cell>
        </row>
        <row r="352">
          <cell r="B352" t="str">
            <v>Emissions évitées</v>
          </cell>
          <cell r="C352" t="str">
            <v>Avoided emissions</v>
          </cell>
        </row>
        <row r="353">
          <cell r="B353" t="str">
            <v>1 - STOCKAGE DE DECHETS NON DANGEREUX</v>
          </cell>
          <cell r="C353" t="str">
            <v>1 - LANDFILLING</v>
          </cell>
        </row>
        <row r="354">
          <cell r="B354" t="str">
            <v>1.1 - Calcul des émissions évitées par la production de chaleur à partir du biogaz</v>
          </cell>
          <cell r="C354" t="str">
            <v>1.1 - Calculation of the avoided emissions through heat recovered from biogas</v>
          </cell>
        </row>
        <row r="355">
          <cell r="B355" t="str">
            <v>Zone de production de l'énergie revendue</v>
          </cell>
          <cell r="C355" t="str">
            <v>Sold energy production area</v>
          </cell>
        </row>
        <row r="356">
          <cell r="B356" t="str">
            <v>Quantité produite et vendue</v>
          </cell>
          <cell r="C356" t="str">
            <v>Produced and sold quantity</v>
          </cell>
        </row>
        <row r="357">
          <cell r="B357" t="str">
            <v>kgCO2 / MWh</v>
          </cell>
          <cell r="C357" t="str">
            <v>kgCO2 / MWh</v>
          </cell>
        </row>
        <row r="358">
          <cell r="B358" t="str">
            <v>Emissions CO2 évitées</v>
          </cell>
          <cell r="C358" t="str">
            <v>CO2 avoided emissions</v>
          </cell>
        </row>
        <row r="359">
          <cell r="B359" t="str">
            <v>* voir les facteurs proposés à l'onglet 'Facteurs'</v>
          </cell>
          <cell r="C359" t="str">
            <v>* see factors proposed in the 'Factors' sheet</v>
          </cell>
        </row>
        <row r="360">
          <cell r="B360" t="str">
            <v>1.2 - Calcul des émissions évitées par la production d'électricité à partir du biogaz</v>
          </cell>
          <cell r="C360" t="str">
            <v>1.2 - Avoided CO2 emissions through electricity produced from biogas</v>
          </cell>
        </row>
        <row r="361">
          <cell r="B361" t="str">
            <v>2.1 - Calcul des émissions évitées par la production et la vente de chaleur</v>
          </cell>
          <cell r="C361" t="str">
            <v>2.1 - Calculation of the avoided emissions through heat production</v>
          </cell>
        </row>
        <row r="362">
          <cell r="B362" t="str">
            <v>2.2 - Calcul des émissions évitées générées par la production et la vente d'électricité</v>
          </cell>
          <cell r="C362" t="str">
            <v>2.2 - Calculation of the avoided emissions through electricity production</v>
          </cell>
        </row>
        <row r="363">
          <cell r="B363" t="str">
            <v>2.3 - Calcul des émissions évitées par la valorisation matière</v>
          </cell>
          <cell r="C363" t="str">
            <v>2.3 - Calculation of avoided emissions from the quantity of recovered material</v>
          </cell>
        </row>
        <row r="364">
          <cell r="B364" t="str">
            <v>Matériaux valorisés</v>
          </cell>
          <cell r="C364" t="str">
            <v>Recovered material</v>
          </cell>
        </row>
        <row r="365">
          <cell r="B365" t="str">
            <v>Machefers</v>
          </cell>
          <cell r="C365" t="str">
            <v>Bottom ash</v>
          </cell>
        </row>
        <row r="366">
          <cell r="B366" t="str">
            <v>Ferrailles</v>
          </cell>
          <cell r="C366" t="str">
            <v>Slag</v>
          </cell>
        </row>
        <row r="367">
          <cell r="B367" t="str">
            <v>Autres matières secondaires</v>
          </cell>
          <cell r="C367" t="str">
            <v>Other secondary material</v>
          </cell>
        </row>
        <row r="368">
          <cell r="B368" t="str">
            <v>Quantités vendues</v>
          </cell>
          <cell r="C368" t="str">
            <v>Sold tonnages</v>
          </cell>
        </row>
        <row r="369">
          <cell r="B369" t="str">
            <v>Facteur d'émission</v>
          </cell>
          <cell r="C369" t="str">
            <v>Emissions factor</v>
          </cell>
        </row>
        <row r="370">
          <cell r="B370" t="str">
            <v>3 - METHANISATION</v>
          </cell>
          <cell r="C370" t="str">
            <v>3 - ANAEROBIC DIGESTION</v>
          </cell>
        </row>
        <row r="371">
          <cell r="B371" t="str">
            <v>3.1 - Calcul des émissions évitées par la production et la vente de chaleur</v>
          </cell>
          <cell r="C371" t="str">
            <v>3.1 - Calculation of the avoided emissions through heat production</v>
          </cell>
        </row>
        <row r="372">
          <cell r="B372" t="str">
            <v>3.2 - Calcul des émissions évitées par la production et la vente d'électricité</v>
          </cell>
          <cell r="C372" t="str">
            <v>3.2 - Calculation of the avoided emissions through electricity production</v>
          </cell>
        </row>
        <row r="373">
          <cell r="B373" t="str">
            <v>3.3 - Calcul des émissions évitées par la valorisation matière</v>
          </cell>
          <cell r="C373" t="str">
            <v>3.3 - Calculation of avoided emissions from the quantity of recovered material</v>
          </cell>
        </row>
        <row r="374">
          <cell r="B374" t="str">
            <v>4 - TRAITEMENTS PHYSICO-CHIMIQUES (DECHETS DANGEREUX)</v>
          </cell>
          <cell r="C374" t="str">
            <v>4 - PHYSICO-CHEMICAL TREATMENTS (HAZARDOUS WASTE)</v>
          </cell>
        </row>
        <row r="375">
          <cell r="B375" t="str">
            <v>Calcul des émissions évitées par la production de combustibles à partir de déchets dangereux (basé sur le contenu énergétique du combustible)</v>
          </cell>
          <cell r="C375" t="str">
            <v>Calculation of avoided emissions from the generation of hazardous waste-derived fuels (based on fuel energy content)</v>
          </cell>
        </row>
        <row r="376">
          <cell r="B376" t="str">
            <v>MWh PCI</v>
          </cell>
          <cell r="C376" t="str">
            <v>MWh LHV</v>
          </cell>
        </row>
        <row r="377">
          <cell r="B377" t="str">
            <v>Emission factor
kgCO2e/MWh PCI</v>
          </cell>
          <cell r="C377" t="str">
            <v>Emission factor
kgCO2e/MWh LHV</v>
          </cell>
        </row>
        <row r="378">
          <cell r="B378" t="str">
            <v>Contenu énergétique du combustible de substitution vendu</v>
          </cell>
          <cell r="C378" t="str">
            <v>Energy content of hazardous waste-derived fuel sold</v>
          </cell>
        </row>
        <row r="379">
          <cell r="B379" t="str">
            <v>5 - TRI ET RECYCLAGE</v>
          </cell>
          <cell r="C379" t="str">
            <v>5 - SORTING AND RECYCLING</v>
          </cell>
        </row>
        <row r="380">
          <cell r="B380" t="str">
            <v>Calcul des émissions évitées par la valorisation matière</v>
          </cell>
          <cell r="C380" t="str">
            <v>Calculation of avoided emissions from the quantity of recovered waste</v>
          </cell>
        </row>
        <row r="381">
          <cell r="B381" t="str">
            <v>Papier / Carton</v>
          </cell>
          <cell r="C381" t="str">
            <v>Paper / Cardboard</v>
          </cell>
        </row>
        <row r="382">
          <cell r="B382" t="str">
            <v>Verre</v>
          </cell>
          <cell r="C382" t="str">
            <v>Glass</v>
          </cell>
        </row>
        <row r="383">
          <cell r="B383" t="str">
            <v>Acier</v>
          </cell>
          <cell r="C383" t="str">
            <v>Steel</v>
          </cell>
        </row>
        <row r="384">
          <cell r="B384" t="str">
            <v>Aluminium</v>
          </cell>
          <cell r="C384" t="str">
            <v>Aluminium</v>
          </cell>
        </row>
        <row r="385">
          <cell r="B385" t="str">
            <v>Plastiques (PEHD)</v>
          </cell>
          <cell r="C385" t="str">
            <v>Plastics (HDPE)</v>
          </cell>
        </row>
        <row r="386">
          <cell r="B386" t="str">
            <v>Plastiques (PET)</v>
          </cell>
          <cell r="C386" t="str">
            <v>Plastics (PET)</v>
          </cell>
        </row>
        <row r="387">
          <cell r="B387" t="str">
            <v>6 - COMPOSTING</v>
          </cell>
          <cell r="C387" t="str">
            <v>6 - COMPOSTING</v>
          </cell>
        </row>
        <row r="388">
          <cell r="B388" t="str">
            <v>Attention : Si vous utilisez un autre facteur d'émissions évitées que ceux proposés dans l'onglet "Facteurs", assurez que ce facteur est bien le résultat de la différence entre les émissions générées par la farbication, le transport et l'épandage des fertilisants et celles générées par le compostage puis le transport et l'épandage du compost.</v>
          </cell>
          <cell r="C388" t="str">
            <v>Beware : If you use another avoided emissions factor than those purposed in the "Factors" spreadsheet, please make sure that this factor results in the difference between emissions generated to produce, transport and spread chemical fertilisers and/or peat and emissions generated by waste composting, transport and spreading of compost</v>
          </cell>
        </row>
        <row r="389">
          <cell r="B389" t="str">
            <v>Substitution à des fertilisants chimiques et/ou à de la tourbe : Calcul des émissions évitées basé sur la quantité de compost épandu</v>
          </cell>
          <cell r="C389" t="str">
            <v>Chemical fertilisers and/or peat substitution: Calculation of avoided emission based on quantity landspread</v>
          </cell>
        </row>
        <row r="390">
          <cell r="B390" t="str">
            <v>Quantité de compost d'OM épandu</v>
          </cell>
          <cell r="C390" t="str">
            <v>MSW compost landspread</v>
          </cell>
        </row>
        <row r="391">
          <cell r="B391" t="str">
            <v>Quantité de compost de biodéchets épandu</v>
          </cell>
          <cell r="C391" t="str">
            <v>Biowaste compost landspread</v>
          </cell>
        </row>
        <row r="392">
          <cell r="B392" t="str">
            <v>Quantité de compost de déchets verts épandu</v>
          </cell>
          <cell r="C392" t="str">
            <v>Greenwaste compost landspread</v>
          </cell>
        </row>
        <row r="393">
          <cell r="B393" t="str">
            <v>Substitution à des fertilisants chimiques et/ou à de la tourbe</v>
          </cell>
          <cell r="C393" t="str">
            <v>Chemical fertilisers and/or peat substitution</v>
          </cell>
        </row>
        <row r="394">
          <cell r="B394" t="str">
            <v>POUR INFORMATION UNIQUEMENT
Séquestration carbone</v>
          </cell>
          <cell r="C394" t="str">
            <v xml:space="preserve">FOR INFORMATION ONLY
Carbon sequestration
</v>
          </cell>
        </row>
        <row r="395">
          <cell r="B395" t="str">
            <v>Substitution à des fertilisants chimiques et/ou à de la tourbe</v>
          </cell>
          <cell r="C395" t="str">
            <v>Chemical fertilisers and peat substitution</v>
          </cell>
        </row>
        <row r="396">
          <cell r="B396" t="str">
            <v>Total des émissions évitées par la substitution du compost à des fertilisants chimiques et à de la tourbe</v>
          </cell>
          <cell r="C396" t="str">
            <v>Chemical fertilisers and peat substitution total avoided emissions</v>
          </cell>
        </row>
        <row r="397">
          <cell r="B397" t="str">
            <v>* voir les facteurs proposés à l'onglet 'Recycling factors'</v>
          </cell>
          <cell r="C397" t="str">
            <v>* see factors proposed in the 'Recycling Factors' sheet</v>
          </cell>
        </row>
        <row r="398">
          <cell r="B398" t="str">
            <v>Facteur d'émission
kgCO2e/t épandue</v>
          </cell>
          <cell r="C398" t="str">
            <v>Emission factor
kgCO2e/t landspread</v>
          </cell>
        </row>
        <row r="399">
          <cell r="B399" t="str">
            <v>Emissions évitées
tCO2e</v>
          </cell>
          <cell r="C399" t="str">
            <v>Avoided emissions
tCO2e</v>
          </cell>
        </row>
        <row r="400">
          <cell r="B400" t="str">
            <v>2- TRAITEMENTS THERMIQUES</v>
          </cell>
          <cell r="C400" t="str">
            <v>2- THERMAL TREATMENT</v>
          </cell>
        </row>
        <row r="401">
          <cell r="B401" t="str">
            <v xml:space="preserve"> - Facteurs d'émissions - </v>
          </cell>
          <cell r="C401" t="str">
            <v xml:space="preserve"> - Emissions Factors - </v>
          </cell>
        </row>
        <row r="402">
          <cell r="B402" t="str">
            <v>Type de facteur</v>
          </cell>
          <cell r="C402" t="str">
            <v>Type of factor</v>
          </cell>
        </row>
        <row r="403">
          <cell r="B403" t="str">
            <v>1 - Facteurs d'émissions par type de combustible utilisé</v>
          </cell>
          <cell r="C403" t="str">
            <v>1 - Emission factors by fuel type</v>
          </cell>
        </row>
        <row r="404">
          <cell r="B404" t="str">
            <v>2 - Facteurs d'émissions par MWh (distinction en fonction du pays producteur)</v>
          </cell>
          <cell r="C404" t="str">
            <v>2 - Emission factors per MWh (distinction depending on the producing country)</v>
          </cell>
        </row>
        <row r="405">
          <cell r="B405" t="str">
            <v>3 - Contenu carbone et teneur moyenne en carbone biogénique des ordures ménagères</v>
          </cell>
          <cell r="C405" t="str">
            <v>3 - Carbon content and biogenic carbon average rate in municipal solid waste</v>
          </cell>
        </row>
        <row r="406">
          <cell r="B406" t="str">
            <v>5 - Facteurs pour la valorisation des ferrailles et mâchefers de l'incinération</v>
          </cell>
          <cell r="C406" t="str">
            <v>5 - Factors for the recovery of slag and bottom ash from incineration</v>
          </cell>
        </row>
        <row r="407">
          <cell r="B407" t="str">
            <v>6 - Facteurs pour le compost réutilisé en agriculture</v>
          </cell>
          <cell r="C407" t="str">
            <v>6 - Factors for agricultural recovery of compost</v>
          </cell>
        </row>
        <row r="408">
          <cell r="B408" t="str">
            <v>Onglets d'utilisation</v>
          </cell>
          <cell r="C408" t="str">
            <v>Used in sheets</v>
          </cell>
        </row>
        <row r="409">
          <cell r="B409" t="str">
            <v>Tous les onglets</v>
          </cell>
          <cell r="C409" t="str">
            <v>In every sheet</v>
          </cell>
        </row>
        <row r="410">
          <cell r="B410" t="str">
            <v>Evitées -  Avoided</v>
          </cell>
          <cell r="C410" t="str">
            <v>Evitées -  Avoided</v>
          </cell>
        </row>
        <row r="411">
          <cell r="B411" t="str">
            <v>Incinération</v>
          </cell>
          <cell r="C411" t="str">
            <v>Incineration</v>
          </cell>
        </row>
        <row r="412">
          <cell r="B412" t="str">
            <v>Eaux usées</v>
          </cell>
          <cell r="C412" t="str">
            <v>Wastewater</v>
          </cell>
        </row>
        <row r="413">
          <cell r="B413" t="str">
            <v>7 - Emissions évitées par l'utilisation de Combustibles Solides de Récupération (CSR)</v>
          </cell>
          <cell r="C413" t="str">
            <v>7 - Avoided emissions factors associated with Refuse Derived Fuels (RDF)</v>
          </cell>
        </row>
        <row r="414">
          <cell r="B414" t="str">
            <v>Facteurs d'émissions de CO2 d'installations de combustion en fonction du type de combustible utilisé</v>
          </cell>
          <cell r="C414" t="str">
            <v>CO2 emission factors from combustion facilities per type of used fuels</v>
          </cell>
        </row>
        <row r="415">
          <cell r="B415" t="str">
            <v>GIEC : Revised IPCC guidelines for national greenhouse gas inventories :
reference manual http://www.ipcc-nggip.iges.or.jp/public/gl/invs1.htm</v>
          </cell>
          <cell r="C415" t="str">
            <v>IPCC : Revised IPCC guidelines for national greenhouse gas inventories : reference manual http://www.ipcc-nggip.iges.or.jp/public/gl/invs1.htm</v>
          </cell>
        </row>
        <row r="416">
          <cell r="B416" t="str">
            <v>Incineration</v>
          </cell>
          <cell r="C416" t="str">
            <v>Incineration</v>
          </cell>
        </row>
        <row r="417">
          <cell r="B417" t="str">
            <v>GhG Protocol : http://www.ghgprotocol.org/templates/GHG5/layout.asp?MenuID=849</v>
          </cell>
          <cell r="C417" t="str">
            <v>GhG Protocol : http://www.ghgprotocol.org/templates/GHG5/layout.asp?MenuID=849</v>
          </cell>
        </row>
        <row r="418">
          <cell r="B418" t="str">
            <v>CITEPA : http://www.citepa.org/publications/Inventaires.htm</v>
          </cell>
          <cell r="C418" t="str">
            <v>CITEPA : http://www.citepa.org/publications/Inventaires.htm</v>
          </cell>
        </row>
        <row r="419">
          <cell r="B419" t="str">
            <v>Type de combustible</v>
          </cell>
          <cell r="C419" t="str">
            <v>Fuel type</v>
          </cell>
        </row>
        <row r="420">
          <cell r="B420" t="str">
            <v>Unité</v>
          </cell>
          <cell r="C420" t="str">
            <v>Unit</v>
          </cell>
        </row>
        <row r="421">
          <cell r="B421" t="str">
            <v>Facteur d'émission</v>
          </cell>
          <cell r="C421" t="str">
            <v>Emission Factors</v>
          </cell>
        </row>
        <row r="422">
          <cell r="B422" t="str">
            <v>IPCC, 2006</v>
          </cell>
          <cell r="C422" t="str">
            <v>GIEC, 2006</v>
          </cell>
        </row>
        <row r="423">
          <cell r="B423" t="str">
            <v>CITEPA, 2005</v>
          </cell>
          <cell r="C423" t="str">
            <v>CITEPA, 2005</v>
          </cell>
        </row>
        <row r="424">
          <cell r="B424" t="str">
            <v>ADEME 2005</v>
          </cell>
          <cell r="C424" t="str">
            <v>ADEME 2005</v>
          </cell>
        </row>
        <row r="425">
          <cell r="B425" t="str">
            <v>Fioul lourd</v>
          </cell>
          <cell r="C425" t="str">
            <v>Fuel oil</v>
          </cell>
        </row>
        <row r="426">
          <cell r="B426" t="str">
            <v>Fioul domestique / Gazoil</v>
          </cell>
          <cell r="C426" t="str">
            <v>Gasoil</v>
          </cell>
        </row>
        <row r="427">
          <cell r="B427" t="str">
            <v>Gaz naturel</v>
          </cell>
          <cell r="C427" t="str">
            <v>Natural Gas</v>
          </cell>
        </row>
        <row r="428">
          <cell r="B428" t="str">
            <v>t CO2/t</v>
          </cell>
          <cell r="C428" t="str">
            <v>t CO2/t</v>
          </cell>
        </row>
        <row r="429">
          <cell r="B429" t="str">
            <v>t CO2/GJ</v>
          </cell>
          <cell r="C429" t="str">
            <v>t CO2/GJ</v>
          </cell>
        </row>
        <row r="430">
          <cell r="B430" t="str">
            <v>GhG protocol (IEA)</v>
          </cell>
          <cell r="C430" t="str">
            <v>GhG protocol (IEA)</v>
          </cell>
        </row>
        <row r="431">
          <cell r="B431" t="str">
            <v>Emissions de CO2 par kWh pour les procédés de production d'électricité et/ou de chaleur</v>
          </cell>
          <cell r="C431" t="str">
            <v>CO2 emissions per MWh for electricity and/or heat production processes</v>
          </cell>
        </row>
        <row r="432">
          <cell r="B432" t="str">
            <v>Facteurs d'émissions en grammes de CO2 / kWh résultant de la consommation de combustibles utilisés dans les usines de production d'électricité et de chaleur : fuel, gaz, charbon, nucléaire, hydro, géothermie, solaire, biomasse.</v>
          </cell>
          <cell r="C432" t="str">
            <v xml:space="preserve">Emission factors (in grams CO2 / kWh) linked to fuel consumption by electricity and heat production plants : oil, gas, coal, nuclear, hydro, geothermal, solar and biomass. </v>
          </cell>
        </row>
        <row r="433">
          <cell r="B433" t="str">
            <v>Données International Energy Agency "CO2 Emissions from Fuel Combustion (2009 Edition)", disponibles sur le site de l'IEA (http://www.iea.org/publications/free_new_Desc.asp?PUBS_ID=2143).</v>
          </cell>
          <cell r="C433" t="str">
            <v>Source :International Energy Agency 'CO2 Emissions from Fuel Combustion (2009 Edition)', available on the IEA website http://www.iea.org/publications/free_new_Desc.asp?PUBS_ID=2143</v>
          </cell>
        </row>
        <row r="434">
          <cell r="B434" t="str">
            <v>Les facteurs moyennés sur des zones géographiques sont indiqués en orange.</v>
          </cell>
          <cell r="C434" t="str">
            <v>Average factors on a geographic area are presented in orange.</v>
          </cell>
        </row>
        <row r="435">
          <cell r="B435" t="str">
            <v>Pays</v>
          </cell>
          <cell r="C435" t="str">
            <v>Country</v>
          </cell>
        </row>
        <row r="436">
          <cell r="B436" t="str">
            <v>Les données des pays non-Annexe 1 sont moins fiables que celles pour les pays de l'Annexe 1. Ces facteurs d'émissions doivent être utilisés avec précaution.</v>
          </cell>
          <cell r="C436" t="str">
            <v>Data for non-Annex 1 countries are less accurate that the ones for Annex 1 countries. These emissions factors should be used carefully.</v>
          </cell>
        </row>
        <row r="437">
          <cell r="B437" t="str">
            <v>Teneur moyenne des ordures ménagères (OM) en carbone biogénique</v>
          </cell>
          <cell r="C437" t="str">
            <v>Average content of biogenic carbon in Household Waste (HW)</v>
          </cell>
        </row>
        <row r="438">
          <cell r="B438" t="str">
            <v xml:space="preserve">Source (hors France): Agence Européenne pour l'Environnement, 2005 </v>
          </cell>
          <cell r="C438" t="str">
            <v xml:space="preserve">Source (except France): European Environment Agency, 2005 </v>
          </cell>
        </row>
        <row r="439">
          <cell r="B439" t="str">
            <v>Pour la France : source ADEME 2004</v>
          </cell>
          <cell r="C439" t="str">
            <v>For France: source ADEME 2004</v>
          </cell>
        </row>
        <row r="440">
          <cell r="B440" t="str">
            <v>Teneur en carbone biogénique dans les OM</v>
          </cell>
          <cell r="C440" t="str">
            <v>Biogenic carbon content in MSW</v>
          </cell>
        </row>
        <row r="441">
          <cell r="B441" t="str">
            <v>tC/tOM</v>
          </cell>
          <cell r="C441" t="str">
            <v>tC/tMSW</v>
          </cell>
        </row>
        <row r="442">
          <cell r="B442" t="str">
            <v>Emissions liées au traitement des eaux usées</v>
          </cell>
          <cell r="C442" t="str">
            <v>Emissions from wastewater treatment</v>
          </cell>
        </row>
        <row r="443">
          <cell r="B443" t="str">
            <v>Source :  GIEC (1996)</v>
          </cell>
          <cell r="C443" t="str">
            <v>Source: IPCC (1996)</v>
          </cell>
        </row>
        <row r="444">
          <cell r="B444" t="str">
            <v>Emissions de CH4 converties en tonnes CO2eq</v>
          </cell>
          <cell r="C444" t="str">
            <v>CH4 emissions converted in tCO2 equivalent</v>
          </cell>
        </row>
        <row r="445">
          <cell r="B445" t="str">
            <v>Emissions évitées liées à la valorisation des ferrailles et mâchefers</v>
          </cell>
          <cell r="C445" t="str">
            <v>Avoided emissions related to the recovery of slag and bottom ash</v>
          </cell>
        </row>
        <row r="446">
          <cell r="B446" t="str">
            <v>Source : ADEME 2007</v>
          </cell>
          <cell r="C446" t="str">
            <v>Source: ADEME 2007</v>
          </cell>
        </row>
        <row r="447">
          <cell r="B447" t="str">
            <v>Matière</v>
          </cell>
          <cell r="C447" t="str">
            <v>Material</v>
          </cell>
        </row>
        <row r="448">
          <cell r="B448" t="str">
            <v>Mâchefers</v>
          </cell>
          <cell r="C448" t="str">
            <v>Bottom ash</v>
          </cell>
        </row>
        <row r="449">
          <cell r="B449" t="str">
            <v>Ferrailles</v>
          </cell>
          <cell r="C449" t="str">
            <v>Slag</v>
          </cell>
        </row>
        <row r="450">
          <cell r="B450" t="str">
            <v>Remarque : Les mâchefers issus de l'incinération des déchets peuvent être utilisés en technique routière en substitution aux graviers. Le calcul des émissions évitées liées à la valorisation des mâchefers dépend du contexte local : quantité de fuel et d'électricité utilisés pour la fabrication d'une tonne de gravier. Les études actuellement disponibles estiment que l'utilisation de mâchefers en technique routière n'apporte quasiment aucun bénéfice en terme d'effet de serre.</v>
          </cell>
          <cell r="C450" t="str">
            <v>Remark : Bottom ash from waste incineration can be used instated of gravel. The calculation of the avoided emissions related to bottom ash recovery depend on the local context : quantity of fuel and electricity used for the fabrication of one tonne of gravel. Studies currently available state that using bottom ashes in roads provides virtually no GHG savings.</v>
          </cell>
        </row>
        <row r="451">
          <cell r="B451" t="str">
            <v>Afrique</v>
          </cell>
          <cell r="C451" t="str">
            <v>Africa</v>
          </cell>
        </row>
        <row r="452">
          <cell r="B452" t="str">
            <v>Asie &amp; Amérique latine</v>
          </cell>
          <cell r="C452" t="str">
            <v>Asia &amp; Latin America</v>
          </cell>
        </row>
        <row r="453">
          <cell r="B453" t="str">
            <v>Pays de l'OCDE</v>
          </cell>
          <cell r="C453" t="str">
            <v>OECD Countries</v>
          </cell>
        </row>
        <row r="454">
          <cell r="B454" t="str">
            <v>Teneur en Carbone biogénique par rapport au carbone total (t Cbio/tC)</v>
          </cell>
          <cell r="C454" t="str">
            <v>Fraction of biogenic carbon in total carbon (t Cbio/tC)</v>
          </cell>
        </row>
        <row r="455">
          <cell r="B455" t="str">
            <v>Emissions de CO2 par kWh pour les procédés de production d'électricité</v>
          </cell>
          <cell r="C455" t="str">
            <v>CO2 emissions per kWh for electricity production processes</v>
          </cell>
        </row>
        <row r="456">
          <cell r="B456" t="str">
            <v>Emissions de CO2 par kWh pour les procédés de production de chaleur</v>
          </cell>
          <cell r="C456" t="str">
            <v>CO2 emissions per kWh for heat production processes</v>
          </cell>
        </row>
        <row r="457">
          <cell r="B457" t="str">
            <v>Source d’énergie thermique replacée</v>
          </cell>
          <cell r="C457" t="str">
            <v xml:space="preserve">Thermal energy source replaced </v>
          </cell>
        </row>
        <row r="458">
          <cell r="B458" t="str">
            <v>Facteur d'émission g CO2eq / kWh</v>
          </cell>
          <cell r="C458" t="str">
            <v>Emission Factor (gCO2eq / kWh)</v>
          </cell>
        </row>
        <row r="459">
          <cell r="B459" t="str">
            <v>Chaudière au fuel</v>
          </cell>
          <cell r="C459" t="str">
            <v>Oil boiler</v>
          </cell>
        </row>
        <row r="460">
          <cell r="B460" t="str">
            <v>Chaudière au gaz naturel</v>
          </cell>
          <cell r="C460" t="str">
            <v>Natural gas boiler</v>
          </cell>
        </row>
        <row r="461">
          <cell r="B461" t="str">
            <v>Chauffage collectif au fuel</v>
          </cell>
          <cell r="C461" t="str">
            <v>Collective oil heating</v>
          </cell>
        </row>
        <row r="462">
          <cell r="B462" t="str">
            <v>Chauffage collectif au gaz naturel</v>
          </cell>
          <cell r="C462" t="str">
            <v>Collective natural gas heating</v>
          </cell>
        </row>
        <row r="463">
          <cell r="B463" t="str">
            <v>Chauffage industriel au fuel</v>
          </cell>
          <cell r="C463" t="str">
            <v>Industrial oil heating</v>
          </cell>
        </row>
        <row r="464">
          <cell r="B464" t="str">
            <v>Chauffage industriel au gaz naturel</v>
          </cell>
          <cell r="C464" t="str">
            <v>Industrial natural gas heating</v>
          </cell>
        </row>
        <row r="465">
          <cell r="B465" t="str">
            <v>Chaleur, moyenne européenne</v>
          </cell>
          <cell r="C465" t="str">
            <v>Heat, european average</v>
          </cell>
        </row>
        <row r="466">
          <cell r="B466" t="str">
            <v>ADEME et Gaz de France, Rapport d'ACV des modes de valorisation énergétique du biogaz, 2007</v>
          </cell>
          <cell r="C466" t="str">
            <v>ADEME and Gaz de France, LCA report on the different types of biogas recovery, 2007</v>
          </cell>
        </row>
        <row r="467">
          <cell r="B467" t="str">
            <v>ADEME et BIO Intelligence Service, Rapport d'ACV du chauffage collectif et industriel au bois, 2005</v>
          </cell>
          <cell r="C467" t="str">
            <v>ADEME and BIO Intelligence Service, LCA report on Collective and Industrial wood heating, 2005</v>
          </cell>
        </row>
        <row r="468">
          <cell r="B468" t="str">
            <v>AEA Technology, Waste management options and climate change, 2001</v>
          </cell>
          <cell r="C468" t="str">
            <v>AEA Technology, Waste management options and climate change, 2001</v>
          </cell>
        </row>
        <row r="469">
          <cell r="B469" t="str">
            <v>Emissions évitées = Emissions générées pour produire le compost et l'épandre - Emissions générées pour produire et épandre les fertilisants</v>
          </cell>
          <cell r="C469" t="str">
            <v xml:space="preserve">Avoided Emissions = Emissions from compost production and application - Emissions from production and use of fertilizer and organic substance in a functional equivalent to compost </v>
          </cell>
        </row>
        <row r="470">
          <cell r="C470">
            <v>469</v>
          </cell>
        </row>
        <row r="471">
          <cell r="C471">
            <v>470</v>
          </cell>
        </row>
        <row r="472">
          <cell r="B472" t="str">
            <v xml:space="preserve"> - Facteurs d'émissions évitées par le recyclage -</v>
          </cell>
          <cell r="C472" t="str">
            <v xml:space="preserve"> - Factors for avoided emissions from recycling -</v>
          </cell>
        </row>
        <row r="473">
          <cell r="B473" t="str">
            <v>Les valeurs indiquées ci-dessous proviennent de trois publications : une étude européenne d'AEA Technology pour la DG Environnement, une publication de l'US EPA et une étude française ADEME/Ecobilan.</v>
          </cell>
          <cell r="C473" t="str">
            <v>The values below originate from three publications : a European study by AEA Technology for the Environment DG, a publication from US EPA and a French study ADEME/Ecobilan.</v>
          </cell>
        </row>
        <row r="474">
          <cell r="B474" t="str">
            <v>L'utilisateur choisira les valeurs les plus adaptées à la localisation géographique des sites concernés.</v>
          </cell>
          <cell r="C474" t="str">
            <v>The user will choose the most appropriate values according to the geographical location of the considered sites.</v>
          </cell>
        </row>
        <row r="475">
          <cell r="B475" t="str">
            <v xml:space="preserve">Toutes les valeurs sont données en tonnes métriques de CO2 / tonne métrique de matériaux. 
En ce qui concerne les données américaines, les facteurs ont été convertis en tonnes métriques de CO2e par tonne métrique de matériaux à partir des données originales de l’étude données en tonnes métriques de CO2 / short tons (facteur de conversion : division par 0,9071847). </v>
          </cell>
          <cell r="C475" t="str">
            <v xml:space="preserve">All these values are given in metric tonnes of CO2 / metric tonne of material. 
As far as the American values are concerned, factors have been converted into metric tonnes of CO2 / metric tonne of material taking as a starting point the original values given in metric tonnes of CO2 / short ton of material (conversion factor : division by 0,9071847). </v>
          </cell>
        </row>
        <row r="476">
          <cell r="B476" t="str">
            <v>Titre du document</v>
          </cell>
          <cell r="C476" t="str">
            <v>Title of the document</v>
          </cell>
        </row>
        <row r="477">
          <cell r="B477" t="str">
            <v>Waste management options and climate change, AEA Technology pour la DG Environnement</v>
          </cell>
          <cell r="C477" t="str">
            <v>Waste management options and climate change, AEA Technology pour la DG Environnement</v>
          </cell>
        </row>
        <row r="478">
          <cell r="B478" t="str">
            <v>Solid Waste Management and Greenhouse Gases: A Life-Cycle Assessment of Emissions and Sinks, 3rd edition, US EPA</v>
          </cell>
          <cell r="C478" t="str">
            <v>Solid Waste Management and Greenhouse Gases: A Life-Cycle Assessment of Emissions and Sinks, 3rd edition, US EPA</v>
          </cell>
        </row>
        <row r="479">
          <cell r="B479" t="str">
            <v>Etude technico-économique sur le bilan des filières de recyclage, ADEME/Ecobilan</v>
          </cell>
          <cell r="C479" t="str">
            <v>Etude technico-économique sur le bilan des filières de recyclage, ADEME/Ecobilan</v>
          </cell>
        </row>
        <row r="480">
          <cell r="B480" t="str">
            <v>Périmètre</v>
          </cell>
          <cell r="C480" t="str">
            <v>Perimeter</v>
          </cell>
        </row>
        <row r="481">
          <cell r="B481" t="str">
            <v>Intègre le transport et les émissions des sites de tri</v>
          </cell>
          <cell r="C481" t="str">
            <v>Includes transport and emissions from sorting facilities</v>
          </cell>
        </row>
        <row r="482">
          <cell r="B482" t="str">
            <v>Intègre le transport, les émissions des sites de tri, et le carbone séquestré (séquestration du carbone par les arbres qui auraient été coupés en l’absence de recyclage)</v>
          </cell>
          <cell r="C482" t="str">
            <v xml:space="preserve">Includes transport, emissions from sorting facilities and sequestered carbon (carbon sequestration in the trees that would have been cut in the absence of recycling). </v>
          </cell>
        </row>
        <row r="483">
          <cell r="B483" t="str">
            <v xml:space="preserve">Recyclage seul (impact du recyclage de 1 tonne de déchets en entrée du site de recyclage) </v>
          </cell>
          <cell r="C483" t="str">
            <v>Recycling only (impact of the recycling of 1 tonne of waste at the entrance of the recycling facility)</v>
          </cell>
        </row>
        <row r="484">
          <cell r="B484" t="str">
            <v>Année publication</v>
          </cell>
          <cell r="C484" t="str">
            <v>Publication year</v>
          </cell>
        </row>
        <row r="485">
          <cell r="B485" t="str">
            <v>Materiaux</v>
          </cell>
          <cell r="C485" t="str">
            <v>Material</v>
          </cell>
        </row>
        <row r="486">
          <cell r="B486" t="str">
            <v>Unité</v>
          </cell>
          <cell r="C486" t="str">
            <v>Unit</v>
          </cell>
        </row>
        <row r="487">
          <cell r="B487" t="str">
            <v>Emissions évitées</v>
          </cell>
          <cell r="C487" t="str">
            <v>Avoided emissions</v>
          </cell>
        </row>
        <row r="488">
          <cell r="B488" t="str">
            <v>Papier</v>
          </cell>
          <cell r="C488" t="str">
            <v>Paper</v>
          </cell>
        </row>
        <row r="489">
          <cell r="B489" t="str">
            <v>HDPE</v>
          </cell>
          <cell r="C489" t="str">
            <v>HDPE</v>
          </cell>
        </row>
        <row r="490">
          <cell r="B490" t="str">
            <v>PET</v>
          </cell>
          <cell r="C490" t="str">
            <v>PET</v>
          </cell>
        </row>
        <row r="491">
          <cell r="B491" t="str">
            <v>VERRE</v>
          </cell>
          <cell r="C491" t="str">
            <v>GLASS</v>
          </cell>
        </row>
        <row r="492">
          <cell r="B492" t="str">
            <v>METAUX FERREUX</v>
          </cell>
          <cell r="C492" t="str">
            <v>FERROUS METALS</v>
          </cell>
        </row>
        <row r="493">
          <cell r="B493" t="str">
            <v>Aluminium</v>
          </cell>
          <cell r="C493" t="str">
            <v>Aluminium</v>
          </cell>
        </row>
        <row r="494">
          <cell r="B494" t="str">
            <v>Textiles</v>
          </cell>
          <cell r="C494" t="str">
            <v>Textiles</v>
          </cell>
        </row>
        <row r="495">
          <cell r="B495" t="str">
            <v>Canettes en aluminium</v>
          </cell>
          <cell r="C495" t="str">
            <v>Aluminum Cans</v>
          </cell>
        </row>
        <row r="496">
          <cell r="B496" t="str">
            <v>Canettes en acier</v>
          </cell>
          <cell r="C496" t="str">
            <v>Steel Cans</v>
          </cell>
        </row>
        <row r="497">
          <cell r="B497" t="str">
            <v>Fil de cuivre</v>
          </cell>
          <cell r="C497" t="str">
            <v>Copper Wire</v>
          </cell>
        </row>
        <row r="498">
          <cell r="B498" t="str">
            <v>Verre</v>
          </cell>
          <cell r="C498" t="str">
            <v>Glass</v>
          </cell>
        </row>
        <row r="499">
          <cell r="B499" t="str">
            <v>HDPE</v>
          </cell>
          <cell r="C499" t="str">
            <v>HDPE</v>
          </cell>
        </row>
        <row r="500">
          <cell r="B500" t="str">
            <v>LDPE</v>
          </cell>
          <cell r="C500" t="str">
            <v>LDPE</v>
          </cell>
        </row>
        <row r="501">
          <cell r="B501" t="str">
            <v>PET</v>
          </cell>
          <cell r="C501" t="str">
            <v>PET</v>
          </cell>
        </row>
        <row r="502">
          <cell r="B502" t="str">
            <v>Carton ondulé</v>
          </cell>
          <cell r="C502" t="str">
            <v>Corrugated Box</v>
          </cell>
        </row>
        <row r="503">
          <cell r="B503" t="str">
            <v>Magazines</v>
          </cell>
          <cell r="C503" t="str">
            <v>Magazines</v>
          </cell>
        </row>
        <row r="504">
          <cell r="B504" t="str">
            <v>Journaux</v>
          </cell>
          <cell r="C504" t="str">
            <v>Newspaper</v>
          </cell>
        </row>
        <row r="505">
          <cell r="B505" t="str">
            <v>Papier de bureau</v>
          </cell>
          <cell r="C505" t="str">
            <v>Office Paper</v>
          </cell>
        </row>
        <row r="506">
          <cell r="B506" t="str">
            <v>Annuaires</v>
          </cell>
          <cell r="C506" t="str">
            <v>Phonebook</v>
          </cell>
        </row>
        <row r="507">
          <cell r="B507" t="str">
            <v xml:space="preserve">Cahiers </v>
          </cell>
          <cell r="C507" t="str">
            <v>Textbook</v>
          </cell>
        </row>
        <row r="508">
          <cell r="B508" t="str">
            <v>Planches de bois</v>
          </cell>
          <cell r="C508" t="str">
            <v>Dimensional Lumber</v>
          </cell>
        </row>
        <row r="509">
          <cell r="B509" t="str">
            <v>Panneaux de fibres</v>
          </cell>
          <cell r="C509" t="str">
            <v>Fiberboard</v>
          </cell>
        </row>
        <row r="510">
          <cell r="B510" t="str">
            <v>Panneaux en papiers mélangés</v>
          </cell>
          <cell r="C510" t="str">
            <v>Mixed Paper Board</v>
          </cell>
        </row>
        <row r="511">
          <cell r="B511" t="str">
            <v>Papiers mélangés - résidentiel</v>
          </cell>
          <cell r="C511" t="str">
            <v>Mixed Paper - Residential</v>
          </cell>
        </row>
        <row r="512">
          <cell r="B512" t="str">
            <v>Plastiques mélangés</v>
          </cell>
          <cell r="C512" t="str">
            <v>Mixed Plastics</v>
          </cell>
        </row>
        <row r="513">
          <cell r="B513" t="str">
            <v>Matériaux reyclables mélangés</v>
          </cell>
          <cell r="C513" t="str">
            <v>Mixed Recyclables</v>
          </cell>
        </row>
        <row r="514">
          <cell r="B514" t="str">
            <v>Tapis</v>
          </cell>
          <cell r="C514" t="str">
            <v>Carpets</v>
          </cell>
        </row>
        <row r="515">
          <cell r="B515" t="str">
            <v>Ordinateurs</v>
          </cell>
          <cell r="C515" t="str">
            <v>PCs</v>
          </cell>
        </row>
        <row r="516">
          <cell r="B516" t="str">
            <v>Aggrégat</v>
          </cell>
          <cell r="C516" t="str">
            <v>Aggregate</v>
          </cell>
        </row>
        <row r="517">
          <cell r="B517" t="str">
            <v>Cendres</v>
          </cell>
          <cell r="C517" t="str">
            <v>FlyAsh</v>
          </cell>
        </row>
        <row r="518">
          <cell r="B518" t="str">
            <v>Pneus</v>
          </cell>
          <cell r="C518" t="str">
            <v>Tires</v>
          </cell>
        </row>
        <row r="519">
          <cell r="B519" t="str">
            <v>Acier</v>
          </cell>
          <cell r="C519" t="str">
            <v>Steel</v>
          </cell>
        </row>
        <row r="520">
          <cell r="B520" t="str">
            <v>Aluminium</v>
          </cell>
          <cell r="C520" t="str">
            <v>Aluminium</v>
          </cell>
        </row>
        <row r="521">
          <cell r="B521" t="str">
            <v>Plomb</v>
          </cell>
          <cell r="C521" t="str">
            <v>Lead</v>
          </cell>
        </row>
        <row r="522">
          <cell r="B522" t="str">
            <v>Cuivre</v>
          </cell>
          <cell r="C522" t="str">
            <v>Copper Wire</v>
          </cell>
        </row>
        <row r="523">
          <cell r="B523" t="str">
            <v>Cartons d'emballage</v>
          </cell>
          <cell r="C523" t="str">
            <v>Cardboard packing</v>
          </cell>
        </row>
        <row r="524">
          <cell r="B524" t="str">
            <v>Papiers à usage graphique</v>
          </cell>
          <cell r="C524" t="str">
            <v>Graphic papers</v>
          </cell>
        </row>
        <row r="525">
          <cell r="B525" t="str">
            <v>Papiers spéciaux et d'hygiène</v>
          </cell>
          <cell r="C525" t="str">
            <v>Special and hygiene papers</v>
          </cell>
        </row>
        <row r="526">
          <cell r="B526" t="str">
            <v>Verre</v>
          </cell>
          <cell r="C526" t="str">
            <v>Glass</v>
          </cell>
        </row>
        <row r="527">
          <cell r="B527" t="str">
            <v>PE</v>
          </cell>
          <cell r="C527" t="str">
            <v>PE</v>
          </cell>
        </row>
        <row r="528">
          <cell r="B528" t="str">
            <v>PET</v>
          </cell>
          <cell r="C528" t="str">
            <v>PET</v>
          </cell>
        </row>
        <row r="529">
          <cell r="B529" t="str">
            <v>Remarque : Si l'utilisateur souhaite utiliser des facteurs d'émissions autres que ceux fournis ci-dessous, il doit les documenter et donner les références de l'étude ACV (Analyse de Cycle de Vie) à l'origine de ses valeurs.</v>
          </cell>
          <cell r="C529" t="str">
            <v>Remark : If the user wants to use values other than those cited below, he should document them and give the references of the LCA study at the origin of his figures.</v>
          </cell>
        </row>
        <row r="530">
          <cell r="B530" t="str">
            <v>* Merci de vous référer aux émissions évitées associées aux phases finales de traitement/valorisation</v>
          </cell>
          <cell r="C530" t="str">
            <v>* Please refer to avoided emissions associated to final treatment/recovery steps</v>
          </cell>
        </row>
        <row r="532">
          <cell r="B532" t="str">
            <v xml:space="preserve"> - Synthèse des émissions GES - </v>
          </cell>
          <cell r="C532" t="str">
            <v xml:space="preserve"> - Emissions GHG Synthesis - </v>
          </cell>
        </row>
        <row r="533">
          <cell r="B533" t="str">
            <v>Emissions directes</v>
          </cell>
          <cell r="C533" t="str">
            <v>Direct emissions</v>
          </cell>
        </row>
        <row r="534">
          <cell r="B534" t="str">
            <v>Emissions indirectes liées à l'énergie</v>
          </cell>
          <cell r="C534" t="str">
            <v>Indirect emissions due to energy</v>
          </cell>
        </row>
        <row r="535">
          <cell r="B535" t="str">
            <v>Emissions évitées</v>
          </cell>
          <cell r="C535" t="str">
            <v>Avoided emissions</v>
          </cell>
        </row>
        <row r="536">
          <cell r="B536" t="str">
            <v>Installations de combustion fixes</v>
          </cell>
          <cell r="C536" t="str">
            <v>Permanent combustion facility</v>
          </cell>
        </row>
        <row r="537">
          <cell r="B537" t="str">
            <v xml:space="preserve">Transport en propre </v>
          </cell>
          <cell r="C537" t="str">
            <v>Operated transport</v>
          </cell>
        </row>
        <row r="538">
          <cell r="B538" t="str">
            <v>CSD</v>
          </cell>
          <cell r="C538" t="str">
            <v>Landfilling</v>
          </cell>
        </row>
        <row r="539">
          <cell r="B539" t="str">
            <v>Traitements thermiques</v>
          </cell>
          <cell r="C539" t="str">
            <v>Thermal treatment</v>
          </cell>
        </row>
        <row r="540">
          <cell r="B540" t="str">
            <v>Traitement des eaux usées</v>
          </cell>
          <cell r="C540" t="str">
            <v>Wastewater treatment</v>
          </cell>
        </row>
        <row r="541">
          <cell r="B541" t="str">
            <v>Total émissions directes</v>
          </cell>
          <cell r="C541" t="str">
            <v xml:space="preserve">Total direct emissions </v>
          </cell>
        </row>
        <row r="542">
          <cell r="B542" t="str">
            <v>Emissions liées à l'utilisation d'électricité et d'énergie thermique</v>
          </cell>
          <cell r="C542" t="str">
            <v>Emissions related to the use of electricity or thermal energy</v>
          </cell>
        </row>
        <row r="543">
          <cell r="B543" t="str">
            <v>Emissions indirectes liées aux transports</v>
          </cell>
          <cell r="C543" t="str">
            <v>Indirect emissions related to transport</v>
          </cell>
        </row>
        <row r="544">
          <cell r="B544" t="str">
            <v>Total émissions indirectes</v>
          </cell>
          <cell r="C544" t="str">
            <v>Total indirect emissions</v>
          </cell>
        </row>
        <row r="545">
          <cell r="B545" t="str">
            <v>Attention : dans le cas de l'incinération, le calcul a pu être effectué sans calculer les émissions brutes au préalable, selon les données disponibles. Par conséquent, toute exploitation ou comparaison des émissions brutes et nettes doit être effectuée avec précautions.</v>
          </cell>
          <cell r="C545" t="str">
            <v>Beware: for incineration, the calculation could have been made without a prior calculation of the gross emissions before, according to available data. As a consequence, every analysis or comparison of gross and net emissions should be done carefully.</v>
          </cell>
        </row>
        <row r="546">
          <cell r="B546" t="str">
            <v>Attention : les émissions évitées ne doivent pas être déduites du total des émissions directes et/ou indirectes calculées ci-dessus.</v>
          </cell>
          <cell r="C546" t="str">
            <v>Beware: avoided emissions shouldn't be deduced from the total of direct/indirect emissions calculated above.</v>
          </cell>
        </row>
        <row r="547">
          <cell r="B547" t="str">
            <v>Emissions totales évitées</v>
          </cell>
          <cell r="C547" t="str">
            <v>Total avoided emissions</v>
          </cell>
        </row>
        <row r="548">
          <cell r="B548" t="str">
            <v>Valorisation énergétique du biogaz produit</v>
          </cell>
          <cell r="C548" t="str">
            <v>Energy recovery from the produced biogas</v>
          </cell>
        </row>
        <row r="549">
          <cell r="B549" t="str">
            <v xml:space="preserve">Valorisation énergétique issue des traitements thermiques </v>
          </cell>
          <cell r="C549" t="str">
            <v>Energy recovery from thermal treatment</v>
          </cell>
        </row>
        <row r="550">
          <cell r="B550" t="str">
            <v>Valorisation de sous produits d'incinération</v>
          </cell>
          <cell r="C550" t="str">
            <v>Recovery of incineration by-products</v>
          </cell>
        </row>
        <row r="551">
          <cell r="B551" t="str">
            <v>Combustibles de substitution</v>
          </cell>
          <cell r="C551" t="str">
            <v>Alternative fuels</v>
          </cell>
        </row>
        <row r="552">
          <cell r="B552" t="str">
            <v>Tri et recyclage</v>
          </cell>
          <cell r="C552" t="str">
            <v>Sorting and recycling</v>
          </cell>
        </row>
        <row r="553">
          <cell r="B553" t="str">
            <v>Total émissions évitées</v>
          </cell>
          <cell r="C553" t="str">
            <v>Total avoided emissions</v>
          </cell>
        </row>
        <row r="554">
          <cell r="B554" t="str">
            <v>Source</v>
          </cell>
          <cell r="C554" t="str">
            <v>Source</v>
          </cell>
        </row>
        <row r="555">
          <cell r="B555" t="str">
            <v>Emissions directes</v>
          </cell>
          <cell r="C555" t="str">
            <v xml:space="preserve">Direct emissions </v>
          </cell>
        </row>
        <row r="556">
          <cell r="B556" t="str">
            <v>Emissions indirectes</v>
          </cell>
          <cell r="C556" t="str">
            <v>Indirect emissions</v>
          </cell>
        </row>
        <row r="557">
          <cell r="B557" t="str">
            <v>Transport</v>
          </cell>
          <cell r="C557" t="str">
            <v>Transport</v>
          </cell>
        </row>
        <row r="558">
          <cell r="B558" t="str">
            <v>Stockage</v>
          </cell>
          <cell r="C558" t="str">
            <v>Landfilling</v>
          </cell>
        </row>
        <row r="559">
          <cell r="B559" t="str">
            <v>Traitements thermiques</v>
          </cell>
          <cell r="C559" t="str">
            <v>Thermal treatment</v>
          </cell>
        </row>
        <row r="560">
          <cell r="B560" t="str">
            <v>1 - Emissions directes et indirectes (procédés et consommation d'énergie)</v>
          </cell>
          <cell r="C560" t="str">
            <v>1 - Direct and indirect emissions (process and energy consumption)</v>
          </cell>
        </row>
        <row r="561">
          <cell r="B561" t="str">
            <v>2 - Emissions évitées</v>
          </cell>
          <cell r="C561" t="str">
            <v>2 - Avoided emissions</v>
          </cell>
        </row>
        <row r="562">
          <cell r="B562" t="str">
            <v>Valorisation énergétique issue de la méthanisation</v>
          </cell>
          <cell r="C562" t="str">
            <v>Energy recovery from anaerobic digestion</v>
          </cell>
        </row>
        <row r="563">
          <cell r="B563" t="str">
            <v>Préparation de combustibles de substitution</v>
          </cell>
          <cell r="C563" t="str">
            <v>Waste-derived fuel preparation</v>
          </cell>
        </row>
        <row r="564">
          <cell r="B564" t="str">
            <v>Compost épandu</v>
          </cell>
          <cell r="C564" t="str">
            <v>Compost landspread</v>
          </cell>
        </row>
        <row r="565">
          <cell r="B565" t="str">
            <v>3 - Séquestration du carbone</v>
          </cell>
          <cell r="C565" t="str">
            <v>3 - Carbon sequestration</v>
          </cell>
        </row>
        <row r="566">
          <cell r="B566" t="str">
            <v>Attention : la séquestration du carbone ne doit être reportée que pour information. Les quantités correspondantes ne doivent en aucun cas être additionnées aux émissions évitées ou soustraites des émissions directes/indirectes.</v>
          </cell>
          <cell r="C566" t="str">
            <v>Beware : Carbon sequestration should be reported as an information item only. It shoud neither be added to the total of avoided
emissions nor deduced from the total of direct/indirect emissions.</v>
          </cell>
        </row>
        <row r="567">
          <cell r="B567" t="str">
            <v>Séquestration carbone - stockage</v>
          </cell>
          <cell r="C567" t="str">
            <v>Carbon sequestration in landfills</v>
          </cell>
        </row>
        <row r="568">
          <cell r="B568" t="str">
            <v>Séquestration carbone - sols (après épandage de compost)</v>
          </cell>
          <cell r="C568" t="str">
            <v>Carbon sequestration in soils
(after compost spreading)</v>
          </cell>
        </row>
        <row r="569">
          <cell r="B569" t="str">
            <v>Séquestration carbone totale</v>
          </cell>
          <cell r="C569" t="str">
            <v>Total carbon sequestration</v>
          </cell>
        </row>
        <row r="580">
          <cell r="B580" t="str">
            <v>A propos de cet outil</v>
          </cell>
          <cell r="C580" t="str">
            <v>About this tool</v>
          </cell>
        </row>
        <row r="581">
          <cell r="B581" t="str">
            <v>Version de l'outil :</v>
          </cell>
          <cell r="C581" t="str">
            <v>Release number:</v>
          </cell>
        </row>
        <row r="582">
          <cell r="B582" t="str">
            <v>Outil développé par :</v>
          </cell>
          <cell r="C582" t="str">
            <v>Tool developped by:</v>
          </cell>
        </row>
        <row r="583">
          <cell r="B583" t="str">
            <v>Contact :</v>
          </cell>
          <cell r="C583" t="str">
            <v>Contact:</v>
          </cell>
        </row>
        <row r="584">
          <cell r="B584" t="str">
            <v>Version 5.0, Octobre 2013</v>
          </cell>
          <cell r="C584" t="str">
            <v>5.0, October 2013</v>
          </cell>
        </row>
        <row r="592">
          <cell r="B592" t="str">
            <v>voir la section "Derived fuel preparation"</v>
          </cell>
          <cell r="C592" t="str">
            <v>see Derived fuel preparation section</v>
          </cell>
        </row>
        <row r="593">
          <cell r="B593" t="str">
            <v>Liste des types de sources - RESULTATS</v>
          </cell>
          <cell r="C593" t="str">
            <v>Source Type List -  RESULTS</v>
          </cell>
        </row>
        <row r="594">
          <cell r="B594" t="str">
            <v>ACTIVITES</v>
          </cell>
          <cell r="C594" t="str">
            <v>ACTIVITIES</v>
          </cell>
        </row>
        <row r="595">
          <cell r="B595" t="str">
            <v>INTRODUCTION</v>
          </cell>
          <cell r="C595" t="str">
            <v>INTRODUCTION</v>
          </cell>
        </row>
        <row r="596">
          <cell r="B596" t="str">
            <v>1. Identifier les sources d'émission</v>
          </cell>
          <cell r="C596" t="str">
            <v>1. Identify GHG sources</v>
          </cell>
        </row>
        <row r="597">
          <cell r="B597" t="str">
            <v>2.1. Compléter les onglets avec des données d'activités</v>
          </cell>
          <cell r="C597" t="str">
            <v>2.1. Fill in your activity data</v>
          </cell>
        </row>
        <row r="598">
          <cell r="B598" t="str">
            <v>2.2. Chercher les facteurs d'émissions spécifiques nécessaires</v>
          </cell>
          <cell r="C598" t="str">
            <v>2.2. Look for specific emission factors you may need</v>
          </cell>
        </row>
        <row r="599">
          <cell r="B599" t="str">
            <v>3. Obtenir les résultats</v>
          </cell>
          <cell r="C599" t="str">
            <v>3. Get your results</v>
          </cell>
        </row>
        <row r="600">
          <cell r="B600" t="str">
            <v>Nom de l'onglet</v>
          </cell>
          <cell r="C600" t="str">
            <v>Sheet name</v>
          </cell>
        </row>
        <row r="601">
          <cell r="B601" t="str">
            <v>Ce que vous trouverez dans l'onglet</v>
          </cell>
          <cell r="C601" t="str">
            <v>What you will find in the corresponding sheet</v>
          </cell>
        </row>
        <row r="602">
          <cell r="B602" t="str">
            <v>Lien</v>
          </cell>
          <cell r="C602" t="str">
            <v>Link</v>
          </cell>
        </row>
        <row r="603">
          <cell r="B603" t="str">
            <v>Etape par étape</v>
          </cell>
          <cell r="C603" t="str">
            <v>Step by step</v>
          </cell>
        </row>
        <row r="604">
          <cell r="B604" t="str">
            <v>Liste des types de sources</v>
          </cell>
          <cell r="C604" t="str">
            <v xml:space="preserve">Source Type List </v>
          </cell>
        </row>
        <row r="605">
          <cell r="B605" t="str">
            <v>Tri-Transfert</v>
          </cell>
          <cell r="C605" t="str">
            <v>Sorting - Transfer</v>
          </cell>
        </row>
        <row r="606">
          <cell r="B606" t="str">
            <v>Méthanisation</v>
          </cell>
          <cell r="C606" t="str">
            <v>Anaerobic Digestion</v>
          </cell>
        </row>
        <row r="607">
          <cell r="B607" t="str">
            <v>Compostage</v>
          </cell>
          <cell r="C607" t="str">
            <v>Composting</v>
          </cell>
        </row>
        <row r="608">
          <cell r="B608" t="str">
            <v>Préparation de combustibles de substitution</v>
          </cell>
          <cell r="C608" t="str">
            <v>Waste-derived fuel preparation</v>
          </cell>
        </row>
        <row r="609">
          <cell r="B609" t="str">
            <v>TMB</v>
          </cell>
          <cell r="C609" t="str">
            <v>MBT</v>
          </cell>
        </row>
        <row r="610">
          <cell r="B610" t="str">
            <v>Liste des types de sources avec résultats</v>
          </cell>
          <cell r="C610" t="str">
            <v>Source Type List with Results</v>
          </cell>
        </row>
        <row r="611">
          <cell r="B611" t="str">
            <v>A propos</v>
          </cell>
          <cell r="C611" t="str">
            <v xml:space="preserve">About </v>
          </cell>
        </row>
        <row r="612">
          <cell r="B612" t="str">
            <v>Etablissement de la liste des sources incluses dans le perimètre de reporting</v>
          </cell>
          <cell r="C612" t="str">
            <v>Establishment of list of the source types included in the reporting perimeter</v>
          </cell>
        </row>
        <row r="613">
          <cell r="B613" t="str">
            <v>Emissions liées aux centres de tri, aux centres de transfert et aux usines de recyclage</v>
          </cell>
          <cell r="C613" t="str">
            <v>Emissions due to sorting facilities, transfer centers and material recovery facilities</v>
          </cell>
        </row>
        <row r="614">
          <cell r="B614" t="str">
            <v>Emissions liées aux activités de méthanisation</v>
          </cell>
          <cell r="C614" t="str">
            <v>Emissions due to anaerobic digestion activities</v>
          </cell>
        </row>
        <row r="615">
          <cell r="B615" t="str">
            <v>Emissions liées aux activités de compostage</v>
          </cell>
          <cell r="C615" t="str">
            <v>Emissions due to composting activities</v>
          </cell>
        </row>
        <row r="616">
          <cell r="B616" t="str">
            <v>Emissions liées à la préparation de combustibles de substitution</v>
          </cell>
          <cell r="C616" t="str">
            <v>Emissions due to waste-derived fuel preparation</v>
          </cell>
        </row>
        <row r="617">
          <cell r="B617" t="str">
            <v>Emissions liées au traitements mécano-biologiques</v>
          </cell>
          <cell r="C617" t="str">
            <v>Emissions due to Mechanical-Biological treatments</v>
          </cell>
        </row>
        <row r="618">
          <cell r="B618" t="str">
            <v>Inventaire récapitulatif par type de source</v>
          </cell>
          <cell r="C618" t="str">
            <v>Inventory recapitulative sheet by source type</v>
          </cell>
        </row>
        <row r="619">
          <cell r="B619" t="str">
            <v>Informations sur la version, le développement et la validation de l'outil</v>
          </cell>
          <cell r="C619" t="str">
            <v>Version and information about who developped this application</v>
          </cell>
        </row>
        <row r="620">
          <cell r="B620" t="str">
            <v xml:space="preserve"> - Liste des sources d'émissions -</v>
          </cell>
          <cell r="C620" t="str">
            <v xml:space="preserve"> - Source Type List -</v>
          </cell>
        </row>
        <row r="621">
          <cell r="B621" t="str">
            <v>Cet onglet doit être utilisé pour établir la liste des types de sources d'émissions à inclure dans l'inventaire. Pour déterminer sa liste de types de sources, l'entité doit identifier toutes les sources sur lesquelles elle exerce un contrôle opérationnel.</v>
          </cell>
          <cell r="C621" t="str">
            <v>This sheet is to be used to establish the Source Type List, identifying Source Types which should be included in the inventory. To determine its Source Types' List, the entity must identify all sources over which it has operationnal control.</v>
          </cell>
        </row>
        <row r="622">
          <cell r="B622" t="str">
            <v>Dans le tableau ci-dessous, indiquez dans les cellules colorées les activités couvertes par le reporting et les types de sources associées qui doivent être inclus dans l'inventaire ("x").</v>
          </cell>
          <cell r="C622" t="str">
            <v>In the table below, indicate in green cells which activities are included in your inventory ("x"). Source Types that should be included in your inventory then appear in color.</v>
          </cell>
        </row>
        <row r="623">
          <cell r="B623" t="str">
            <v>N'oubliez pas que les sous-produits de chaque étape doivent être transportés vers leur installation de traitement final.</v>
          </cell>
          <cell r="C623" t="str">
            <v>Do not forget that the residues from one activity must be transported to their final treatment facility.</v>
          </cell>
        </row>
        <row r="624">
          <cell r="B624" t="str">
            <v>Cellule à compléter par un "X" si concerné par l'activité</v>
          </cell>
          <cell r="C624" t="str">
            <v>Cell to fill in with an "X" if concerned by activity</v>
          </cell>
        </row>
        <row r="625">
          <cell r="B625" t="str">
            <v>Séquestration carbone</v>
          </cell>
          <cell r="C625" t="str">
            <v>Carbon sequestration</v>
          </cell>
        </row>
        <row r="626">
          <cell r="B626" t="str">
            <v>EMISSIONS DIRECTES en tonnes CO2e
(scope 1)</v>
          </cell>
          <cell r="C626" t="str">
            <v>DIRECT EMISSIONS in tonnes CO2e
(scope 1)</v>
          </cell>
        </row>
        <row r="627">
          <cell r="B627" t="str">
            <v>EMISSIONS INDIRECTES LIEES A L'ENERGIE en tonnes CO2e
(scope 2)</v>
          </cell>
          <cell r="C627" t="str">
            <v>INDIRECT EMISSIONS DUE TO ENERGY in tonnes CO2e
(scope 2)</v>
          </cell>
        </row>
        <row r="628">
          <cell r="B628" t="str">
            <v>EMISSIONS EVITEES en tonnes CO2e</v>
          </cell>
          <cell r="C628" t="str">
            <v>AVOIDED EMISSIONS
in tonnes CO2e</v>
          </cell>
        </row>
        <row r="629">
          <cell r="B629" t="str">
            <v>POUR INFORMATION UNIQUEMENT
CARBONE SEQUESTRE 
en tonnes CO2e</v>
          </cell>
          <cell r="C629" t="str">
            <v>FOR INFORMATION ONLY
SEQUESTRATED CARBON
in tonnes CO2e</v>
          </cell>
        </row>
        <row r="630">
          <cell r="B630" t="str">
            <v>Insérez un "x" si concerné</v>
          </cell>
          <cell r="C630" t="str">
            <v>Fill in "x" if concerned</v>
          </cell>
        </row>
        <row r="631">
          <cell r="B631" t="str">
            <v>Consommation de combustibles fossiles</v>
          </cell>
          <cell r="C631" t="str">
            <v>Fossil fuel consumption</v>
          </cell>
        </row>
        <row r="632">
          <cell r="B632" t="str">
            <v>Procédé de méthanisation</v>
          </cell>
          <cell r="C632" t="str">
            <v>AD process</v>
          </cell>
        </row>
        <row r="633">
          <cell r="B633" t="str">
            <v>Procédé de compostage</v>
          </cell>
          <cell r="C633" t="str">
            <v>Composting process</v>
          </cell>
        </row>
        <row r="634">
          <cell r="B634" t="str">
            <v>Bioséchage</v>
          </cell>
          <cell r="C634" t="str">
            <v>Biodrying</v>
          </cell>
        </row>
        <row r="635">
          <cell r="B635" t="str">
            <v>Stabilisation</v>
          </cell>
          <cell r="C635" t="str">
            <v>Stabilisation</v>
          </cell>
        </row>
        <row r="636">
          <cell r="B636" t="str">
            <v>Affinage</v>
          </cell>
          <cell r="C636" t="str">
            <v>Refining</v>
          </cell>
        </row>
        <row r="637">
          <cell r="B637" t="str">
            <v>Emissions de méthane</v>
          </cell>
          <cell r="C637" t="str">
            <v>Methane emissions</v>
          </cell>
        </row>
        <row r="638">
          <cell r="B638" t="str">
            <v>Procédés thermiques</v>
          </cell>
          <cell r="C638" t="str">
            <v>Thermal processes</v>
          </cell>
        </row>
        <row r="639">
          <cell r="B639" t="str">
            <v>Consommation d'électricité</v>
          </cell>
          <cell r="C639" t="str">
            <v>Electricity consumption</v>
          </cell>
        </row>
        <row r="640">
          <cell r="B640" t="str">
            <v>Recyclage de MPS</v>
          </cell>
          <cell r="C640" t="str">
            <v>Recycling of secundary materials</v>
          </cell>
        </row>
        <row r="641">
          <cell r="B641" t="str">
            <v>Valorisation de CSR</v>
          </cell>
          <cell r="C641" t="str">
            <v>Recovery of solid recovered fuels</v>
          </cell>
        </row>
        <row r="642">
          <cell r="B642" t="str">
            <v>Valorisation agronomique de compost</v>
          </cell>
          <cell r="C642" t="str">
            <v>Agronomic use of compost</v>
          </cell>
        </row>
        <row r="643">
          <cell r="B643" t="str">
            <v>Valorisation du biogaz sous forme de chaleur</v>
          </cell>
          <cell r="C643" t="str">
            <v>Heat recovery from biogas</v>
          </cell>
        </row>
        <row r="644">
          <cell r="B644" t="str">
            <v>Valorisation du biogaz sous forme d'électricité</v>
          </cell>
          <cell r="C644" t="str">
            <v>Electricity recovery from biogas</v>
          </cell>
        </row>
        <row r="645">
          <cell r="B645" t="str">
            <v>Valorisation agronomique du stabilat</v>
          </cell>
          <cell r="C645" t="str">
            <v>Agronomic use of stabilat</v>
          </cell>
        </row>
        <row r="646">
          <cell r="B646" t="str">
            <v>Valorisation électrique</v>
          </cell>
          <cell r="C646" t="str">
            <v>Electricity recovery from waste</v>
          </cell>
        </row>
        <row r="647">
          <cell r="B647" t="str">
            <v>Valorisation thermique</v>
          </cell>
          <cell r="C647" t="str">
            <v>Heat recovery from waste</v>
          </cell>
        </row>
        <row r="648">
          <cell r="B648" t="str">
            <v>Valorisation des mâchefers</v>
          </cell>
          <cell r="C648" t="str">
            <v>Recycling of bottom ash</v>
          </cell>
        </row>
        <row r="649">
          <cell r="B649" t="str">
            <v xml:space="preserve">Recyclage des ferrailles </v>
          </cell>
          <cell r="C649" t="str">
            <v>Recycling of slag</v>
          </cell>
        </row>
        <row r="650">
          <cell r="B650" t="str">
            <v>Séquestration carbone - épandage</v>
          </cell>
          <cell r="C650" t="str">
            <v>Carbon sequestration - compost spreading</v>
          </cell>
        </row>
        <row r="651">
          <cell r="B651" t="str">
            <v>Séquestration carbone - stockage</v>
          </cell>
          <cell r="C651" t="str">
            <v>Carbon sequestration - landfilling</v>
          </cell>
        </row>
        <row r="652">
          <cell r="B652" t="str">
            <v xml:space="preserve"> - Emissions GES des centres de transit/regroupement, de tri et de recyclage - </v>
          </cell>
          <cell r="C652" t="str">
            <v xml:space="preserve"> - GHG emissions from transfer centers, sorting facilities and material recovery facilities -</v>
          </cell>
        </row>
        <row r="653">
          <cell r="B653" t="str">
            <v>Cet onglet doit être utilisé pour calculer les émissions associées aux consommations d'énergie des centres de tri, des centres de transfert, des installations de démantèlement des DEEE et usines de recyclage. L'utilisateur doit veiller à ce que toutes les sources de consommation d'énergie soient prises en compte.</v>
          </cell>
          <cell r="C653" t="str">
            <v xml:space="preserve">This sheet is intended to be used to assess emissions from energy consumption of sorting facilities, transfer centers, WEEE dismantling facilities or material recovery facilities. It is up to the user to make sure that all energy consuming points are taken into account. </v>
          </cell>
        </row>
        <row r="654">
          <cell r="B654" t="str">
            <v>Emissions directes des installations de combustion fixes et des équipements mobiles sur site</v>
          </cell>
          <cell r="C654" t="str">
            <v>Direct emissions from permanent combustion facilities and on-site mobile equipment</v>
          </cell>
        </row>
        <row r="655">
          <cell r="B655" t="str">
            <v>Emissions indirectes associées aux achats d'électricité et/ou de chaleur</v>
          </cell>
          <cell r="C655" t="str">
            <v>Indirect emissions  from electricity or purchased heat consumption</v>
          </cell>
        </row>
        <row r="656">
          <cell r="B656" t="str">
            <v xml:space="preserve">-Emissions GES des installations de méthanisation - </v>
          </cell>
          <cell r="C656" t="str">
            <v xml:space="preserve"> - GHG emissions from anaerobic digestion installations -</v>
          </cell>
        </row>
        <row r="657">
          <cell r="B657" t="str">
            <v>Cet onglet doit être utilisé pour le calcul des émissions des installations de méthanisation: émissions du procédé, émissions des unités de combustions ainsi qu'émissions associées aux consommations d'énergie.</v>
          </cell>
          <cell r="C657" t="str">
            <v xml:space="preserve">This sheet is intended to be used to assess emissions from anaerobic digestion installations : process emissions, emissions from biogas combustion units as well as emissions from energy consumption.  </v>
          </cell>
        </row>
        <row r="658">
          <cell r="B658" t="str">
            <v>→ Emissions du procédé</v>
          </cell>
          <cell r="C658" t="str">
            <v>→ Process emissions</v>
          </cell>
        </row>
        <row r="659">
          <cell r="B659" t="str">
            <v>→ Emissions de CH4 &amp; de CO2 biogénique</v>
          </cell>
          <cell r="C659" t="str">
            <v>→ CH4 and biogenic CO2 emissions</v>
          </cell>
        </row>
        <row r="660">
          <cell r="B660" t="str">
            <v>1. Calcul sur la base de la production de biogaz</v>
          </cell>
          <cell r="C660" t="str">
            <v>1. Calculation based on biogas yield</v>
          </cell>
        </row>
        <row r="661">
          <cell r="B661" t="str">
            <v>Type de déchets et de procédé</v>
          </cell>
          <cell r="C661" t="str">
            <v>Waste type and process</v>
          </cell>
        </row>
        <row r="662">
          <cell r="B662" t="str">
            <v>Tonnage traité</v>
          </cell>
          <cell r="C662" t="str">
            <v>Quantity treated</v>
          </cell>
        </row>
        <row r="663">
          <cell r="B663" t="str">
            <v>Tonnage (pds humide)</v>
          </cell>
          <cell r="C663" t="str">
            <v>Tonnes (wet weight)</v>
          </cell>
        </row>
        <row r="664">
          <cell r="B664" t="str">
            <v>Production de biogaz</v>
          </cell>
          <cell r="C664" t="str">
            <v>Biogas yield</v>
          </cell>
        </row>
        <row r="665">
          <cell r="B665" t="str">
            <v>Nm3/ t de déchets</v>
          </cell>
          <cell r="C665" t="str">
            <v>Nm3/t of waste</v>
          </cell>
        </row>
        <row r="666">
          <cell r="B666" t="str">
            <v>Contenu en CH4</v>
          </cell>
          <cell r="C666" t="str">
            <v>Methane content</v>
          </cell>
        </row>
        <row r="667">
          <cell r="B667" t="str">
            <v>Taux de fuite</v>
          </cell>
          <cell r="C667" t="str">
            <v>Leakage rate</v>
          </cell>
        </row>
        <row r="668">
          <cell r="B668" t="str">
            <v>Légumes, fruits et déchets de jardin
Procédé continu</v>
          </cell>
          <cell r="C668" t="str">
            <v>VFG (vegetable, fruit and garden wastes)
continuous process</v>
          </cell>
        </row>
        <row r="669">
          <cell r="B669" t="str">
            <v>Légumes, fruits et déchets de jardin
Procédé "batch"</v>
          </cell>
          <cell r="C669" t="str">
            <v>VFG (vegetable, fruit and garden wastes)
batch process</v>
          </cell>
        </row>
        <row r="670">
          <cell r="B670" t="str">
            <v>sources: Ewijk (2008). Environmental analysis of VFG-waste digestion et OWS</v>
          </cell>
          <cell r="C670" t="str">
            <v>VFG source: Ewijk (2008). Environmental analysis of VFG-waste digestion
Leakage source: OWS</v>
          </cell>
        </row>
        <row r="671">
          <cell r="B671" t="str">
            <v>2. Calcul sur la base de facteurs d'émissions par défaut</v>
          </cell>
          <cell r="C671" t="str">
            <v>2. Calculation based on default emission factors</v>
          </cell>
        </row>
        <row r="672">
          <cell r="B672" t="str">
            <v>Type de déchets</v>
          </cell>
          <cell r="C672" t="str">
            <v>Waste type</v>
          </cell>
        </row>
        <row r="673">
          <cell r="B673" t="str">
            <v>Emissions totales de CH4 de la méthanisation</v>
          </cell>
          <cell r="C673" t="str">
            <v>Total Anaerobic Digestion CH4 emissions</v>
          </cell>
        </row>
        <row r="674">
          <cell r="B674" t="str">
            <v>→ Emissions directes de N2O</v>
          </cell>
          <cell r="C674" t="str">
            <v>→ Direct N20 emissions</v>
          </cell>
        </row>
        <row r="675">
          <cell r="B675" t="str">
            <v>Calcul sur la base de facteurs d'émissions par défaut</v>
          </cell>
          <cell r="C675" t="str">
            <v>Calculation based on default emission factors</v>
          </cell>
        </row>
        <row r="676">
          <cell r="B676" t="str">
            <v>Emissions totales de N2O de la méthanisation</v>
          </cell>
          <cell r="C676" t="str">
            <v>Total Anaerobic Digestion N2O emissions</v>
          </cell>
        </row>
        <row r="677">
          <cell r="B677" t="str">
            <v>→ Emissions liées aux consommations d'énergie</v>
          </cell>
          <cell r="C677" t="str">
            <v>→ Emissions from energy consumption</v>
          </cell>
        </row>
        <row r="678">
          <cell r="B678" t="str">
            <v>Emissions indirectes associées aux achats d'électricité et/ou de chaleur</v>
          </cell>
          <cell r="C678" t="str">
            <v>Indirect emissions from electricity or purchased heat consumption</v>
          </cell>
        </row>
        <row r="679">
          <cell r="B679" t="str">
            <v>Consommation</v>
          </cell>
          <cell r="C679" t="str">
            <v>Energy</v>
          </cell>
        </row>
        <row r="680">
          <cell r="B680" t="str">
            <v>d'énergie</v>
          </cell>
          <cell r="C680" t="str">
            <v>consumption</v>
          </cell>
        </row>
        <row r="681">
          <cell r="B681" t="str">
            <v>Emissions directes du procédé de méthanisation (CH4 et N2O)</v>
          </cell>
          <cell r="C681" t="str">
            <v>Direct emissions from anaerobic digestion process (CH4 and N2O emissions)</v>
          </cell>
        </row>
        <row r="682">
          <cell r="B682" t="str">
            <v>Emissions directes des installations de combustion fixes et des équipements mobiles sur site</v>
          </cell>
          <cell r="C682" t="str">
            <v>Direct emissions from permanent combustion facilities and on-site mobile equipment</v>
          </cell>
        </row>
        <row r="683">
          <cell r="B683" t="str">
            <v>Emissions indirectes associées aux achats d'électricité et/ou de chaleur</v>
          </cell>
          <cell r="C683" t="str">
            <v>Indirect emissions  from electricity or purchased heat consumption</v>
          </cell>
        </row>
        <row r="684">
          <cell r="B684" t="str">
            <v>POUR INFORMATION UNIQUEMENT
EMISSIONS DE CO2 BIOGENIQUE en tonnes CO2</v>
          </cell>
          <cell r="C684" t="str">
            <v>FOR INFORMATION ONLY
BIOGENIC CO2 EMISSIONS  in tonnes CO2e</v>
          </cell>
        </row>
        <row r="685">
          <cell r="B685" t="str">
            <v xml:space="preserve"> - Emissions GES des installations de compostage -</v>
          </cell>
          <cell r="C685" t="str">
            <v xml:space="preserve"> - GHG emissions from composting installations -</v>
          </cell>
        </row>
        <row r="686">
          <cell r="B686" t="str">
            <v>Cet onglet doit être utilisé pour le calcul des émissions des installations de compostage: émissions du procédé ainsi qu'émissions associées aux consommations d'énergie.</v>
          </cell>
          <cell r="C686" t="str">
            <v xml:space="preserve">This sheet is intended to be used to assess emissions from composting installations: process émissions as well as emissions from energy consumption.  </v>
          </cell>
        </row>
        <row r="687">
          <cell r="B687" t="str">
            <v>→ Emissions du procédé (CH4, N2O et CO2 biogénique)</v>
          </cell>
          <cell r="C687" t="str">
            <v>→ Process emissions (CH4, N2O and biogenic CO2)</v>
          </cell>
        </row>
        <row r="688">
          <cell r="B688" t="str">
            <v>Emissions totales de CH4 générées par le compostage</v>
          </cell>
          <cell r="C688" t="str">
            <v>Total Composting CH4 emissions</v>
          </cell>
        </row>
        <row r="689">
          <cell r="B689" t="str">
            <v>Type de déchets</v>
          </cell>
          <cell r="C689" t="str">
            <v>Waste Type</v>
          </cell>
        </row>
        <row r="690">
          <cell r="B690" t="str">
            <v>Quantité traitée</v>
          </cell>
          <cell r="C690" t="str">
            <v>Quantity treated</v>
          </cell>
        </row>
        <row r="691">
          <cell r="B691" t="str">
            <v>gCH4/t matière brute</v>
          </cell>
          <cell r="C691" t="str">
            <v>gCH4/t wet weight</v>
          </cell>
        </row>
        <row r="692">
          <cell r="B692" t="str">
            <v>OM (65% de matière sèche)</v>
          </cell>
          <cell r="C692" t="str">
            <v>MSW (65% dry)</v>
          </cell>
        </row>
        <row r="693">
          <cell r="B693" t="str">
            <v>Biodéchets</v>
          </cell>
          <cell r="C693" t="str">
            <v>Biowaste</v>
          </cell>
        </row>
        <row r="694">
          <cell r="B694" t="str">
            <v>LFG (légumes, fruits et déchets de jardin) - sites bien gérés</v>
          </cell>
          <cell r="C694" t="str">
            <v>VFG (vegetable, fruit and garden wastes) - well managed sites</v>
          </cell>
        </row>
        <row r="695">
          <cell r="B695" t="str">
            <v>gN2O/t matière brute</v>
          </cell>
          <cell r="C695" t="str">
            <v>gN2O/t wet weight</v>
          </cell>
        </row>
        <row r="696">
          <cell r="B696" t="str">
            <v>→ Emissions liées aux consommations d'énergie</v>
          </cell>
          <cell r="C696" t="str">
            <v xml:space="preserve"> → Emissions from energy consumption</v>
          </cell>
        </row>
        <row r="697">
          <cell r="B697" t="str">
            <v>Emissions directes du procédé de compostage (CH4 et N2O)</v>
          </cell>
          <cell r="C697" t="str">
            <v>Direct emissions from composting process (CH4 and N2O emissions)</v>
          </cell>
        </row>
        <row r="698">
          <cell r="B698" t="str">
            <v>Emissions directes des installations de combustion fixes et des équipements mobiles sur site</v>
          </cell>
          <cell r="C698" t="str">
            <v>Direct emissions from permanent combustion facilities and on-site mobile equipment</v>
          </cell>
        </row>
        <row r="699">
          <cell r="B699" t="str">
            <v>Emissions indirectes associées aux achats d'électricité et/ou de chaleur</v>
          </cell>
          <cell r="C699" t="str">
            <v>Indirect emissions  from electricity or purchased heat consumption</v>
          </cell>
        </row>
        <row r="700">
          <cell r="B700" t="str">
            <v>Consommation</v>
          </cell>
          <cell r="C700" t="str">
            <v>Energy</v>
          </cell>
        </row>
        <row r="701">
          <cell r="B701" t="str">
            <v>d'énergie</v>
          </cell>
          <cell r="C701" t="str">
            <v>consumption</v>
          </cell>
        </row>
        <row r="702">
          <cell r="B702" t="str">
            <v>Emissions totales de N2O générées par le compostage</v>
          </cell>
          <cell r="C702" t="str">
            <v>Total Composting N2O emissions</v>
          </cell>
        </row>
        <row r="704">
          <cell r="B704" t="str">
            <v xml:space="preserve"> - Emissions GES des installations de préparation de combustible de substitution -</v>
          </cell>
          <cell r="C704" t="str">
            <v xml:space="preserve"> - GHG emissions from waste derived fuel preparation -</v>
          </cell>
        </row>
        <row r="705">
          <cell r="B705" t="str">
            <v>Cet onglet doit être utilisé pour le calcul des émissions des installations de préparation de combustibles de substitution qu'ils soient produits à partir de déchets non dangereux (=Combustibles Solides de Récupération) ou à partir de déchets dangereux. Il revient à l'utilisateur de s'assurer que tous les postes consommateurs d'énergie sont bien pris en compte.</v>
          </cell>
          <cell r="C705" t="str">
            <v xml:space="preserve">This sheet has to be used to assess emissions due to energy consumption for waste fuel preparation : non-hazardous waste-derived fuel like Refuse Derived Fuels (RDF) as well as hazardous waste-derived fuel. It is up to the user to make sure that all fuel consuming points are taken into account. </v>
          </cell>
        </row>
        <row r="706">
          <cell r="B706" t="str">
            <v>Si les CSR sont les produits d'une installation de Traitement Mécano-Biologique (TMB), ne pas compléter cet onglet mais l'onglet "TMB".</v>
          </cell>
          <cell r="C706" t="str">
            <v xml:space="preserve">If RDF are products of Mechanical Biological Treatment (MBT), please do not fill this sheet but go to "MBT" sheet. </v>
          </cell>
        </row>
        <row r="707">
          <cell r="B707" t="str">
            <v>→ Emissions indirectes associées aux achats d'électricité et/ou de chaleur</v>
          </cell>
          <cell r="C707" t="str">
            <v>→ Indirect emissions  from electricity or purchased heat consumption</v>
          </cell>
        </row>
        <row r="708">
          <cell r="B708" t="str">
            <v>Energie</v>
          </cell>
          <cell r="C708" t="str">
            <v>Energy</v>
          </cell>
        </row>
        <row r="709">
          <cell r="B709" t="str">
            <v>consommée</v>
          </cell>
          <cell r="C709" t="str">
            <v>consumption</v>
          </cell>
        </row>
        <row r="710">
          <cell r="B710" t="str">
            <v>Emissions directes des installations de combustion fixes et des équipements mobiles sur site</v>
          </cell>
          <cell r="C710" t="str">
            <v>Direct emissions from permanent combustion facilities and on-site mobile equipment</v>
          </cell>
        </row>
        <row r="711">
          <cell r="B711" t="str">
            <v>Emissions indirectes associées aux achats d'électricité et/ou de chaleur</v>
          </cell>
          <cell r="C711" t="str">
            <v>Indirect emissions  from electricity or purchased heat consumption</v>
          </cell>
        </row>
        <row r="714">
          <cell r="B714" t="str">
            <v xml:space="preserve"> - Emissions GES des installations de traitement mécano-biologique - </v>
          </cell>
          <cell r="C714" t="str">
            <v xml:space="preserve"> - GHG emissions from mechanical biological treatments -</v>
          </cell>
        </row>
        <row r="715">
          <cell r="B715" t="str">
            <v xml:space="preserve">TMB est l'acronyme de Traitement Mécano-Biologique. Il s'agit d'un traitement intermédiaire entre la collecte et les étapes de valorisation (recyclage, valorisation agronomique) et de traitement final (stockage ou incinération par exemple). Le TMB est principalement utilisé pour traiter des Ordures Ménagères Résiduelles (OMr) comportant une fraction organique suffisante pour permettre une dégradation biologique. Dans certains cas, il peut aussi être utilisé pour traiter des déchets industriels banals ou des biodéchets. </v>
          </cell>
          <cell r="C715" t="str">
            <v>MBT is the acronym of Mechanical Biological Treatment but it can also be BMT for Biological Mechanical Treatment. MBT is a intermediate treatment step between waste collection and the next treatment steps (should it be landfill, thermal treatment, agronomic reuse, recycling or any other existing form of treatment). It is mainly used to treat Municipal Solid Waste with a biodegradable content high enough to feed the biological step. In some cases, C&amp;I waste or bio-waste can also feed the plant.</v>
          </cell>
        </row>
        <row r="716">
          <cell r="B716" t="str">
            <v xml:space="preserve">TRAITEMENT MECANIQUE
Le traitement mécanique permet de modifier les caractéristiques physiques du flux traité : par exemple tri des fractions du flux par taille ou densité. </v>
          </cell>
          <cell r="C716" t="str">
            <v xml:space="preserve">MECHANICAL TREATMENT 
Mechanical treatment affects only the waste flow type changing for example part size, density distribution, size distribution or product distribution. </v>
          </cell>
        </row>
        <row r="717">
          <cell r="B717" t="str">
            <v xml:space="preserve">TRAITEMENT BIOLOGIQUE
Le traitement biologique impacte lui aussi les caractéristiques physiques du flux traité, mais aussi sa composition chimique. Les traitements possibles sont le compostage, la méthanisation ou encore la stabilisation. </v>
          </cell>
          <cell r="C717" t="str">
            <v xml:space="preserve">BIOLOGICAL TREATMENT 
Although mechanical treatment only affects the waste flow type, biological treatment also affects chemical composition of the waste. </v>
          </cell>
        </row>
        <row r="718">
          <cell r="B718" t="str">
            <v>En fonction des objectifs du MBT, le process peut commencer par une étape de traitement mécanique suivie d'un traitement biologique….ou inversement. Dans la première configuration (traitement mécanique puis biologique), un traitement mécanique final est parfois nécessaire, en cas de production de compost par exemple, pour affiner le compost produit et en retirer les éléments inertes.</v>
          </cell>
          <cell r="C718" t="str">
            <v>Depending on the target of the plant, process can start with the Mechanical step and then a biological step…or the other way round; biological then mechanical. In the case of Mechanical then Biological, a final mechanical treatment is sometimes needed to refine the “compost” and remove inert elements.</v>
          </cell>
        </row>
        <row r="719">
          <cell r="B719" t="str">
            <v>1 - Description de la (des) unité(s) TMB</v>
          </cell>
          <cell r="C719" t="str">
            <v>1 - Describe your MBT</v>
          </cell>
        </row>
        <row r="720">
          <cell r="B720" t="str">
            <v>Cocher dans le tableau ci-dessous les procédés mis en œuvre sur votre (vos) unité(s) TMB ("X").
Ne pas oublier de prendre en compte les produits sortants du TMB et les traitements finaux associés.</v>
          </cell>
          <cell r="C720" t="str">
            <v>In the table below, indicate which mechanical/biological steps are included in your MBT ("X").
Do not forget to take into account the output products of the MBT and the associated final treatment steps.</v>
          </cell>
        </row>
        <row r="721">
          <cell r="B721" t="str">
            <v>Type de traitement</v>
          </cell>
          <cell r="C721" t="str">
            <v>Type of treatment</v>
          </cell>
        </row>
        <row r="722">
          <cell r="B722" t="str">
            <v>Traitement mécanique</v>
          </cell>
          <cell r="C722" t="str">
            <v>Mechanical treatment</v>
          </cell>
        </row>
        <row r="723">
          <cell r="B723" t="str">
            <v>Traitement biologique</v>
          </cell>
          <cell r="C723" t="str">
            <v>Biological treatment</v>
          </cell>
        </row>
        <row r="724">
          <cell r="B724" t="str">
            <v>Produits sortants</v>
          </cell>
          <cell r="C724" t="str">
            <v>Output products</v>
          </cell>
        </row>
        <row r="725">
          <cell r="B725" t="str">
            <v>Préparation des déchets</v>
          </cell>
          <cell r="C725" t="str">
            <v>Waste preparation</v>
          </cell>
        </row>
        <row r="726">
          <cell r="B726" t="str">
            <v>Refus</v>
          </cell>
          <cell r="C726" t="str">
            <v>Refusal</v>
          </cell>
        </row>
        <row r="727">
          <cell r="B727" t="str">
            <v>Matières premières secondaires</v>
          </cell>
          <cell r="C727" t="str">
            <v>Secondary raw material</v>
          </cell>
        </row>
        <row r="728">
          <cell r="B728" t="str">
            <v>CSR</v>
          </cell>
          <cell r="C728" t="str">
            <v>RDF</v>
          </cell>
        </row>
        <row r="729">
          <cell r="B729" t="str">
            <v>Compost épandable</v>
          </cell>
          <cell r="C729" t="str">
            <v>Compost (Soil improver)</v>
          </cell>
        </row>
        <row r="730">
          <cell r="B730" t="str">
            <v>Matière stabilisée</v>
          </cell>
          <cell r="C730" t="str">
            <v>Stabilat</v>
          </cell>
        </row>
        <row r="731">
          <cell r="B731" t="str">
            <v>Energie</v>
          </cell>
          <cell r="C731" t="str">
            <v>Energy</v>
          </cell>
        </row>
        <row r="732">
          <cell r="B732" t="str">
            <v>2 - Calcul des émissions de GES</v>
          </cell>
          <cell r="C732" t="str">
            <v>2 - Calculate GhG emissions</v>
          </cell>
        </row>
        <row r="733">
          <cell r="B733" t="str">
            <v>Le tableau suivant indique les parties de cet onglet à renseigner en fonction du type de traitements et des produits sortants choisis précédemment :</v>
          </cell>
          <cell r="C733" t="str">
            <v>The following sheets of the Protocol should be filled in depending on types of treatement and output products generated by the MBT:</v>
          </cell>
        </row>
        <row r="734">
          <cell r="B734" t="str">
            <v>Renseigner ci-dessous "Consommation d'énergie"</v>
          </cell>
          <cell r="C734" t="str">
            <v>Fill below "Energy consumption"</v>
          </cell>
        </row>
        <row r="735">
          <cell r="B735" t="str">
            <v>Renseigner ci-dessous "Consommation d'énergie" et "Bioséchage"</v>
          </cell>
          <cell r="C735" t="str">
            <v>Fill below "Energy consumption" and "Biodrying"</v>
          </cell>
        </row>
        <row r="736">
          <cell r="B736" t="str">
            <v>Renseigner ci-dessous "Consommation d'énergie" et "Stabilisation"</v>
          </cell>
          <cell r="C736" t="str">
            <v>Fill below "Energy consumption" and "Stabilisation"</v>
          </cell>
        </row>
        <row r="737">
          <cell r="B737" t="str">
            <v>Renseigner ci-dessous "Consommation d'énergie" et "Compostage"</v>
          </cell>
          <cell r="C737" t="str">
            <v>Fill below "Energy consumption" and "Composting"</v>
          </cell>
        </row>
        <row r="738">
          <cell r="B738" t="str">
            <v>Renseigner ci-dessous "Consommation d'énergie" et "Méthanisation"</v>
          </cell>
          <cell r="C738" t="str">
            <v>Fill below "Energy consumption" and "Anaerobic digestion"</v>
          </cell>
        </row>
        <row r="739">
          <cell r="B739" t="str">
            <v>"Incinération" ou "Stockage"</v>
          </cell>
          <cell r="C739" t="str">
            <v>"Incineration"
or "Landfill"</v>
          </cell>
        </row>
        <row r="740">
          <cell r="B740" t="str">
            <v>"Evitées"</v>
          </cell>
          <cell r="C740" t="str">
            <v>"Avoided"</v>
          </cell>
        </row>
        <row r="741">
          <cell r="B741" t="str">
            <v>1 - Consommations d'énergie</v>
          </cell>
          <cell r="C741" t="str">
            <v>1 - Energy consumption</v>
          </cell>
        </row>
        <row r="742">
          <cell r="B742" t="str">
            <v>2 - Bioséchage</v>
          </cell>
          <cell r="C742" t="str">
            <v>2 - Biodrying</v>
          </cell>
        </row>
        <row r="743">
          <cell r="B743" t="str">
            <v>Quantité traitée par bioséchage</v>
          </cell>
          <cell r="C743" t="str">
            <v>Quantity treated by biodrying</v>
          </cell>
        </row>
        <row r="744">
          <cell r="B744" t="str">
            <v>Total des émissions de CH4 et de N2O liées au bioséchage</v>
          </cell>
          <cell r="C744" t="str">
            <v>Total biodrying (CH4 and N2O emissions)</v>
          </cell>
        </row>
        <row r="745">
          <cell r="B745" t="str">
            <v>Total des émissions de CH4 et de N2O liées à la stabilisation</v>
          </cell>
          <cell r="C745" t="str">
            <v>Total stabilisation (CH4 and N2O emissions)</v>
          </cell>
        </row>
        <row r="746">
          <cell r="B746" t="str">
            <v>4 - Compostage</v>
          </cell>
          <cell r="C746" t="str">
            <v>4 - Composting</v>
          </cell>
        </row>
        <row r="747">
          <cell r="B747" t="str">
            <v>Total des émissions de CH4 et de N2O liées au compostage</v>
          </cell>
          <cell r="C747" t="str">
            <v>Total composting (CH4 and N2O emissions)</v>
          </cell>
        </row>
        <row r="748">
          <cell r="B748" t="str">
            <v>5 - Méthanisation</v>
          </cell>
          <cell r="C748" t="str">
            <v>5 - Anaerobic digestion</v>
          </cell>
        </row>
        <row r="749">
          <cell r="B749" t="str">
            <v>Total des émissions de CH4 et de N2O liées à la méthanisation</v>
          </cell>
          <cell r="C749" t="str">
            <v>Total anaerobic digestion (CH4 and N2O emissions)</v>
          </cell>
        </row>
        <row r="750">
          <cell r="B750" t="str">
            <v>6 - Affinage</v>
          </cell>
          <cell r="C750" t="str">
            <v>6 - Refining</v>
          </cell>
        </row>
        <row r="751">
          <cell r="B751" t="str">
            <v>Emissions directes liées au procédé de bioséchage</v>
          </cell>
          <cell r="C751" t="str">
            <v>Direct emissions from biodrying process</v>
          </cell>
        </row>
        <row r="752">
          <cell r="B752" t="str">
            <v>Emissions directes liées au procédé de stabilisation</v>
          </cell>
          <cell r="C752" t="str">
            <v>Direct emissions from stabilisation process</v>
          </cell>
        </row>
        <row r="753">
          <cell r="B753" t="str">
            <v>Emissions directes liées au procédé d'affinage</v>
          </cell>
          <cell r="C753" t="str">
            <v>Direct emissions from refining process</v>
          </cell>
        </row>
        <row r="754">
          <cell r="B754" t="str">
            <v>Renseigner ci-dessous "Consommation d'énergie" et "Affinage"</v>
          </cell>
          <cell r="C754" t="str">
            <v>Fill below "Energy consumption" and "Refining"</v>
          </cell>
        </row>
        <row r="755">
          <cell r="B755" t="str">
            <v>Total des émissions de CH4 et de N2O liées à l'affinage</v>
          </cell>
          <cell r="C755" t="str">
            <v>Total refining (CH4 and N2O emissions)</v>
          </cell>
        </row>
        <row r="756">
          <cell r="B756" t="str">
            <v>1 - Emissions directes de CH4 et émissions de CO2biogénique</v>
          </cell>
          <cell r="C756" t="str">
            <v>1 - Direct CH4 emissions from landfills and biogenic CO2 emissions</v>
          </cell>
        </row>
        <row r="757">
          <cell r="B757" t="str">
            <v>Pour des informations détaillées sur les quatres modèles théoriques (équations, principaux paramètres, etc.) :</v>
          </cell>
          <cell r="C757" t="str">
            <v xml:space="preserve">For detailed information about the four theoretical models (equations, major parameters,…), please </v>
          </cell>
        </row>
        <row r="758">
          <cell r="B758" t="str">
            <v>voir ci-dessous la rubrique "Informations complémentaires".</v>
          </cell>
          <cell r="C758" t="str">
            <v>see the "Additional Information" section below.</v>
          </cell>
        </row>
        <row r="759">
          <cell r="B759" t="str">
            <v>Saisir ci-dessous les quantités de méthane et de CO2 biogénique émis calculées en utilisant l'un des quatre modèles théoriques :</v>
          </cell>
          <cell r="C759" t="str">
            <v>Enter below the values of methane emissions and biogenic CO2 emissions, calculated using one of the four models :</v>
          </cell>
        </row>
        <row r="760">
          <cell r="B760" t="str">
            <v>Emissions directes de CH4</v>
          </cell>
          <cell r="C760" t="str">
            <v>Direct CH4 emissions</v>
          </cell>
        </row>
        <row r="761">
          <cell r="B761" t="str">
            <v xml:space="preserve">POUR INFORMATION UNIQUEMENT
CARBONE SEQUESTRE </v>
          </cell>
          <cell r="C761" t="str">
            <v>FOR INFORMATION ONLY
SEQUESTRATED CARBON</v>
          </cell>
        </row>
        <row r="762">
          <cell r="B762" t="str">
            <v xml:space="preserve">Saisir ci-dessous les quantités de méthane émis et de carbone séquestré (à condition que l'information soit disponible) calculées en utilisant un modèle interne : </v>
          </cell>
          <cell r="C762" t="str">
            <v>Enter below the value of methane emissions and sequestrated carbon (provided information is available), calculated using internal model :</v>
          </cell>
        </row>
        <row r="763">
          <cell r="B763" t="str">
            <v xml:space="preserve">2 -Direct CO2 emissions from used fuels </v>
          </cell>
          <cell r="C763" t="str">
            <v xml:space="preserve">2 -Direct CO2 emissions from used fuels </v>
          </cell>
        </row>
        <row r="764">
          <cell r="B764" t="str">
            <v>POUR INFORMATION UNIQUEMENT - Sequestration carbone</v>
          </cell>
          <cell r="C764" t="str">
            <v xml:space="preserve"> FOR INFORMATION ONLY - Carbon sequestration</v>
          </cell>
        </row>
        <row r="765">
          <cell r="B765" t="str">
            <v>&gt; Prise en compte de la séquestration de carbone biogénique dans les quatre modèles</v>
          </cell>
          <cell r="C765" t="str">
            <v>&gt; Taking into account of "biogenic carbon sequestration" in the four models</v>
          </cell>
        </row>
        <row r="766">
          <cell r="B766" t="str">
            <v>Le fait qu'une fraction du carbone d'origine biogénique ne se dégrade pas (ou très lentement) est-elle prise en compte?</v>
          </cell>
          <cell r="C766" t="str">
            <v>Taking into account of the fact that part of the biogenic carbon fraction does not degrade?</v>
          </cell>
        </row>
        <row r="767">
          <cell r="B767" t="str">
            <v>La quantité de carbone séquestré est-elle calculée et le résultat est-il présenté?</v>
          </cell>
          <cell r="C767" t="str">
            <v>Sequestrated carbon calculated and value presented?</v>
          </cell>
        </row>
        <row r="768">
          <cell r="B768" t="str">
            <v xml:space="preserve">La quantité de carbone séquestré peut-elle être calculée avec précisions (paramètres de dégradabilité disponible fraction par fraction)? </v>
          </cell>
          <cell r="C768" t="str">
            <v>Value can be calculated with precisions (degradability parameters available fraction per fraction)?</v>
          </cell>
        </row>
        <row r="769">
          <cell r="B769" t="str">
            <v xml:space="preserve">La quantité de carbone séquestré peut-elle être calculée de manière globale sur un gisement de déchets (par exemple, paramètre moyen de dégradabilité disponible pour gisement d'OM)? </v>
          </cell>
          <cell r="C769" t="str">
            <v>Value can be calculated globally for the whole waste mass (for example, average degradability parameter for MSW provided)?</v>
          </cell>
        </row>
        <row r="770">
          <cell r="B770" t="str">
            <v>Modèle disponible sur internet : http://www.ipcc-nggip.iges.or.jp/public/2006gl/pdf/5_Volume5/IPCC_Waste_Model.xls</v>
          </cell>
          <cell r="C770" t="str">
            <v>See model available at http://www.ipcc-nggip.iges.or.jp/public/2006gl/pdf/5_Volume5/IPCC_Waste_Model.xls</v>
          </cell>
        </row>
        <row r="771">
          <cell r="B771" t="str">
            <v>Manuel d'utilisation disponible sur internet : https://www.declarationpollution.ecologie.gouv.fr/gerep/download/Annexe_2_Outil_de_calcul_ADEME_des_emissions_dans_lair_CH4_CO2_NOX_SO.pdf</v>
          </cell>
          <cell r="C771" t="str">
            <v>See user-manual available at https://www.declarationpollution.ecologie.gouv.fr/gerep/download/Annexe_2_Outil_de_calcul_ADEME_des_emissions_dans_lair_CH4_CO2_NOX_SO.pdf</v>
          </cell>
        </row>
        <row r="772">
          <cell r="B772" t="str">
            <v>Manuel d'utilisation disponible sur internet : http://www.gassim.co.uk/supporting.htm</v>
          </cell>
          <cell r="C772" t="str">
            <v>See user-manual available at http://www.gassim.co.uk/supporting.htm</v>
          </cell>
        </row>
        <row r="773">
          <cell r="B773" t="str">
            <v>Manuel d'utilisation disponible sur internet : http://www.epa.gov/ttn/catc/dir1/landgem-v302-guide.pdf</v>
          </cell>
          <cell r="C773" t="str">
            <v>See user-manual available at http://www.epa.gov/ttn/catc/dir1/landgem-v302-guide.pdf</v>
          </cell>
        </row>
        <row r="774">
          <cell r="B774" t="str">
            <v>oui</v>
          </cell>
          <cell r="C774" t="str">
            <v>yes</v>
          </cell>
        </row>
        <row r="775">
          <cell r="B775" t="str">
            <v>non</v>
          </cell>
          <cell r="C775" t="str">
            <v>no</v>
          </cell>
        </row>
        <row r="776">
          <cell r="B776" t="str">
            <v>Tri</v>
          </cell>
          <cell r="C776" t="str">
            <v>Sorting</v>
          </cell>
        </row>
        <row r="778">
          <cell r="B778" t="str">
            <v>6 bis - Substitution à des fertilisants chimiques uniquement : calcul des émissions évitées basé sur la quantité de compost épandu et le contenu en éléments nutritifs du compost</v>
          </cell>
          <cell r="C778" t="str">
            <v>6 bis- Chemical fertilisers substitution only: Calculation of avoided emission based on quantity landspread and compost's nutrient elements content</v>
          </cell>
        </row>
        <row r="779">
          <cell r="B779" t="str">
            <v>Fertilisants substitués</v>
          </cell>
          <cell r="C779" t="str">
            <v xml:space="preserve">Substituted fertilisers </v>
          </cell>
        </row>
        <row r="780">
          <cell r="B780" t="str">
            <v>Emissions associées à la production des fertilisants</v>
          </cell>
          <cell r="C780" t="str">
            <v>Emissions associated to fertilisers's production</v>
          </cell>
        </row>
        <row r="781">
          <cell r="B781" t="str">
            <v>kg CO2eq/kg nutriment</v>
          </cell>
          <cell r="C781" t="str">
            <v>kg CO2eq/kg nutrient</v>
          </cell>
        </row>
        <row r="782">
          <cell r="B782" t="str">
            <v>Contenu en nutriments du compost</v>
          </cell>
          <cell r="C782" t="str">
            <v>Nutrient content of the compost</v>
          </cell>
        </row>
        <row r="783">
          <cell r="B783" t="str">
            <v>Biodisponibilité moyenne</v>
          </cell>
          <cell r="C783" t="str">
            <v>Average availability</v>
          </cell>
        </row>
        <row r="784">
          <cell r="B784" t="str">
            <v>Emissions évitées</v>
          </cell>
          <cell r="C784" t="str">
            <v>Avoided emissions</v>
          </cell>
        </row>
        <row r="785">
          <cell r="B785" t="str">
            <v>N (acide nitrique)</v>
          </cell>
          <cell r="C785" t="str">
            <v>N (nitric acid)</v>
          </cell>
        </row>
        <row r="786">
          <cell r="B786" t="str">
            <v>Quantité de compost épandu ayant la composition décrite ci-dessus</v>
          </cell>
          <cell r="C786" t="str">
            <v>Compost of above-described composition landspread</v>
          </cell>
        </row>
        <row r="787">
          <cell r="B787" t="str">
            <v>Emissions évitées (tCO2e)</v>
          </cell>
          <cell r="C787" t="str">
            <v>Avoided emissions (tCO2e)</v>
          </cell>
        </row>
        <row r="788">
          <cell r="B788" t="str">
            <v>source: AEA 2001et FNADE</v>
          </cell>
          <cell r="C788" t="str">
            <v>source: AEA 2001 and FNADE data</v>
          </cell>
        </row>
        <row r="789">
          <cell r="B789" t="str">
            <v xml:space="preserve">Emissions évitées </v>
          </cell>
          <cell r="C789" t="str">
            <v>Chemical fertilisers and/or peat substitution total avoided emissions</v>
          </cell>
        </row>
        <row r="790">
          <cell r="B790" t="str">
            <v>7 - PREPARATION DE CSR (A PARTIR DE DECHETS NON DANGEREUX)</v>
          </cell>
          <cell r="C790" t="str">
            <v>7 - RDF PREPARATION (NON-HAZARDOUS WASTE)</v>
          </cell>
        </row>
        <row r="791">
          <cell r="B791" t="str">
            <v>7.1 - Calcul des émissions évitées basé sur la quantité de CSR (co-)incinérés</v>
          </cell>
          <cell r="C791" t="str">
            <v>7.1- Calculation of avoided emission based on quantity of RDF (co-)incinerated</v>
          </cell>
        </row>
        <row r="792">
          <cell r="B792" t="str">
            <v>Quantité de CSR (co-)incinérés</v>
          </cell>
          <cell r="C792" t="str">
            <v>Quantity of RDF (co-)incinerated</v>
          </cell>
        </row>
        <row r="793">
          <cell r="B793" t="str">
            <v>Contenu énergétique des CSR vendus</v>
          </cell>
          <cell r="C793" t="str">
            <v>Energy content of RDF sold</v>
          </cell>
        </row>
        <row r="794">
          <cell r="B794" t="str">
            <v>kgCO2e/t incinérée</v>
          </cell>
          <cell r="C794" t="str">
            <v>kgCO2e/t incinerated</v>
          </cell>
        </row>
        <row r="795">
          <cell r="B795" t="str">
            <v>7.2 - Calcul des émissions évitées basés sur le contenu énergétique des CSR</v>
          </cell>
          <cell r="C795" t="str">
            <v>7.2 - Calculation of avoided emission based on RDF energy content</v>
          </cell>
        </row>
        <row r="796">
          <cell r="B796" t="str">
            <v>MWh PCI</v>
          </cell>
          <cell r="C796" t="str">
            <v>MWh LHV</v>
          </cell>
        </row>
        <row r="797">
          <cell r="B797" t="str">
            <v>kgCO2e/MWh PCI</v>
          </cell>
          <cell r="C797" t="str">
            <v>kgCO2e/MWh LHV</v>
          </cell>
        </row>
        <row r="798">
          <cell r="B798" t="str">
            <v>Emissions évitées par le stockage</v>
          </cell>
          <cell r="C798" t="str">
            <v xml:space="preserve">Avoided emissions from landfilling </v>
          </cell>
        </row>
        <row r="799">
          <cell r="B799" t="str">
            <v>Emissions évitées par l'incinération</v>
          </cell>
          <cell r="C799" t="str">
            <v xml:space="preserve">Avoided emissions from incineration </v>
          </cell>
        </row>
        <row r="800">
          <cell r="B800" t="str">
            <v>Emissions évitées par la méthanisation</v>
          </cell>
          <cell r="C800" t="str">
            <v>Avoided emissions from anaerobic digestion</v>
          </cell>
        </row>
        <row r="801">
          <cell r="B801" t="str">
            <v>Emissions évitées par les traitements physico-chimiques (préparation de combustibles de substitution à partir de déchets dangereux)</v>
          </cell>
          <cell r="C801" t="str">
            <v>Avoided emissions from physico-chemical treatments (hazardous waste-derived fuels preparation)</v>
          </cell>
        </row>
        <row r="802">
          <cell r="B802" t="str">
            <v>Emissions évitées par le tri et le recyclage</v>
          </cell>
          <cell r="C802" t="str">
            <v>Avoided emissions from sorting and recycling</v>
          </cell>
        </row>
        <row r="803">
          <cell r="B803" t="str">
            <v>Emissions évitées par le compostage</v>
          </cell>
          <cell r="C803" t="str">
            <v>Avoided emissions from composting</v>
          </cell>
        </row>
        <row r="804">
          <cell r="B804" t="str">
            <v>POUR INFORMATION UNIQUEMENT - Sequestration carbone</v>
          </cell>
          <cell r="C804" t="str">
            <v xml:space="preserve"> FOR INFORMATION ONLY - Carbon sequestration in soil (compost spreading)</v>
          </cell>
        </row>
        <row r="805">
          <cell r="B805" t="str">
            <v>Emissions évitées par la production de CSR</v>
          </cell>
          <cell r="C805" t="str">
            <v>Avoided emissions from RDF preparation</v>
          </cell>
        </row>
        <row r="806">
          <cell r="B806" t="str">
            <v>Cet onglet doit être utilisé pour le calcul des émissions évitées par la valorisation matière, énergétique et agronomique des déchets. Il permet aussi de calculer les émissions évitées générées par la séquestration de carbone dans les sols après épandage de compost (à condition que l'information soit disponible).</v>
          </cell>
          <cell r="C806" t="str">
            <v xml:space="preserve">This sheet is intended to be used to assess avoided emissions from material and energy recovery, as well as from compost agronomical reuse. It also allows the calculation of avoided emissions from carbon sequestration in soils after compost landspreading (provided information is available). </v>
          </cell>
        </row>
        <row r="807">
          <cell r="B807" t="str">
            <v>Cet onglet doit être utilisé pour le calcul des émissions générées par les installations de stockage de déchets : les émissions diffuses de méthane, les émissions diffuses de CO2biogénique, les émissions des unités de combustion du biogaz (cas des installations de stockage de déchets non dangereux), ainsi que les émissions générées par la consommation d'énergie. Il permet aussi de calculer les émissions évitées par la séquestration de carbone dans le massif de déchets (à condition que l'information soit disponible).</v>
          </cell>
          <cell r="C807" t="str">
            <v xml:space="preserve">This sheet is intended to be used to assess emissions from landfills : methane emissions as well as emission from energy consumption. It also allows the calculation of avoided emissions from carbon sequestration in landfills (provided information is available). </v>
          </cell>
        </row>
        <row r="808">
          <cell r="C808" t="str">
            <v xml:space="preserve">This sheet is intended to be used to assess emissions from landfills : methane emissions as well as emission from energy consumption. It also allows the calculation of avoided emissions from carbon sequestration in landfills (provided information is available). </v>
          </cell>
        </row>
        <row r="809">
          <cell r="B809" t="str">
            <v>Plusieurs études sur les bénéfices du recyclage ont été menées à la fois par des organismes nationaux et régionaux (Europe).</v>
          </cell>
          <cell r="C809" t="str">
            <v>Several studies about the benefits of recycling have been conducted by national authorities as well as by regional (European) entities.</v>
          </cell>
        </row>
        <row r="810">
          <cell r="B810" t="str">
            <v>Les valeurs ci-dessous proviennent de six différentes publications.</v>
          </cell>
          <cell r="C810" t="str">
            <v xml:space="preserve">The values below originate from six different publications. </v>
          </cell>
        </row>
        <row r="811">
          <cell r="B811" t="str">
            <v>Il est primordial d'appréhender correctement le périmètre de chaque étude (voir synthèse en-dessous du tableau des facteurs).
L'utilisateur est donc invité à analyser dans le détail les études de référence (des liens Internet sont fournis dans ce but).</v>
          </cell>
          <cell r="C811" t="str">
            <v>It is important that the user understands the perimeter of each study (see summary below the factors' table). 
The user is therefore invited to look at the reference studies in detail (web links are provided for this usage).</v>
          </cell>
        </row>
        <row r="812">
          <cell r="B812" t="str">
            <v>L'utilisateur choisira la source de données la plus appropriée en fonction de la localisation géographique des sites considérés.</v>
          </cell>
          <cell r="C812" t="str">
            <v xml:space="preserve">The user will choose the most appropriate data source according to the geographical location of the considered sites. </v>
          </cell>
        </row>
        <row r="813">
          <cell r="B813" t="str">
            <v>Remarque: si l'utilisateur souhaite utiliser d'autres jeux de valeurs que ceux présentés ci-dessous, il devra les documenter et fournir les références des études ACV à l'origine de ses facteurs.</v>
          </cell>
          <cell r="C813" t="str">
            <v>Remark : If the user wants to use values other than those cited below, he should document them and give the references of the LCA study at the origin of his figures.</v>
          </cell>
        </row>
        <row r="814">
          <cell r="B814" t="str">
            <v>Attention: pour une entité donnée, un seul jeu de données doit être utilisé pour toutes les matières recyclées considérées.</v>
          </cell>
          <cell r="C814" t="str">
            <v>Warning: one single dataset should be used for all the recycled materials considered by the reporting entity</v>
          </cell>
        </row>
        <row r="815">
          <cell r="B815" t="str">
            <v>Toutes les valeurs sont exprimées en tonnes métriques de CO2 / tonnes métriques de matériau.
En ce qui concerne les valeurs de source américaine, les facteurs ont été convertis en tonnes métriques en prenant comme point de départ les valeurs originales en tonnes métriques de CO2 / "short tons" de matériau (facteur de conversion: division par 0, 9071847).</v>
          </cell>
          <cell r="C815" t="str">
            <v xml:space="preserve">All the values are given in metric tonnes of CO2 / metric tonne of material. 
As far as the American values are concerned, factors have been converted into metric tonnes of CO2 / metric tonne of material taking as a starting point the original values given in metric tonnes of CO2 / short ton of material (conversion factor : division by 0,9071847). </v>
          </cell>
        </row>
        <row r="816">
          <cell r="B816" t="str">
            <v>POUR PLUS DE DETAILS SUR LES ETUDES MENTIONNEES CI-DESSUS ET LEUR PERIMETRE, VOIR PLUS BAS</v>
          </cell>
          <cell r="C816" t="str">
            <v>FOR MORE DETAILS ON THE ABOVE MENTIONED STUDIES AND THEIR PERIMETERS, SEE BELOW</v>
          </cell>
        </row>
        <row r="817">
          <cell r="B817" t="str">
            <v>Papier/carton</v>
          </cell>
          <cell r="C817" t="str">
            <v>Paper/cardboard</v>
          </cell>
        </row>
        <row r="818">
          <cell r="B818" t="str">
            <v>Magazines</v>
          </cell>
          <cell r="C818" t="str">
            <v>Magazines</v>
          </cell>
        </row>
        <row r="819">
          <cell r="B819" t="str">
            <v>PAPIER &amp; CARTONS</v>
          </cell>
          <cell r="C819" t="str">
            <v>PAPER &amp; CARDBOARD</v>
          </cell>
        </row>
        <row r="820">
          <cell r="B820" t="str">
            <v>PLASTIQUES</v>
          </cell>
          <cell r="C820" t="str">
            <v>PLASTICS</v>
          </cell>
        </row>
        <row r="821">
          <cell r="B821" t="str">
            <v>PE</v>
          </cell>
          <cell r="C821" t="str">
            <v>PE</v>
          </cell>
        </row>
        <row r="822">
          <cell r="B822" t="str">
            <v>PE/PP</v>
          </cell>
          <cell r="C822" t="str">
            <v>PE/PP</v>
          </cell>
        </row>
        <row r="823">
          <cell r="B823" t="str">
            <v>HDPE</v>
          </cell>
          <cell r="C823" t="str">
            <v>HDPE</v>
          </cell>
        </row>
        <row r="824">
          <cell r="B824" t="str">
            <v>LDPE</v>
          </cell>
          <cell r="C824" t="str">
            <v>LDPE</v>
          </cell>
        </row>
        <row r="825">
          <cell r="B825" t="str">
            <v>PET</v>
          </cell>
          <cell r="C825" t="str">
            <v>PET</v>
          </cell>
        </row>
        <row r="826">
          <cell r="B826" t="str">
            <v>PS</v>
          </cell>
          <cell r="C826" t="str">
            <v>PS</v>
          </cell>
        </row>
        <row r="827">
          <cell r="B827" t="str">
            <v>PVC</v>
          </cell>
          <cell r="C827" t="str">
            <v>PVC</v>
          </cell>
        </row>
        <row r="828">
          <cell r="B828" t="str">
            <v>Aluminium</v>
          </cell>
          <cell r="C828" t="str">
            <v>Aluminium</v>
          </cell>
        </row>
        <row r="829">
          <cell r="B829" t="str">
            <v>Cuivre</v>
          </cell>
          <cell r="C829" t="str">
            <v>Copper</v>
          </cell>
        </row>
        <row r="830">
          <cell r="B830" t="str">
            <v>Nickel</v>
          </cell>
          <cell r="C830" t="str">
            <v>Nickel</v>
          </cell>
        </row>
        <row r="831">
          <cell r="B831" t="str">
            <v>Etain</v>
          </cell>
          <cell r="C831" t="str">
            <v>Tin</v>
          </cell>
        </row>
        <row r="832">
          <cell r="B832" t="str">
            <v>Zinc</v>
          </cell>
          <cell r="C832" t="str">
            <v>Zinc</v>
          </cell>
        </row>
        <row r="833">
          <cell r="B833" t="str">
            <v>METAUX NON FERREUX</v>
          </cell>
          <cell r="C833" t="str">
            <v>NON
FERROUS 
METALS</v>
          </cell>
        </row>
        <row r="834">
          <cell r="B834" t="str">
            <v>TEXTILES</v>
          </cell>
          <cell r="C834" t="str">
            <v>TEXTILES</v>
          </cell>
        </row>
        <row r="835">
          <cell r="B835" t="str">
            <v>Tissus</v>
          </cell>
          <cell r="C835" t="str">
            <v>Textiles</v>
          </cell>
        </row>
        <row r="836">
          <cell r="B836" t="str">
            <v>Caoutchouc</v>
          </cell>
          <cell r="C836" t="str">
            <v>Rubber</v>
          </cell>
        </row>
        <row r="837">
          <cell r="B837" t="str">
            <v>CAOUTCHOUC</v>
          </cell>
          <cell r="C837" t="str">
            <v>RUBBER</v>
          </cell>
        </row>
        <row r="838">
          <cell r="B838" t="str">
            <v>BIODECHETS</v>
          </cell>
          <cell r="C838" t="str">
            <v>BIOWASTE</v>
          </cell>
        </row>
        <row r="839">
          <cell r="B839" t="str">
            <v>Déchets de cuisine et jardin</v>
          </cell>
          <cell r="C839" t="str">
            <v>Kitchen and garden waste</v>
          </cell>
        </row>
        <row r="840">
          <cell r="B840" t="str">
            <v>Biodéchets (compostage avec séquestration carbone)</v>
          </cell>
          <cell r="C840" t="str">
            <v>Biowaste (composting with C sink)</v>
          </cell>
        </row>
        <row r="841">
          <cell r="B841" t="str">
            <v>Biodéchets (méthanisation avec séquestration carbone)</v>
          </cell>
          <cell r="C841" t="str">
            <v>Biowaste (anaerobic digestion with C sink)</v>
          </cell>
        </row>
        <row r="842">
          <cell r="B842" t="str">
            <v>Bois aggloméré en milieu sec</v>
          </cell>
          <cell r="C842" t="str">
            <v>Press board from Wood in dry environment</v>
          </cell>
        </row>
        <row r="843">
          <cell r="B843" t="str">
            <v>Bois aggloméré en milieu humide</v>
          </cell>
          <cell r="C843" t="str">
            <v>Press board from Wood in wet environment</v>
          </cell>
        </row>
        <row r="844">
          <cell r="B844" t="str">
            <v>BOIS</v>
          </cell>
          <cell r="C844" t="str">
            <v>WOOD</v>
          </cell>
        </row>
        <row r="845">
          <cell r="B845" t="str">
            <v>Combustible solide de substitution (four de cimenterie)</v>
          </cell>
          <cell r="C845" t="str">
            <v>Solid Fuel Waste (cement kiln)</v>
          </cell>
        </row>
        <row r="846">
          <cell r="B846" t="str">
            <v>Combustible solide de substitution (flux OM optimisé)</v>
          </cell>
          <cell r="C846" t="str">
            <v>Solid Fuel Waste (optimised MSW I)</v>
          </cell>
        </row>
        <row r="847">
          <cell r="B847" t="str">
            <v>Combustible solide de substitution (centrale à charbon)</v>
          </cell>
          <cell r="C847" t="str">
            <v>Solid Fuel Waste (coal power plant)</v>
          </cell>
        </row>
        <row r="848">
          <cell r="B848" t="str">
            <v>Combustible solide de récupération</v>
          </cell>
          <cell r="C848" t="str">
            <v>SRF</v>
          </cell>
        </row>
        <row r="849">
          <cell r="B849" t="str">
            <v>Déchets de démolition (minéraux)</v>
          </cell>
          <cell r="C849" t="str">
            <v>Mineral Demolition Waste</v>
          </cell>
        </row>
        <row r="850">
          <cell r="B850" t="str">
            <v>DEMOLITION</v>
          </cell>
          <cell r="C850" t="str">
            <v>DEMOLITION</v>
          </cell>
        </row>
        <row r="851">
          <cell r="B851" t="str">
            <v>TAPIS</v>
          </cell>
          <cell r="C851" t="str">
            <v>CARPETS</v>
          </cell>
        </row>
        <row r="852">
          <cell r="B852" t="str">
            <v>Tapis</v>
          </cell>
          <cell r="C852" t="str">
            <v>Carpets</v>
          </cell>
        </row>
        <row r="853">
          <cell r="B853" t="str">
            <v>PC</v>
          </cell>
          <cell r="C853" t="str">
            <v>PCs</v>
          </cell>
        </row>
        <row r="854">
          <cell r="B854" t="str">
            <v>AGREGATS</v>
          </cell>
          <cell r="C854" t="str">
            <v>AGGREGATE</v>
          </cell>
        </row>
        <row r="855">
          <cell r="B855" t="str">
            <v>Agrégats</v>
          </cell>
          <cell r="C855" t="str">
            <v>Aggregate</v>
          </cell>
        </row>
        <row r="856">
          <cell r="B856" t="str">
            <v>CENDRES VOLANTES</v>
          </cell>
          <cell r="C856" t="str">
            <v>FLY ASHES</v>
          </cell>
        </row>
        <row r="857">
          <cell r="B857" t="str">
            <v>Cendres volantes</v>
          </cell>
          <cell r="C857" t="str">
            <v>FlyAsh</v>
          </cell>
        </row>
        <row r="858">
          <cell r="B858" t="str">
            <v>MIX</v>
          </cell>
          <cell r="C858" t="str">
            <v>MIX</v>
          </cell>
        </row>
        <row r="859">
          <cell r="B859" t="str">
            <v>Mix de recyclables</v>
          </cell>
          <cell r="C859" t="str">
            <v>Mixed Recyclables</v>
          </cell>
        </row>
        <row r="860">
          <cell r="B860" t="str">
            <v>Description générale</v>
          </cell>
          <cell r="C860" t="str">
            <v>General description</v>
          </cell>
        </row>
        <row r="861">
          <cell r="B861" t="str">
            <v>Etapes couvertes</v>
          </cell>
          <cell r="C861" t="str">
            <v>Covered steps</v>
          </cell>
        </row>
        <row r="862">
          <cell r="B862" t="str">
            <v>Spécificités supplémentaires de périmètre</v>
          </cell>
          <cell r="C862" t="str">
            <v>Additional boundary specificities</v>
          </cell>
        </row>
        <row r="863">
          <cell r="B863" t="str">
            <v>Collecte / Transport</v>
          </cell>
          <cell r="C863" t="str">
            <v>Collection/
Transport</v>
          </cell>
        </row>
        <row r="864">
          <cell r="B864" t="str">
            <v>Tri</v>
          </cell>
          <cell r="C864" t="str">
            <v>Sorting</v>
          </cell>
        </row>
        <row r="865">
          <cell r="B865" t="str">
            <v>Recyclage</v>
          </cell>
          <cell r="C865" t="str">
            <v>Recycling</v>
          </cell>
        </row>
        <row r="866">
          <cell r="B866" t="str">
            <v>Séquestration</v>
          </cell>
          <cell r="C866" t="str">
            <v>Sequestration</v>
          </cell>
        </row>
        <row r="867">
          <cell r="B867" t="str">
            <v>Comparaison à un scénario de traitement</v>
          </cell>
          <cell r="C867" t="str">
            <v>Comparison to a baseline treatment scenario</v>
          </cell>
        </row>
        <row r="868">
          <cell r="B868" t="str">
            <v>Waste management and climate change, AEA technology 2001</v>
          </cell>
          <cell r="C868" t="str">
            <v>Waste management and climate change, AEA technology 2001</v>
          </cell>
        </row>
        <row r="869">
          <cell r="B869" t="str">
            <v>Solid Waste management and Greenhouse gases, EPA 2006</v>
          </cell>
          <cell r="C869" t="str">
            <v>Solid Waste management and Greenhouse gases, EPA 2006</v>
          </cell>
        </row>
        <row r="870">
          <cell r="B870" t="str">
            <v>Bilan des filières de recyclage ADEME 2007 / Eco-Emballages</v>
          </cell>
          <cell r="C870" t="str">
            <v>Bilan des filières de recyclage ADEME 2007 / Eco-Emballages</v>
          </cell>
        </row>
        <row r="871">
          <cell r="B871" t="str">
            <v>Resource savings and CO2 reduction potential in waste management in Europe and the possible contribution to the CO2 reduction target in 2020. Prognos. October 2008</v>
          </cell>
          <cell r="C871" t="str">
            <v>Resource savings and CO2 reduction potential in waste management in Europe and the possible contribution to the CO2 reduction target in 2020. Prognos. October 2008</v>
          </cell>
        </row>
        <row r="872">
          <cell r="B872" t="str">
            <v>CO2 kentallen afvalscheiding. JHB Benner et al. CE Delft . September 2007 (excluding WTE effect)</v>
          </cell>
          <cell r="C872" t="str">
            <v>CO2 kentallen afvalscheiding. JHB Benner et al. CE Delft . September 2007 (excluding WTE effect)</v>
          </cell>
        </row>
        <row r="873">
          <cell r="B873" t="str">
            <v>Report on the Environmental Benefits of Recycling - Bureau of International Recycling (BIR) - October 2008</v>
          </cell>
          <cell r="C873" t="str">
            <v>Report on the Environmental Benefits of Recycling - Bureau of International Recycling (BIR) - October 2008</v>
          </cell>
        </row>
        <row r="874">
          <cell r="B874" t="str">
            <v>Inclut le transport et les émissions des centres de tri</v>
          </cell>
          <cell r="C874" t="str">
            <v>Includes transport and emissions from sorting facilities</v>
          </cell>
        </row>
        <row r="875">
          <cell r="B875" t="str">
            <v>Inclut le transport, les émissions des centres de tri ainsi que la séquestration dans les arbres</v>
          </cell>
          <cell r="C875" t="str">
            <v>Includes transport and emissions from sorting facilities + carbon sequestration in trees</v>
          </cell>
        </row>
        <row r="876">
          <cell r="B876" t="str">
            <v>Prise en compte du recyclage uniquement.
Calcul: Impact généré (production à partir de MPS) - Impact évité (production à partir de matière première primaire).</v>
          </cell>
          <cell r="C876" t="str">
            <v>Recycling step only. 
Calculation: impact of a production by means of secondary raw material MINUS impact by means of the production by means of a primary raw material.</v>
          </cell>
        </row>
        <row r="877">
          <cell r="B877" t="str">
            <v>Les facteurs d'émissions couvrent la production des déchets et le cas échéant, la collecte, le tri et d'éventuels traitements ultérieurs des matériaux. La description du facteur d'émission s'arrête quand la matière première secondaire atteint un niveau de qualité ou d'usage égal à celui d'une matière première primaire. Afin d'identifier les avantages ou inconvénients en terme d'émissions, une comparaison a été menée avec les facteurs obtenus pour ces matières premières secondaires et les bilans d'émission générées par la consommation équivalente de matières premières et d'énergie. La différence entre les émissions des matières premières secondaires et primaires est présentée dans l'étude, ce sont ces facteurs qui sont suggérés dans l'outil EpE.</v>
          </cell>
          <cell r="C877" t="str">
            <v>System boundaries start with the generation of waste. They include, where appropriate, the collection, sorting and further treatment of the materials. The system boundaries end at a secondary raw material level equal to a primary raw material level or function. In order to identify the CO2 benefits or burdens, the results were compared to the CO2 equivalents when using primary materials and energy sources. The difference between CO2 equivalents for secondary raw materials and primary sources forms the CO2 equivalent displayed in the last column. This final factor was used in the model.</v>
          </cell>
        </row>
        <row r="878">
          <cell r="B878" t="str">
            <v>Les valeurs des facteurs d'émissions de source "CE" pour les plastiques et les textiles sont beaucoup plus élevés que pour la plupart des autres sources. Cela s'explique dans la mesure où les facteurs ont été déterminés par rapport à scenario de base qui est l''incinération avec récupération d'énergie qui induit d'importantes émissions fossiles. Ces émissions fossiles dues à l'incinération sont prises en compte dans le facteur d'émission (nota : les émissions évitées dues à la génération d'énergie sont également prises en compte mais ne sont pas aussi représentatives). Aux Pays-Bas, où presque tous les déchets résiduels sont incinérés, cette approche peut raisonnablement être adoptée. Cela n'est en revanche pas le cas pour la plupart des autres pays membres de l'UE. La colonne du tableau représente une variante de l'étude dans laquelle cet effet "incinérateur avec récupération d'énergie" a été retiré.</v>
          </cell>
          <cell r="C878" t="str">
            <v xml:space="preserve">The CE values for plastics and textiles are much higher than for most of the other sources because these have been determined relative to the assumption that the alternative deployment would be incineration in a WtE plant and therefore the respective fossil emissions due to incineration and the corresponding energy credits are included. For most of these components the fossil emission figures are substantial and that therefore penalizes the WtE reference substantially. For the NL where nearly all residual waste is being incinerated this may be a reasonable approach, but that is certainly not the case for most other EU countries. The column represents the variant in which this WtE effect has been removed. </v>
          </cell>
        </row>
        <row r="879">
          <cell r="B879" t="str">
            <v>Pour tous les matériaux, les facteurs prennent en compte la comparaison entre la production des matériaux (a) à partir de matières premières livrées à l'usine de production jusqu'au produit final, et (b) des matières premières secondaires envoyées au centre de recyclage jusqu'au produit final.
Les valeurs relatives aux besoins en énergie et empreinte carbone sont issus d'une étude pour la production de métaux et papiers sur la base de matières premières primaires et secondaires. Pour limiter la complexité associée à la prise en compte de l'intégralité du cycle de vie des matériaux, les références utilisées ont été obtenues sur l'hypothèse que sont livrées uniquement des matières premières pour l'usine de production et uniquement des matériaux secondaires pour le centre de valorisation/recyclage.</v>
          </cell>
          <cell r="C879" t="str">
            <v>For all materials, the life cycle boundaries are set to compare the production of (a) primary material from raw material delivered to the primary production plant to final product, and (b) secondary materials delivered to the recycling plant to final product. 
Values of the energy requirements and carbon footprints have been obtained from a survey of the primary literature for the production of primary and secondary metals and paper. To avoid complications associated with the early stages of the whole life cycles of these materials, benchmark energy requirements and carbon footprints for primary materials are extracted from ore or raw material delivered at the production plant, and for secondary material delivered at the secondary plant.</v>
          </cell>
        </row>
        <row r="880">
          <cell r="B880" t="str">
            <v>X
(Transfert du centre de tri à l'usine de recyclage)</v>
          </cell>
          <cell r="C880" t="str">
            <v>X
(transfer from sorting facility to recycling plant)</v>
          </cell>
        </row>
        <row r="881">
          <cell r="B881" t="str">
            <v>X
(Collecte à l'usine de tri inclus. Complémentaires de transport à l'usine de recyclage non inclus)</v>
          </cell>
          <cell r="C881" t="str">
            <v>X
(collection to sorting facility included. Further transport to recycling plant not included)</v>
          </cell>
        </row>
        <row r="882">
          <cell r="B882" t="str">
            <v>séquestration du carbone dans les arbres</v>
          </cell>
          <cell r="C882" t="str">
            <v>Carbon sequestration in trees</v>
          </cell>
        </row>
        <row r="896">
          <cell r="B896" t="str">
            <v>Si vous ne disposez pas d'information concernant la source de production de chaleur qui a été substituée, il est recommandé d'utiliser le mix thermique européen moyen.</v>
          </cell>
          <cell r="C896" t="str">
            <v>It is recommanded to use the average European thermal mix, if you have no precise information on the substituted thermal source.</v>
          </cell>
        </row>
        <row r="897">
          <cell r="B897" t="str">
            <v>Note : les Facteurs d'Emission correspondant aux mix électriques moyens nationaux listés ci-après (source IEA) sont à utiliser en priorité par rapport à d'autres sources.</v>
          </cell>
          <cell r="C897" t="str">
            <v>Note: The average national electricity emission factors listed below, provided by the International Energy Agency, must be used before any other source.</v>
          </cell>
        </row>
        <row r="898">
          <cell r="B898" t="str">
            <v>Cependant, les FE de l'IEA n'incluent pas les émissions de CH4 et de N20. Si des FE en gCO2 equivalent sont publiés par les agences nationales des zones géographiques considérées, il est recommandé d'utiliser ces FE plus précis.
Toute autre source utilisée doit être précisément documentée et justifiée.</v>
          </cell>
          <cell r="C898" t="str">
            <v xml:space="preserve">Nevertheless, the IEA emission factors do not include CH4 and N2O emissions. Therefore, if national agencies have localy published EF in gCO2 equivalent, including CH4 and N2O, then it is advised to use such EF.
Any source besides of IEA should be clearly referenced and justified. </v>
          </cell>
        </row>
        <row r="901">
          <cell r="B901" t="str">
            <v>Zone/Pays/Plaque géographique</v>
          </cell>
          <cell r="C901" t="str">
            <v>Region/Country/Economy</v>
          </cell>
        </row>
        <row r="902">
          <cell r="B902" t="str">
            <v>Contenu carbone total des OM (tC/tOM)</v>
          </cell>
          <cell r="C902" t="str">
            <v>Total carbon content in MSW (tC/tMSW)</v>
          </cell>
        </row>
        <row r="903">
          <cell r="B903" t="str">
            <v>Valeur</v>
          </cell>
          <cell r="C903" t="str">
            <v>Value</v>
          </cell>
        </row>
        <row r="904">
          <cell r="B904" t="str">
            <v>Source : Prognos 2008 (type de déchet : biodéchet)</v>
          </cell>
          <cell r="C904" t="str">
            <v>source: Prognos 2008 (waste type = biowaste)</v>
          </cell>
        </row>
        <row r="905">
          <cell r="B905" t="str">
            <v>Effet de substitution</v>
          </cell>
          <cell r="C905" t="str">
            <v>Sustitution effect</v>
          </cell>
        </row>
        <row r="906">
          <cell r="B906" t="str">
            <v>POUR INFORMATION UNIQUEMENT
Séquestration carbone dans les sols</v>
          </cell>
          <cell r="C906" t="str">
            <v>FOR INFORMATION ONLY 
Carbon sequestration in soils</v>
          </cell>
        </row>
        <row r="907">
          <cell r="B907" t="str">
            <v>kgCO2e/t compostée</v>
          </cell>
          <cell r="C907" t="str">
            <v>kgCO2e/t composted</v>
          </cell>
        </row>
        <row r="908">
          <cell r="B908" t="str">
            <v>Facteur d'émission</v>
          </cell>
          <cell r="C908" t="str">
            <v>Emission factor</v>
          </cell>
        </row>
        <row r="909">
          <cell r="B909" t="str">
            <v>source: Brinkmann 2004 (type de déchets = légumes, fruits et autres déchets de jardin)</v>
          </cell>
          <cell r="C909" t="str">
            <v>source: Brinkmann 2004 (waste type = vegetable, fruit and garden waste)</v>
          </cell>
        </row>
        <row r="910">
          <cell r="B910" t="str">
            <v>Substitution à la tourbe</v>
          </cell>
          <cell r="C910" t="str">
            <v xml:space="preserve">Substitution to peat </v>
          </cell>
        </row>
        <row r="911">
          <cell r="B911" t="str">
            <v>Substitution aux engrais chimiques</v>
          </cell>
          <cell r="C911" t="str">
            <v>Substitution to chemical fertilizers</v>
          </cell>
        </row>
        <row r="912">
          <cell r="B912" t="str">
            <v>Combustible solide de substitution (four de cimenterie)</v>
          </cell>
          <cell r="C912" t="str">
            <v>Solid Fuel Waste used in cement kiln</v>
          </cell>
        </row>
        <row r="913">
          <cell r="B913" t="str">
            <v>Combustible solide de substitution (flux OM optimisé)</v>
          </cell>
          <cell r="C913" t="str">
            <v>Solid Fuel Waste used in an optimised MSW plant</v>
          </cell>
        </row>
        <row r="914">
          <cell r="B914" t="str">
            <v>Combustible solide de substitution (centrale à charbon)</v>
          </cell>
          <cell r="C914" t="str">
            <v>Solid Fuel Waste used in a coal power plant</v>
          </cell>
        </row>
        <row r="915">
          <cell r="B915" t="str">
            <v>Substitution à la tourbe et aux engrais chimiques</v>
          </cell>
          <cell r="C915" t="str">
            <v>Substitution to peat and chemical fertilizers</v>
          </cell>
        </row>
        <row r="917">
          <cell r="B917" t="str">
            <v>Informations complémentaires sur le périmètre des facteurs d'émissions présentés ci-dessus</v>
          </cell>
          <cell r="C917" t="str">
            <v>Additional information on the perimeter on the emission factors from each study</v>
          </cell>
        </row>
        <row r="918">
          <cell r="B918" t="str">
            <v>→ Emissions liées aux consommations de carburant</v>
          </cell>
          <cell r="C918" t="str">
            <v>→ Emissions due to fuel's consumption</v>
          </cell>
        </row>
        <row r="919">
          <cell r="B919" t="str">
            <v>Les facteurs d'émissions proposés par défaut ci-dessous sont des données de l'IEA. Ils ne couvrent que les émissions de CO2 générées au cours de la production de l'électricité et sont donc exprimés en kgCO2 et non en kgCO2 équivalent. Si l'utilisateur dispose de données relatives aux émissions de CH4 et N2O générées pendant la production d'électricité, il est recommandé de les prendre en compte en les incluant dans le facteur d'émissions.
Le tableau ci-dessous n'est pas exhaustif, la liste entière est disponible sur le site de l'Agence Internationale de l'Energie (IEA - http://www.iea.org/)</v>
          </cell>
          <cell r="C919" t="str">
            <v>Default emissions factors purposed below are IEA's data. They only cover CO2 emissions occuring during electricity production and are thus expressed in kgCO2 and not in kgCO2 équivalent. If the user disposes of data for CH4 and N2O emissions occuring during electricity production, it is recommanded to take them into account and to include them in the emission factor.</v>
          </cell>
        </row>
        <row r="920">
          <cell r="B920" t="str">
            <v>Emissions de CO2 biogénique des véhicules possédés, contrôlés ou exploités par l'entité réalisant le reporting</v>
          </cell>
          <cell r="C920" t="str">
            <v>Biogenic CO2 emissions from transportation vehicles owned, controlled or operated by the reporting entity</v>
          </cell>
        </row>
        <row r="921">
          <cell r="B921" t="str">
            <v>Biodiesel pur (100%)</v>
          </cell>
          <cell r="C921" t="str">
            <v>Pure Biodiesel (100%)</v>
          </cell>
        </row>
        <row r="922">
          <cell r="B922" t="str">
            <v>Bioethanol pur (100%)</v>
          </cell>
          <cell r="C922" t="str">
            <v>Pure Bioethanol (100%)</v>
          </cell>
        </row>
        <row r="923">
          <cell r="B923" t="str">
            <v>Contenu en CH4</v>
          </cell>
          <cell r="C923" t="str">
            <v>CH4 content</v>
          </cell>
        </row>
        <row r="924">
          <cell r="B924" t="str">
            <v>Contenu en CO2</v>
          </cell>
          <cell r="C924" t="str">
            <v>CO2 content</v>
          </cell>
        </row>
        <row r="925">
          <cell r="B925" t="str">
            <v>% en volume</v>
          </cell>
          <cell r="C925" t="str">
            <v>% in volume</v>
          </cell>
        </row>
        <row r="926">
          <cell r="B926" t="str">
            <v>Type d'unités de combustion</v>
          </cell>
          <cell r="C926" t="str">
            <v>Type of combustion units</v>
          </cell>
        </row>
        <row r="927">
          <cell r="B927" t="str">
            <v>(moteur, turbine, chaudière, torchère)</v>
          </cell>
          <cell r="C927" t="str">
            <v>(engine, flare, turbine, etc.)</v>
          </cell>
        </row>
        <row r="928">
          <cell r="B928" t="str">
            <v>Volume de biogaz traité</v>
          </cell>
          <cell r="C928" t="str">
            <v>Volume of treated biogaz</v>
          </cell>
        </row>
        <row r="929">
          <cell r="B929" t="str">
            <v>→ Emissions liées aux unités de combustion du biogaz</v>
          </cell>
          <cell r="C929" t="str">
            <v>→ Emissions due to biogas combustion units</v>
          </cell>
        </row>
        <row r="930">
          <cell r="B930" t="str">
            <v>gCO2/t matière brute</v>
          </cell>
          <cell r="C930" t="str">
            <v>gCO2/t wet weight</v>
          </cell>
        </row>
        <row r="931">
          <cell r="B931" t="str">
            <v>OM résiduelles</v>
          </cell>
          <cell r="C931" t="str">
            <v>Residual MSW</v>
          </cell>
        </row>
        <row r="932">
          <cell r="B932" t="str">
            <v>Déchets verts</v>
          </cell>
          <cell r="C932" t="str">
            <v>Green waste</v>
          </cell>
        </row>
        <row r="933">
          <cell r="B933" t="str">
            <v>Boues de STEP</v>
          </cell>
          <cell r="C933" t="str">
            <v xml:space="preserve">Wastewater treatment sludge </v>
          </cell>
        </row>
        <row r="934">
          <cell r="B934" t="str">
            <v>FFOM</v>
          </cell>
          <cell r="C934" t="str">
            <v>Organic fraction of MSW</v>
          </cell>
        </row>
        <row r="935">
          <cell r="B935" t="str">
            <v>Emissions de CO2 biogénique issues du compostage, des installations de combustion fixes et des équipements mobiles sur site</v>
          </cell>
          <cell r="C935" t="str">
            <v>Biogenic CO2 emissions from composting, permanent combustion facilities and on-site mobile equipment</v>
          </cell>
        </row>
        <row r="936">
          <cell r="B936" t="str">
            <v>Emissions de CO2 biogénique issues du TMB</v>
          </cell>
          <cell r="C936" t="str">
            <v>Biogenic CO2 emissions from MBT</v>
          </cell>
        </row>
        <row r="937">
          <cell r="B937" t="str">
            <v>Pour des informations détaillées sur les quatres modèles théoriques et la prise en compte de la séquestration carbone :</v>
          </cell>
          <cell r="C937" t="str">
            <v xml:space="preserve">For detailed information about the four theoretical models and taking into account of biogenic carbon sequestration…), please </v>
          </cell>
        </row>
        <row r="939">
          <cell r="B939" t="str">
            <v xml:space="preserve">Les émissions diffuses de CO2 biogénique des installations de stockage de déchets non dangereux comprennent les émissions du CO2 initialement présent dans le biogaz produit au sein du massif et les émissions de CO2 résultant de l'oxydation du méthane au travers de la couverture. Si les modèles ne permettent pas de les quantifier directement, elles peuvent être déduites de la quantité et de la composition du biogaz produit :
Emissions diffuses de CO2 [tCO2] = (Volume de biogaz produit [Nm3] x (1 - taux de captage [%]) x % of CO2 dans le biogaz produit + Volume de biogaz produit [Nm3] x % de CH4 dans le biogaz produit x (1 - taux de captage du biogaz [%]) x % de CH4 oxydé au travers de la couverture) x 1,87 / 1000
</v>
          </cell>
          <cell r="C939" t="str">
            <v>Diffuse biogenic CO2 emissions from landfills correspond to CO2 initially present in produced biogas which is not captured and to CO2 resulting from CH4 oxidation through covers. If these emissions can not be assessed using one of the four models, they can be calculated as follows : 
Diffuse biogenic CO2 emissions [tCO2] = (Volume of produced biogas [Nm3] x (1 - % of biogas collected) x % of CO2 contained in biogas + Volume of produced biogas [Nm3] x % of CH4 contained in biogas x (1 - % of biogas collected) x % of CH4 which is oxidised through covers ) x 1,87 / 1000</v>
          </cell>
        </row>
        <row r="940">
          <cell r="B940" t="str">
            <v>3 - Emissions dues aux consommations d'énergie</v>
          </cell>
          <cell r="C940" t="str">
            <v>3 - Emissions from energy consumption</v>
          </cell>
        </row>
        <row r="941">
          <cell r="B941" t="str">
            <v>Emissions de CO2 biogénique diffuses, issues des installations de combustion fixes et des équipements mobiles sur site, diffuses et des unités de combustion du biogaz</v>
          </cell>
          <cell r="C941" t="str">
            <v>Diffuses biogenic CO2 emissions and biogenic CO2 emissions from permanent combustion facilities,  on-site mobile equipment and biogas combustion units</v>
          </cell>
        </row>
        <row r="942">
          <cell r="B942" t="str">
            <v>Emissions de CO2 biogénique issues de l'incinération des déchets, des installations de combustion fixes et des équipements mobiles sur site</v>
          </cell>
          <cell r="C942" t="str">
            <v>Biogenic CO2 emissions from waste incineration,  permanent combustion facilities and on-site mobile equipment</v>
          </cell>
        </row>
        <row r="943">
          <cell r="B943" t="str">
            <v>Consommation de biocarburant</v>
          </cell>
          <cell r="C943" t="str">
            <v>Biofuels consumption</v>
          </cell>
        </row>
        <row r="944">
          <cell r="B944" t="str">
            <v>Consommation de biocombustible</v>
          </cell>
          <cell r="C944" t="str">
            <v>Biomass energy consumption</v>
          </cell>
        </row>
        <row r="945">
          <cell r="B945" t="str">
            <v>Unité de combustion du biogaz</v>
          </cell>
          <cell r="C945" t="str">
            <v>Biogas combustion units</v>
          </cell>
        </row>
        <row r="946">
          <cell r="B946" t="str">
            <v>Emissions diffuses</v>
          </cell>
          <cell r="C946" t="str">
            <v>Diffuse emissions</v>
          </cell>
        </row>
        <row r="947">
          <cell r="B947" t="str">
            <v>6 - Fret routier : calcul des émissions liées aux fuites des climatiseurs</v>
          </cell>
          <cell r="C947" t="str">
            <v>6 - Road transportation: emissions resulting from A/C leakages</v>
          </cell>
        </row>
        <row r="948">
          <cell r="B948" t="str">
            <v>Sources</v>
          </cell>
          <cell r="C948" t="str">
            <v>Sources</v>
          </cell>
        </row>
        <row r="949">
          <cell r="B949" t="str">
            <v>Type de gaz réfrigérant</v>
          </cell>
          <cell r="C949" t="str">
            <v>Type of refrigerant gases</v>
          </cell>
        </row>
        <row r="950">
          <cell r="B950" t="str">
            <v>PRG du réfrigérant</v>
          </cell>
          <cell r="C950" t="str">
            <v>Refrigerant gas GWP</v>
          </cell>
        </row>
        <row r="951">
          <cell r="B951" t="str">
            <v>Charge de réfrigérant (en kg)</v>
          </cell>
          <cell r="C951" t="str">
            <v>Amount of refrigerant (in kg)</v>
          </cell>
        </row>
        <row r="952">
          <cell r="B952" t="str">
            <v>Taux de fuite annuel (%)</v>
          </cell>
          <cell r="C952" t="str">
            <v>Annual leakage rate (in %)</v>
          </cell>
        </row>
        <row r="953">
          <cell r="B953" t="str">
            <v>Nombre de sources considérées</v>
          </cell>
          <cell r="C953" t="str">
            <v>Number of sources considered</v>
          </cell>
        </row>
        <row r="954">
          <cell r="B954" t="str">
            <v>Le tableau ci-dessous est donné à titre indicatif pour évaluer grossièrement les émissions des gaz réfrigérants susceptibles d'être émises annuellement en raison des fuite. Cette méthode est dérivée de la "Screening Method" développée par le GIEC et reportée dans le protocole sectoriel HFC/ PCF. Ce tableau est proposé à titre indicatif afin de permettre à l'utilisateur concerné par ce type d'émissions de réaliser un bilan complet de ses émissions de GES.
 L'utilisateur est cependant vivement encouragé, s'il s'engage à reporter ces émissions, à se référer au protocole sectoriel HFC / PCF publié par le GHG Protocol sur son site internet pour procéder à une estimation plus précise.
Le tableau est à remplir à l'aide des informations données disponibles dans l'onglet "Transport".</v>
          </cell>
          <cell r="C954" t="str">
            <v>The table below is given to roughly evaluate the emissions resulting from refrigerant / fluorised gases leakages. This methodology is based on the IPCC "Screening method" and used in the HFC / PCF sectorial protocol.
This table is to be used to get an indicative idea  of these emissions' impact and to enable users to realise a complete carbon footprint.
However, users are warmly advised to refer to the sectorial protocol on HFC / PCF emissions available on the GHG Protocol's website to undertake a more precised quantification.
The table is to be filled in with data available in the "Transport" tab.</v>
          </cell>
        </row>
        <row r="955">
          <cell r="B955" t="str">
            <v>R134a</v>
          </cell>
          <cell r="C955" t="str">
            <v>R134a</v>
          </cell>
        </row>
        <row r="956">
          <cell r="B956" t="str">
            <v>R12</v>
          </cell>
          <cell r="C956" t="str">
            <v>R12</v>
          </cell>
        </row>
        <row r="957">
          <cell r="B957" t="str">
            <v>R22</v>
          </cell>
          <cell r="C957" t="str">
            <v>R22</v>
          </cell>
        </row>
        <row r="958">
          <cell r="B958" t="str">
            <v>R600 (Isobutane)</v>
          </cell>
          <cell r="C958" t="str">
            <v>R600 (isobutane)</v>
          </cell>
        </row>
        <row r="959">
          <cell r="B959" t="str">
            <v>4 - Calcul des émissions des fuites de gaz réfrigérants des D3E</v>
          </cell>
          <cell r="C959" t="str">
            <v>4 - Calculation of emissions generated by WEEE dismantling</v>
          </cell>
        </row>
        <row r="960">
          <cell r="B960" t="str">
            <v>Type d'équipement</v>
          </cell>
          <cell r="C960" t="str">
            <v>Type of equipment / WEEE</v>
          </cell>
        </row>
        <row r="961">
          <cell r="B961" t="str">
            <v>Quantité</v>
          </cell>
          <cell r="C961" t="str">
            <v>Quantity</v>
          </cell>
        </row>
        <row r="962">
          <cell r="B962" t="str">
            <v>→ Informations complémentaires</v>
          </cell>
          <cell r="C962" t="str">
            <v>→ Additional information</v>
          </cell>
        </row>
        <row r="963">
          <cell r="B963" t="str">
            <v>Durée depuis le dernier remplissage (en années)</v>
          </cell>
          <cell r="C963" t="str">
            <v>Time since it was last filled (in years)</v>
          </cell>
        </row>
        <row r="964">
          <cell r="B964" t="str">
            <v>Taux de recyclage du gaz</v>
          </cell>
          <cell r="C964" t="str">
            <v>Gas recycling rate</v>
          </cell>
        </row>
        <row r="965">
          <cell r="B965" t="str">
            <v>Gaz détruit (en kg)</v>
          </cell>
          <cell r="C965" t="str">
            <v>Amount of gas detroyed (in kg)</v>
          </cell>
        </row>
        <row r="966">
          <cell r="B966" t="str">
            <v>Le tableau ci-dessous permet évaluer les émissions des gaz réfrigérants susceptibles d'être émises lors du démantèlement, traitement et recyclage des DEEE (HFC, PFC, NF3). Pour une estimation plus précise, l'utilisateur est encouragé à se référer au Protocole sectoriel HFC / PCF publié par le GHG Protocol et disponible sur son site interne.</v>
          </cell>
          <cell r="C966" t="str">
            <v xml:space="preserve">The table below is given to evaluate the emissions resulting from recycling / dismantling WEEE (HFC, PFC, NF3). This methodology is based on the IPCC "Screening method" and used in the HFC / PCF sectorial Protocol. Additional information is at the end of this spreadsheet. For a precised quantification, users are advised to refer to the sectorial Protocol on HFC / PCF emissions available on the GHG Protocol's website. </v>
          </cell>
        </row>
        <row r="967">
          <cell r="B967" t="str">
            <v>Efficacité de combustion</v>
          </cell>
          <cell r="C967" t="str">
            <v>Combustion efficiency</v>
          </cell>
        </row>
        <row r="968">
          <cell r="B968" t="str">
            <v>Si différente de 100%, justifier</v>
          </cell>
          <cell r="C968" t="str">
            <v>If different from 100%, provide explanation</v>
          </cell>
        </row>
        <row r="969">
          <cell r="B969" t="str">
            <v>Emissions liées à la combustion incomplète du méthane</v>
          </cell>
          <cell r="C969" t="str">
            <v>Emissions from incomplete methane combustion</v>
          </cell>
        </row>
        <row r="970">
          <cell r="B970" t="str">
            <v>Emissions directes liées à la combustion du biogaz</v>
          </cell>
          <cell r="C970" t="str">
            <v>Direct emissions from biogas combustion</v>
          </cell>
        </row>
        <row r="971">
          <cell r="B971" t="str">
            <v>Emissions totales liées à la combustion du biogaz</v>
          </cell>
          <cell r="C971" t="str">
            <v>Total emissions from biogas combustion</v>
          </cell>
        </row>
        <row r="972">
          <cell r="B972" t="str">
            <v>→ Autres GES</v>
          </cell>
          <cell r="C972" t="str">
            <v>→ Other GHG</v>
          </cell>
        </row>
        <row r="973">
          <cell r="B973" t="str">
            <v>Nota : Emissions directes résultant de l'incinération de certains types de déchets susceptibles d'émettre des GES</v>
          </cell>
          <cell r="C973" t="str">
            <v>Nota : Direct emissions generated by incineration of specific waste that could generate GHG</v>
          </cell>
        </row>
        <row r="974">
          <cell r="B974" t="str">
            <v>Total des émissions directes autres</v>
          </cell>
          <cell r="C974" t="str">
            <v>Total of other direct emissions</v>
          </cell>
        </row>
        <row r="975">
          <cell r="B975" t="str">
            <v>4 - Emissions de CO2 biogénique</v>
          </cell>
          <cell r="C975" t="str">
            <v>4 - Biogenic CO2 Emissions</v>
          </cell>
        </row>
        <row r="976">
          <cell r="B976" t="str">
            <v>Les émissions de CO2 biogénique sont reportées pour information.</v>
          </cell>
          <cell r="C976" t="str">
            <v>Biogenic CO2 emissions are reported for information purposes only.</v>
          </cell>
        </row>
        <row r="977">
          <cell r="B977" t="str">
            <v>Combustion incomplète du biogaz</v>
          </cell>
          <cell r="C977" t="str">
            <v>Incomplete biogas combustion</v>
          </cell>
        </row>
        <row r="978">
          <cell r="B978" t="str">
            <v>→ Emissions directes résultant de fuites de gaz réfrigérants contenus dans les D3E</v>
          </cell>
          <cell r="C978" t="str">
            <v>→ Direct emissions from refrigerant / fluorinated gases released because of WEEE leakages / dismantling process</v>
          </cell>
        </row>
        <row r="979">
          <cell r="B979" t="str">
            <v>Calcul des émissions liées aux fuites des climatiseurs</v>
          </cell>
          <cell r="C979" t="str">
            <v>Calculation of emissions resulting from A/C devices leakages</v>
          </cell>
        </row>
        <row r="980">
          <cell r="B980" t="str">
            <v>Emissions directes liées aux gaz fluorés</v>
          </cell>
          <cell r="C980" t="str">
            <v>Direct emissions from refrigerant / fluorinated gases released because of WEEE leakages / dismantling process</v>
          </cell>
        </row>
        <row r="981">
          <cell r="B981" t="str">
            <v>Emissions liées aux fuites des climatiseurs</v>
          </cell>
          <cell r="C981" t="str">
            <v>Emissions from A/C devices leakages</v>
          </cell>
        </row>
        <row r="982">
          <cell r="B982" t="str">
            <v>Emissions de CO2 biogénique issues du procédé de méthanisation, de la combustion du biogaz et de la consommation de biocombustibles</v>
          </cell>
          <cell r="C982" t="str">
            <v>Biogenic CO2 emissions generated by AD process, biogas combustion and biofuels consumption</v>
          </cell>
        </row>
        <row r="983">
          <cell r="B983" t="str">
            <v>Emissions directes associées aux fuites des appareils de climatisation</v>
          </cell>
          <cell r="C983" t="str">
            <v>Direct emissions associated with A/C devices leakages</v>
          </cell>
        </row>
        <row r="984">
          <cell r="B984" t="str">
            <v>Les émissions de méthane et de dioxyde de carbone biogénique générées par le procédé du compostage sont liées et dépendent de la balance carbone totale des déchets traités. Afin d'être cohérent entre les différentes émissions reportées, il est donc nécessaire d'utiliser des facteurs d'émissions pour le CH4 et le CO2 biogénique qui proviennent de la même source.</v>
          </cell>
          <cell r="C984" t="str">
            <v>Methane and biogenic carbon dioxide emissions generated by the composting process are linked to the total carbon balance of composted waste. In order to report coherent emissions, it is necessary to use emission factors for CH4 and biogenic CO2 that come from the same source.</v>
          </cell>
        </row>
        <row r="985">
          <cell r="B985" t="str">
            <v>Attention, les déchets contenants des fluides réfrigérants incinérés et dégageant par là-même des émissions de GES sont à reporter à la section 4 ci-dessus.</v>
          </cell>
          <cell r="C985" t="str">
            <v>Warning, incinerated waste containing fluorinated gases and generating GHG emissions during the process should be reported in section 4 above.</v>
          </cell>
        </row>
        <row r="986">
          <cell r="B986" t="str">
            <v>GPL</v>
          </cell>
        </row>
        <row r="987">
          <cell r="B987" t="str">
            <v>Propane (GPL - inclus maritime)</v>
          </cell>
        </row>
        <row r="988">
          <cell r="B988" t="str">
            <v>OCDE Amériques</v>
          </cell>
          <cell r="C988" t="str">
            <v>OECD Americas</v>
          </cell>
        </row>
        <row r="989">
          <cell r="B989" t="str">
            <v>OCDE Asie Océanie</v>
          </cell>
          <cell r="C989" t="str">
            <v>OECD Asia Oceania</v>
          </cell>
        </row>
        <row r="990">
          <cell r="B990" t="str">
            <v>OCDE Europe</v>
          </cell>
          <cell r="C990" t="str">
            <v>OECD Europe</v>
          </cell>
        </row>
        <row r="991">
          <cell r="B991" t="str">
            <v>Afrique</v>
          </cell>
          <cell r="C991" t="str">
            <v>Africa</v>
          </cell>
        </row>
        <row r="992">
          <cell r="B992" t="str">
            <v>Amérique Latine</v>
          </cell>
          <cell r="C992" t="str">
            <v>Latin America</v>
          </cell>
        </row>
        <row r="993">
          <cell r="B993" t="str">
            <v>Moyen-Orient</v>
          </cell>
          <cell r="C993" t="str">
            <v>Middle East</v>
          </cell>
        </row>
        <row r="994">
          <cell r="B994" t="str">
            <v>Chine (inclus Hong-Kong)</v>
          </cell>
          <cell r="C994" t="str">
            <v>China (including Hong Kong)</v>
          </cell>
        </row>
        <row r="995">
          <cell r="B995" t="str">
            <v>Australie</v>
          </cell>
          <cell r="C995" t="str">
            <v>Australia</v>
          </cell>
        </row>
        <row r="996">
          <cell r="B996" t="str">
            <v>Autriche</v>
          </cell>
          <cell r="C996" t="str">
            <v>Austria</v>
          </cell>
        </row>
        <row r="997">
          <cell r="B997" t="str">
            <v>Bélarusse</v>
          </cell>
          <cell r="C997" t="str">
            <v>Belarus</v>
          </cell>
        </row>
        <row r="998">
          <cell r="B998" t="str">
            <v>Belgique</v>
          </cell>
          <cell r="C998" t="str">
            <v>Belgium</v>
          </cell>
        </row>
        <row r="999">
          <cell r="B999" t="str">
            <v>Brésil</v>
          </cell>
          <cell r="C999" t="str">
            <v>Brazil</v>
          </cell>
        </row>
        <row r="1000">
          <cell r="B1000" t="str">
            <v>Bulgarie</v>
          </cell>
          <cell r="C1000" t="str">
            <v>Bulgaria</v>
          </cell>
        </row>
        <row r="1001">
          <cell r="B1001" t="str">
            <v>Canada</v>
          </cell>
          <cell r="C1001" t="str">
            <v>Canada</v>
          </cell>
        </row>
        <row r="1002">
          <cell r="B1002" t="str">
            <v>République Populaire de Chine</v>
          </cell>
          <cell r="C1002" t="str">
            <v>People's Republic of China</v>
          </cell>
        </row>
        <row r="1003">
          <cell r="B1003" t="str">
            <v>Croatie</v>
          </cell>
          <cell r="C1003" t="str">
            <v>Croatia</v>
          </cell>
        </row>
        <row r="1004">
          <cell r="B1004" t="str">
            <v>Chypre</v>
          </cell>
          <cell r="C1004" t="str">
            <v>Cyprus</v>
          </cell>
        </row>
        <row r="1005">
          <cell r="B1005" t="str">
            <v>République Tchèque</v>
          </cell>
          <cell r="C1005" t="str">
            <v>Czech Republic</v>
          </cell>
        </row>
        <row r="1006">
          <cell r="B1006" t="str">
            <v>Danemark</v>
          </cell>
          <cell r="C1006" t="str">
            <v>Denmark</v>
          </cell>
        </row>
        <row r="1007">
          <cell r="B1007" t="str">
            <v>Estonie</v>
          </cell>
          <cell r="C1007" t="str">
            <v>Estonia</v>
          </cell>
        </row>
        <row r="1008">
          <cell r="B1008" t="str">
            <v>Finlande</v>
          </cell>
          <cell r="C1008" t="str">
            <v>Finland</v>
          </cell>
        </row>
        <row r="1009">
          <cell r="B1009" t="str">
            <v>France</v>
          </cell>
          <cell r="C1009" t="str">
            <v>France</v>
          </cell>
        </row>
        <row r="1010">
          <cell r="B1010" t="str">
            <v>Allemagne</v>
          </cell>
          <cell r="C1010" t="str">
            <v>Germany</v>
          </cell>
        </row>
        <row r="1011">
          <cell r="B1011" t="str">
            <v>Grèce</v>
          </cell>
          <cell r="C1011" t="str">
            <v>Greece</v>
          </cell>
        </row>
        <row r="1012">
          <cell r="B1012" t="str">
            <v>Hongrie</v>
          </cell>
          <cell r="C1012" t="str">
            <v>Hungary</v>
          </cell>
        </row>
        <row r="1013">
          <cell r="B1013" t="str">
            <v>Islande</v>
          </cell>
          <cell r="C1013" t="str">
            <v>Iceland</v>
          </cell>
        </row>
        <row r="1014">
          <cell r="B1014" t="str">
            <v>Inde</v>
          </cell>
          <cell r="C1014" t="str">
            <v>India</v>
          </cell>
        </row>
        <row r="1015">
          <cell r="B1015" t="str">
            <v>Irlande</v>
          </cell>
          <cell r="C1015" t="str">
            <v>Ireland</v>
          </cell>
        </row>
        <row r="1016">
          <cell r="B1016" t="str">
            <v>Italie</v>
          </cell>
          <cell r="C1016" t="str">
            <v>Italy</v>
          </cell>
        </row>
        <row r="1017">
          <cell r="B1017" t="str">
            <v>Japon</v>
          </cell>
          <cell r="C1017" t="str">
            <v>Japan</v>
          </cell>
        </row>
        <row r="1018">
          <cell r="B1018" t="str">
            <v>Lettonie</v>
          </cell>
          <cell r="C1018" t="str">
            <v>Latvia</v>
          </cell>
        </row>
        <row r="1019">
          <cell r="B1019" t="str">
            <v>Lituanie</v>
          </cell>
          <cell r="C1019" t="str">
            <v>Lithuania</v>
          </cell>
        </row>
        <row r="1020">
          <cell r="B1020" t="str">
            <v>Luxembourg</v>
          </cell>
          <cell r="C1020" t="str">
            <v>Luxembourg</v>
          </cell>
        </row>
        <row r="1021">
          <cell r="B1021" t="str">
            <v>Pays-Bas</v>
          </cell>
          <cell r="C1021" t="str">
            <v>Netherlands</v>
          </cell>
        </row>
        <row r="1022">
          <cell r="B1022" t="str">
            <v>Norvège</v>
          </cell>
          <cell r="C1022" t="str">
            <v>Norway</v>
          </cell>
        </row>
        <row r="1023">
          <cell r="B1023" t="str">
            <v>Pologne</v>
          </cell>
          <cell r="C1023" t="str">
            <v>Poland</v>
          </cell>
        </row>
        <row r="1024">
          <cell r="B1024" t="str">
            <v>Portugal</v>
          </cell>
          <cell r="C1024" t="str">
            <v>Portugal</v>
          </cell>
        </row>
        <row r="1025">
          <cell r="B1025" t="str">
            <v>Roumanie</v>
          </cell>
          <cell r="C1025" t="str">
            <v>Romania</v>
          </cell>
        </row>
        <row r="1026">
          <cell r="B1026" t="str">
            <v>Fédération de Russie</v>
          </cell>
          <cell r="C1026" t="str">
            <v>Russian Federation</v>
          </cell>
        </row>
        <row r="1027">
          <cell r="B1027" t="str">
            <v>Slovaquie</v>
          </cell>
          <cell r="C1027" t="str">
            <v>Slovak Republic</v>
          </cell>
        </row>
        <row r="1028">
          <cell r="B1028" t="str">
            <v>Slovénie</v>
          </cell>
          <cell r="C1028" t="str">
            <v>Slovenia</v>
          </cell>
        </row>
        <row r="1029">
          <cell r="B1029" t="str">
            <v>Espagne</v>
          </cell>
          <cell r="C1029" t="str">
            <v>Spain</v>
          </cell>
        </row>
        <row r="1030">
          <cell r="B1030" t="str">
            <v>Suède</v>
          </cell>
          <cell r="C1030" t="str">
            <v>Sweden</v>
          </cell>
        </row>
        <row r="1031">
          <cell r="B1031" t="str">
            <v>Suisse</v>
          </cell>
          <cell r="C1031" t="str">
            <v>Switzerland</v>
          </cell>
        </row>
        <row r="1032">
          <cell r="B1032" t="str">
            <v>Ukraine</v>
          </cell>
          <cell r="C1032" t="str">
            <v>Ukraine</v>
          </cell>
        </row>
        <row r="1033">
          <cell r="B1033" t="str">
            <v>Royaume-Uni</v>
          </cell>
          <cell r="C1033" t="str">
            <v>United Kingdom</v>
          </cell>
        </row>
        <row r="1034">
          <cell r="B1034" t="str">
            <v>Etats-Unis d'Amérique</v>
          </cell>
          <cell r="C1034" t="str">
            <v>United States</v>
          </cell>
        </row>
        <row r="1035">
          <cell r="B1035" t="str">
            <v>OCDE (total)</v>
          </cell>
          <cell r="C1035" t="str">
            <v>Memo: OECD Total</v>
          </cell>
        </row>
        <row r="1036">
          <cell r="B1036" t="str">
            <v>Union Européenne (27)</v>
          </cell>
          <cell r="C1036" t="str">
            <v>Memo: European Union - 27</v>
          </cell>
        </row>
        <row r="1037">
          <cell r="B1037" t="str">
            <v>Base Carbone ADEME 2012</v>
          </cell>
          <cell r="C1037" t="str">
            <v>Base Carbone ADEME 2012</v>
          </cell>
        </row>
        <row r="1038">
          <cell r="B1038" t="str">
            <v>Emissions liées aux gaz fluorés</v>
          </cell>
          <cell r="C1038" t="str">
            <v>Emissions from fluorinated gases</v>
          </cell>
        </row>
        <row r="1039">
          <cell r="B1039" t="str">
            <v>Procédé de recyclage D3E</v>
          </cell>
          <cell r="C1039" t="str">
            <v>WEEE recycling process</v>
          </cell>
        </row>
        <row r="1040">
          <cell r="B1040" t="str">
            <v>Climatisation véhicule</v>
          </cell>
          <cell r="C1040" t="str">
            <v>Vehicle A/C</v>
          </cell>
        </row>
        <row r="1041">
          <cell r="B1041" t="str">
            <v>Climatisation bâtiment</v>
          </cell>
          <cell r="C1041" t="str">
            <v>Building A/C system</v>
          </cell>
        </row>
        <row r="1042">
          <cell r="B1042" t="str">
            <v>4 - Facteurs d'émissions de N2O issu de l'incinération</v>
          </cell>
          <cell r="C1042" t="str">
            <v>4 - Emission factors for N2O emissions resulting from incineration process</v>
          </cell>
        </row>
        <row r="1043">
          <cell r="B1043" t="str">
            <v>1 - Facteurs d'émissions par type de carburant</v>
          </cell>
          <cell r="C1043" t="str">
            <v>1 - Emission Factors for fuel types</v>
          </cell>
        </row>
        <row r="1044">
          <cell r="B1044" t="str">
            <v>8- Pouvoir de Réchauffement Global (PRG)</v>
          </cell>
          <cell r="C1044" t="str">
            <v>8 - Global Warming Potentials (GWP)</v>
          </cell>
        </row>
        <row r="1045">
          <cell r="B1045" t="str">
            <v>Type de biocarburant</v>
          </cell>
          <cell r="C1045" t="str">
            <v>Types of biofuels</v>
          </cell>
        </row>
        <row r="1046">
          <cell r="B1046" t="str">
            <v>Biodiesel pur</v>
          </cell>
          <cell r="C1046" t="str">
            <v>100% Biodiesel</v>
          </cell>
        </row>
        <row r="1047">
          <cell r="B1047" t="str">
            <v>Bioéthanol pur</v>
          </cell>
          <cell r="C1047" t="str">
            <v>100% bio ethanol</v>
          </cell>
        </row>
        <row r="1048">
          <cell r="B1048" t="str">
            <v>PRG</v>
          </cell>
          <cell r="C1048" t="str">
            <v>GWP</v>
          </cell>
        </row>
        <row r="1049">
          <cell r="B1049" t="str">
            <v>GES</v>
          </cell>
          <cell r="C1049" t="str">
            <v>GHG</v>
          </cell>
        </row>
        <row r="1050">
          <cell r="B1050" t="str">
            <v>1.3 - Calcul des émissions évitées par la séquestration carbone</v>
          </cell>
          <cell r="C1050" t="str">
            <v>1.3 - Calculation of avoided emissions due to carbon sequestration</v>
          </cell>
        </row>
        <row r="1051">
          <cell r="B1051" t="str">
            <v>Quantité de carbone séquestrée</v>
          </cell>
          <cell r="C1051" t="str">
            <v>Quantity of sequestred carbon</v>
          </cell>
        </row>
        <row r="1052">
          <cell r="B1052" t="str">
            <v>Durée de séquestration</v>
          </cell>
          <cell r="C1052" t="str">
            <v>Lengh of the sequestration</v>
          </cell>
        </row>
        <row r="1053">
          <cell r="B1053" t="str">
            <v>POUR INFORMATION UNIQUEMENT
Séquestration carbone</v>
          </cell>
          <cell r="C1053" t="str">
            <v>FOR INFORMATION ONLY 
Carbon sequestration in soils</v>
          </cell>
        </row>
        <row r="1054">
          <cell r="B1054" t="str">
            <v>Année</v>
          </cell>
          <cell r="C1054" t="str">
            <v>Year</v>
          </cell>
        </row>
        <row r="1055">
          <cell r="B1055" t="str">
            <v>Emissions de CO2 biogénique</v>
          </cell>
          <cell r="C1055" t="str">
            <v>Biogenic CO2 emissions</v>
          </cell>
        </row>
        <row r="1056">
          <cell r="B1056" t="str">
            <v>B30 (diesel + 30% biodiesel)</v>
          </cell>
          <cell r="C1056" t="str">
            <v>B30 (diesel + 30% biodiesel)</v>
          </cell>
        </row>
        <row r="1057">
          <cell r="B1057" t="str">
            <v>E10 (essence + 10% bioéthanol)</v>
          </cell>
          <cell r="C1057" t="str">
            <v>E10 (petrol + 10% bio ethanol)</v>
          </cell>
        </row>
        <row r="1058">
          <cell r="B1058" t="str">
            <v>Catégorie de gaz</v>
          </cell>
          <cell r="C1058" t="str">
            <v>Gas category</v>
          </cell>
        </row>
        <row r="1059">
          <cell r="B1059" t="str">
            <v>EMISSIONS DIRECTES</v>
          </cell>
          <cell r="C1059" t="str">
            <v>DIRECT EMISSIONS</v>
          </cell>
        </row>
        <row r="1060">
          <cell r="B1060" t="str">
            <v>EMISSIONS INDIRECTES LIEES A L'ENERGIE</v>
          </cell>
          <cell r="C1060" t="str">
            <v>INDIRECT EMISSIONS DUE TO ENERGY</v>
          </cell>
        </row>
        <row r="1061">
          <cell r="B1061" t="str">
            <v>EMISSIONS EVITEES</v>
          </cell>
          <cell r="C1061" t="str">
            <v>AVOIDED EMISSIONS</v>
          </cell>
        </row>
        <row r="1062">
          <cell r="B1062" t="str">
            <v xml:space="preserve">CARBONE SEQUESTRE </v>
          </cell>
          <cell r="C1062" t="str">
            <v>SEQUESTRATED CARBON</v>
          </cell>
        </row>
        <row r="1063">
          <cell r="B1063" t="str">
            <v>EMISSIONS DE CO2 BIOGENIQUE</v>
          </cell>
          <cell r="C1063" t="str">
            <v>BIOGENIC CO2 EMISSIONS</v>
          </cell>
        </row>
        <row r="1064">
          <cell r="B1064" t="str">
            <v>Ci-dessous le code couleur utilisé dans les tableaux de calcul :</v>
          </cell>
          <cell r="C1064" t="str">
            <v xml:space="preserve">Please note the color code used in the different sheets : </v>
          </cell>
        </row>
        <row r="1065">
          <cell r="B1065" t="str">
            <v xml:space="preserve"> - Inventaire des émissions GES par types de sources -</v>
          </cell>
          <cell r="C1065" t="str">
            <v xml:space="preserve"> - Source Type List with results -</v>
          </cell>
        </row>
        <row r="1066">
          <cell r="B1066" t="str">
            <v>5 - Détail des émissions par GES</v>
          </cell>
          <cell r="C1066" t="str">
            <v>5 - Emissions synthesis per GHG</v>
          </cell>
        </row>
        <row r="1067">
          <cell r="B1067" t="str">
            <v>Déchets en mélange (déchets verts, boues, biodéchets, ordures ménagères)</v>
          </cell>
          <cell r="C1067" t="str">
            <v>Mixed waste (green waste, biowaste, sludge, MSW)</v>
          </cell>
        </row>
      </sheetData>
      <sheetData sheetId="1">
        <row r="1">
          <cell r="A1">
            <v>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8" Type="http://schemas.openxmlformats.org/officeDocument/2006/relationships/hyperlink" Target="https://ghgprotocol.org/sites/default/files/Waste%20Sector%20GHG%20Protocol_Calculation%20Tool_Version%205_October%202013_1_0.xls" TargetMode="External"/><Relationship Id="rId3" Type="http://schemas.openxmlformats.org/officeDocument/2006/relationships/hyperlink" Target="https://www.gov.br/pt-br/noticias/energia-minerais-e-combustiveis/2020/03/percentual-obrigatorio-de-biodiesel-no-oleo-diesel-sobe-para-12" TargetMode="External"/><Relationship Id="rId7" Type="http://schemas.openxmlformats.org/officeDocument/2006/relationships/hyperlink" Target="http://pesquisa.in.gov.br/imprensa/jsp/visualiza/index.jsp?data=06/03/2015&amp;jornal=1&amp;pagina=17&amp;totalArquivos=200" TargetMode="External"/><Relationship Id="rId2" Type="http://schemas.openxmlformats.org/officeDocument/2006/relationships/hyperlink" Target="http://www.anp.gov.br/?pg=22999&amp;m=teste&amp;t1=&amp;t2=teste&amp;t3=&amp;t4=&amp;ar=0&amp;ps=1&amp;cachebust=1287660579265" TargetMode="External"/><Relationship Id="rId1" Type="http://schemas.openxmlformats.org/officeDocument/2006/relationships/hyperlink" Target="http://extranet.agricultura.gov.br/sislegis-consulta/consultarLegislacao.do?operacao=visualizar&amp;id=338" TargetMode="External"/><Relationship Id="rId6" Type="http://schemas.openxmlformats.org/officeDocument/2006/relationships/hyperlink" Target="https://www.in.gov.br/en/web/dou/-/resolucao-anp-n-831-de-7-de-outubro-de-2020-281791734" TargetMode="External"/><Relationship Id="rId5" Type="http://schemas.openxmlformats.org/officeDocument/2006/relationships/hyperlink" Target="https://www.in.gov.br/en/web/dou/-/resolucao-n-824-de-13-de-agosto-de-2020-272239257" TargetMode="External"/><Relationship Id="rId4" Type="http://schemas.openxmlformats.org/officeDocument/2006/relationships/hyperlink" Target="https://epbr.com.br/anp-reduz-mistura-obrigatoria-de-biodiesel-para-10/" TargetMode="External"/><Relationship Id="rId9"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3" Type="http://schemas.openxmlformats.org/officeDocument/2006/relationships/hyperlink" Target="mailto:cscanavini@odebrecht.com" TargetMode="External"/><Relationship Id="rId2" Type="http://schemas.openxmlformats.org/officeDocument/2006/relationships/hyperlink" Target="mailto:cscanavini@odebrecht.com" TargetMode="External"/><Relationship Id="rId1" Type="http://schemas.openxmlformats.org/officeDocument/2006/relationships/hyperlink" Target="mailto:cscanavini@odebrecht.com" TargetMode="External"/><Relationship Id="rId6" Type="http://schemas.openxmlformats.org/officeDocument/2006/relationships/drawing" Target="../drawings/drawing2.xml"/><Relationship Id="rId5" Type="http://schemas.openxmlformats.org/officeDocument/2006/relationships/hyperlink" Target="mailto:cscanavini@odebrecht.com" TargetMode="External"/><Relationship Id="rId4" Type="http://schemas.openxmlformats.org/officeDocument/2006/relationships/hyperlink" Target="mailto:cscanavini@odebrecht.com" TargetMode="Externa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s://www.aneel.gov.br/documents/654800/18766993/Relat%C3%B3rio+Perdas+de+Energia+2019.pdf/6cb0bf36-4074-bbc3-d15d-ed370f44b34b" TargetMode="External"/><Relationship Id="rId1" Type="http://schemas.openxmlformats.org/officeDocument/2006/relationships/hyperlink" Target="https://antigo.mctic.gov.br/mctic/opencms/ciencia/SEPED/clima/textogeral/emissao_corporativos.html"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jararaca.ufsm.br/websites/ces/download/A1.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8" Type="http://schemas.openxmlformats.org/officeDocument/2006/relationships/drawing" Target="../drawings/drawing7.xml"/><Relationship Id="rId3" Type="http://schemas.openxmlformats.org/officeDocument/2006/relationships/hyperlink" Target="https://www.gov.br/pt-br/noticias/energia-minerais-e-combustiveis/2020/03/percentual-obrigatorio-de-biodiesel-no-oleo-diesel-sobe-para-12" TargetMode="External"/><Relationship Id="rId7" Type="http://schemas.openxmlformats.org/officeDocument/2006/relationships/hyperlink" Target="http://pesquisa.in.gov.br/imprensa/jsp/visualiza/index.jsp?data=06/03/2015&amp;jornal=1&amp;pagina=17&amp;totalArquivos=200" TargetMode="External"/><Relationship Id="rId2" Type="http://schemas.openxmlformats.org/officeDocument/2006/relationships/hyperlink" Target="http://www.anp.gov.br/?pg=22999&amp;m=teste&amp;t1=&amp;t2=teste&amp;t3=&amp;t4=&amp;ar=0&amp;ps=1&amp;cachebust=1287660579265" TargetMode="External"/><Relationship Id="rId1" Type="http://schemas.openxmlformats.org/officeDocument/2006/relationships/hyperlink" Target="http://extranet.agricultura.gov.br/sislegis-consulta/consultarLegislacao.do?operacao=visualizar&amp;id=338" TargetMode="External"/><Relationship Id="rId6" Type="http://schemas.openxmlformats.org/officeDocument/2006/relationships/hyperlink" Target="https://www.in.gov.br/en/web/dou/-/resolucao-anp-n-831-de-7-de-outubro-de-2020-281791734" TargetMode="External"/><Relationship Id="rId5" Type="http://schemas.openxmlformats.org/officeDocument/2006/relationships/hyperlink" Target="https://www.in.gov.br/en/web/dou/-/resolucao-n-824-de-13-de-agosto-de-2020-272239257" TargetMode="External"/><Relationship Id="rId4" Type="http://schemas.openxmlformats.org/officeDocument/2006/relationships/hyperlink" Target="https://epbr.com.br/anp-reduz-mistura-obrigatoria-de-biodiesel-para-10/"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6:N36"/>
  <sheetViews>
    <sheetView showGridLines="0" zoomScaleNormal="100" workbookViewId="0"/>
  </sheetViews>
  <sheetFormatPr defaultColWidth="8.77734375" defaultRowHeight="14.4"/>
  <cols>
    <col min="2" max="2" width="17.109375" bestFit="1" customWidth="1"/>
    <col min="6" max="6" width="12.77734375" customWidth="1"/>
    <col min="7" max="9" width="12.6640625" customWidth="1"/>
    <col min="10" max="10" width="12.77734375" customWidth="1"/>
    <col min="12" max="12" width="16.77734375" bestFit="1" customWidth="1"/>
  </cols>
  <sheetData>
    <row r="6" spans="1:14" ht="23.4">
      <c r="B6" s="434" t="s">
        <v>731</v>
      </c>
      <c r="C6" s="434"/>
      <c r="D6" s="434"/>
      <c r="E6" s="434"/>
      <c r="F6" s="434"/>
      <c r="G6" s="434"/>
      <c r="H6" s="434"/>
      <c r="I6" s="434"/>
      <c r="J6" s="434"/>
      <c r="K6" s="434"/>
      <c r="L6" s="434"/>
    </row>
    <row r="7" spans="1:14" ht="24" customHeight="1">
      <c r="L7" s="422" t="s">
        <v>719</v>
      </c>
    </row>
    <row r="8" spans="1:14" ht="23.4">
      <c r="B8" s="179" t="s">
        <v>283</v>
      </c>
      <c r="L8" s="422" t="s">
        <v>717</v>
      </c>
    </row>
    <row r="9" spans="1:14" ht="10.95" customHeight="1"/>
    <row r="10" spans="1:14" ht="15" customHeight="1">
      <c r="B10" s="433" t="s">
        <v>675</v>
      </c>
      <c r="C10" s="433"/>
      <c r="D10" s="433"/>
      <c r="E10" s="433"/>
      <c r="F10" s="433"/>
      <c r="G10" s="433"/>
      <c r="H10" s="433"/>
      <c r="I10" s="433"/>
      <c r="J10" s="433"/>
      <c r="K10" s="433"/>
      <c r="L10" s="433"/>
      <c r="M10" s="369"/>
      <c r="N10" s="369"/>
    </row>
    <row r="11" spans="1:14">
      <c r="B11" s="433"/>
      <c r="C11" s="433"/>
      <c r="D11" s="433"/>
      <c r="E11" s="433"/>
      <c r="F11" s="433"/>
      <c r="G11" s="433"/>
      <c r="H11" s="433"/>
      <c r="I11" s="433"/>
      <c r="J11" s="433"/>
      <c r="K11" s="433"/>
      <c r="L11" s="433"/>
      <c r="M11" s="369"/>
      <c r="N11" s="369"/>
    </row>
    <row r="13" spans="1:14">
      <c r="A13" s="189"/>
      <c r="B13" s="440" t="s">
        <v>304</v>
      </c>
      <c r="C13" s="440"/>
      <c r="D13" s="440"/>
      <c r="E13" s="440"/>
      <c r="F13" s="440" t="s">
        <v>298</v>
      </c>
      <c r="G13" s="440"/>
      <c r="H13" s="440"/>
      <c r="I13" s="440"/>
      <c r="J13" s="440"/>
    </row>
    <row r="14" spans="1:14">
      <c r="B14" s="435" t="s">
        <v>1</v>
      </c>
      <c r="C14" s="435"/>
      <c r="D14" s="435"/>
      <c r="E14" s="435"/>
      <c r="F14" s="437" t="s">
        <v>672</v>
      </c>
      <c r="G14" s="438"/>
      <c r="H14" s="438"/>
      <c r="I14" s="438"/>
      <c r="J14" s="439"/>
    </row>
    <row r="15" spans="1:14">
      <c r="B15" s="435" t="s">
        <v>195</v>
      </c>
      <c r="C15" s="435"/>
      <c r="D15" s="435"/>
      <c r="E15" s="435"/>
      <c r="F15" s="436" t="s">
        <v>673</v>
      </c>
      <c r="G15" s="436"/>
      <c r="H15" s="436"/>
      <c r="I15" s="436"/>
      <c r="J15" s="436"/>
    </row>
    <row r="16" spans="1:14">
      <c r="B16" s="435" t="s">
        <v>14</v>
      </c>
      <c r="C16" s="435"/>
      <c r="D16" s="435"/>
      <c r="E16" s="435"/>
      <c r="F16" s="436" t="s">
        <v>302</v>
      </c>
      <c r="G16" s="436"/>
      <c r="H16" s="436"/>
      <c r="I16" s="436"/>
      <c r="J16" s="436"/>
    </row>
    <row r="17" spans="1:10">
      <c r="B17" s="435" t="s">
        <v>142</v>
      </c>
      <c r="C17" s="435"/>
      <c r="D17" s="435"/>
      <c r="E17" s="435"/>
      <c r="F17" s="437" t="s">
        <v>674</v>
      </c>
      <c r="G17" s="438"/>
      <c r="H17" s="438"/>
      <c r="I17" s="438"/>
      <c r="J17" s="439"/>
    </row>
    <row r="18" spans="1:10">
      <c r="B18" s="435" t="s">
        <v>679</v>
      </c>
      <c r="C18" s="435"/>
      <c r="D18" s="435"/>
      <c r="E18" s="435"/>
      <c r="F18" s="437" t="s">
        <v>723</v>
      </c>
      <c r="G18" s="438"/>
      <c r="H18" s="438"/>
      <c r="I18" s="438"/>
      <c r="J18" s="439"/>
    </row>
    <row r="19" spans="1:10">
      <c r="B19" s="435" t="s">
        <v>678</v>
      </c>
      <c r="C19" s="435"/>
      <c r="D19" s="435"/>
      <c r="E19" s="435"/>
      <c r="F19" s="437" t="s">
        <v>724</v>
      </c>
      <c r="G19" s="438"/>
      <c r="H19" s="438"/>
      <c r="I19" s="438"/>
      <c r="J19" s="439"/>
    </row>
    <row r="20" spans="1:10">
      <c r="B20" s="435" t="s">
        <v>326</v>
      </c>
      <c r="C20" s="435"/>
      <c r="D20" s="435"/>
      <c r="E20" s="435"/>
      <c r="F20" s="437" t="s">
        <v>303</v>
      </c>
      <c r="G20" s="438"/>
      <c r="H20" s="438"/>
      <c r="I20" s="438"/>
      <c r="J20" s="439"/>
    </row>
    <row r="21" spans="1:10">
      <c r="B21" s="435" t="s">
        <v>697</v>
      </c>
      <c r="C21" s="435"/>
      <c r="D21" s="435"/>
      <c r="E21" s="435"/>
      <c r="F21" s="436" t="s">
        <v>306</v>
      </c>
      <c r="G21" s="436"/>
      <c r="H21" s="436"/>
      <c r="I21" s="436"/>
      <c r="J21" s="436"/>
    </row>
    <row r="22" spans="1:10">
      <c r="B22" s="435" t="s">
        <v>696</v>
      </c>
      <c r="C22" s="435"/>
      <c r="D22" s="435"/>
      <c r="E22" s="435"/>
      <c r="F22" s="436" t="s">
        <v>306</v>
      </c>
      <c r="G22" s="436"/>
      <c r="H22" s="436"/>
      <c r="I22" s="436"/>
      <c r="J22" s="436"/>
    </row>
    <row r="23" spans="1:10">
      <c r="B23" s="435" t="s">
        <v>695</v>
      </c>
      <c r="C23" s="435"/>
      <c r="D23" s="435"/>
      <c r="E23" s="435"/>
      <c r="F23" s="436" t="s">
        <v>306</v>
      </c>
      <c r="G23" s="436"/>
      <c r="H23" s="436"/>
      <c r="I23" s="436"/>
      <c r="J23" s="436"/>
    </row>
    <row r="25" spans="1:10">
      <c r="A25" s="189"/>
      <c r="B25" s="441" t="s">
        <v>305</v>
      </c>
      <c r="C25" s="441"/>
      <c r="D25" s="441"/>
      <c r="E25" s="441"/>
      <c r="F25" s="441" t="s">
        <v>298</v>
      </c>
      <c r="G25" s="441"/>
      <c r="H25" s="441"/>
      <c r="I25" s="441"/>
      <c r="J25" s="441"/>
    </row>
    <row r="26" spans="1:10">
      <c r="B26" s="435" t="s">
        <v>294</v>
      </c>
      <c r="C26" s="435"/>
      <c r="D26" s="435"/>
      <c r="E26" s="435"/>
      <c r="F26" s="436" t="s">
        <v>307</v>
      </c>
      <c r="G26" s="436"/>
      <c r="H26" s="436"/>
      <c r="I26" s="436"/>
      <c r="J26" s="436"/>
    </row>
    <row r="27" spans="1:10">
      <c r="B27" s="435" t="s">
        <v>680</v>
      </c>
      <c r="C27" s="435"/>
      <c r="D27" s="435"/>
      <c r="E27" s="435"/>
      <c r="F27" s="437" t="s">
        <v>723</v>
      </c>
      <c r="G27" s="438"/>
      <c r="H27" s="438"/>
      <c r="I27" s="438"/>
      <c r="J27" s="439"/>
    </row>
    <row r="28" spans="1:10">
      <c r="B28" s="435" t="s">
        <v>681</v>
      </c>
      <c r="C28" s="435"/>
      <c r="D28" s="435"/>
      <c r="E28" s="435"/>
      <c r="F28" s="437" t="s">
        <v>724</v>
      </c>
      <c r="G28" s="438"/>
      <c r="H28" s="438"/>
      <c r="I28" s="438"/>
      <c r="J28" s="439"/>
    </row>
    <row r="29" spans="1:10">
      <c r="B29" s="435" t="s">
        <v>682</v>
      </c>
      <c r="C29" s="435"/>
      <c r="D29" s="435"/>
      <c r="E29" s="435"/>
      <c r="F29" s="436" t="s">
        <v>725</v>
      </c>
      <c r="G29" s="436"/>
      <c r="H29" s="436"/>
      <c r="I29" s="436"/>
      <c r="J29" s="436"/>
    </row>
    <row r="30" spans="1:10">
      <c r="B30" s="435" t="s">
        <v>683</v>
      </c>
      <c r="C30" s="435"/>
      <c r="D30" s="435"/>
      <c r="E30" s="435"/>
      <c r="F30" s="436" t="s">
        <v>726</v>
      </c>
      <c r="G30" s="436"/>
      <c r="H30" s="436"/>
      <c r="I30" s="436"/>
      <c r="J30" s="436"/>
    </row>
    <row r="31" spans="1:10">
      <c r="B31" t="s">
        <v>685</v>
      </c>
    </row>
    <row r="32" spans="1:10">
      <c r="B32" t="s">
        <v>686</v>
      </c>
    </row>
    <row r="33" spans="2:2">
      <c r="B33" t="s">
        <v>689</v>
      </c>
    </row>
    <row r="34" spans="2:2">
      <c r="B34" t="s">
        <v>690</v>
      </c>
    </row>
    <row r="35" spans="2:2">
      <c r="B35" t="s">
        <v>691</v>
      </c>
    </row>
    <row r="36" spans="2:2">
      <c r="B36" t="s">
        <v>692</v>
      </c>
    </row>
  </sheetData>
  <mergeCells count="36">
    <mergeCell ref="B13:E13"/>
    <mergeCell ref="F13:J13"/>
    <mergeCell ref="B25:E25"/>
    <mergeCell ref="F25:J25"/>
    <mergeCell ref="F18:J18"/>
    <mergeCell ref="F20:J20"/>
    <mergeCell ref="B14:E14"/>
    <mergeCell ref="F14:J14"/>
    <mergeCell ref="F15:J15"/>
    <mergeCell ref="F16:J16"/>
    <mergeCell ref="F17:J17"/>
    <mergeCell ref="B15:E15"/>
    <mergeCell ref="B16:E16"/>
    <mergeCell ref="B17:E17"/>
    <mergeCell ref="B18:E18"/>
    <mergeCell ref="F23:J23"/>
    <mergeCell ref="B20:E20"/>
    <mergeCell ref="B27:E27"/>
    <mergeCell ref="B21:E21"/>
    <mergeCell ref="B19:E19"/>
    <mergeCell ref="B10:L11"/>
    <mergeCell ref="B6:L6"/>
    <mergeCell ref="B30:E30"/>
    <mergeCell ref="F30:J30"/>
    <mergeCell ref="F26:J26"/>
    <mergeCell ref="F27:J27"/>
    <mergeCell ref="F29:J29"/>
    <mergeCell ref="B26:E26"/>
    <mergeCell ref="B29:E29"/>
    <mergeCell ref="F19:J19"/>
    <mergeCell ref="B22:E22"/>
    <mergeCell ref="F22:J22"/>
    <mergeCell ref="B28:E28"/>
    <mergeCell ref="F28:J28"/>
    <mergeCell ref="F21:J21"/>
    <mergeCell ref="B23:E23"/>
  </mergeCells>
  <hyperlinks>
    <hyperlink ref="B14:E14" location="Energia!A1" display="Energia" xr:uid="{00000000-0004-0000-0000-000000000000}"/>
    <hyperlink ref="B15:E15" location="Efluentes!A1" display="Efluentes" xr:uid="{00000000-0004-0000-0000-000002000000}"/>
    <hyperlink ref="B16:E16" location="GasesRefrigerantes!A1" display="Gases Refrigerantes" xr:uid="{00000000-0004-0000-0000-000003000000}"/>
    <hyperlink ref="B18:E18" location="'Residuos (A)'!A1" display="Resíduos" xr:uid="{00000000-0004-0000-0000-000004000000}"/>
    <hyperlink ref="B17:E17" location="Combustivel!A1" display="Combustível" xr:uid="{00000000-0004-0000-0000-000005000000}"/>
    <hyperlink ref="B20:E20" location="Compostagem!A1" display="Transportes" xr:uid="{00000000-0004-0000-0000-000006000000}"/>
    <hyperlink ref="B26:E26" location="'Painel Solar'!A1" display="Painel Solar" xr:uid="{00000000-0004-0000-0000-000007000000}"/>
    <hyperlink ref="B27:E27" location="'Tratamento Térmico (A)'!A1" display="Tratamento Térmico (A)" xr:uid="{00000000-0004-0000-0000-000009000000}"/>
    <hyperlink ref="B29:E29" location="'Residuos Reciclados (A)'!A1" display="Resíduos Reciclados (A)" xr:uid="{00000000-0004-0000-0000-00000A000000}"/>
    <hyperlink ref="L7" location="'Gap e Considerações'!A1" display="Ir para Inputs" xr:uid="{00000000-0004-0000-0000-00000B000000}"/>
    <hyperlink ref="B21:E21" location="'Transp. Carga (E)'!A1" display="Transp. Carga (E)" xr:uid="{1B1860B3-CAAA-DE4F-A1BD-F1AE654E99DC}"/>
    <hyperlink ref="B19:E19" location="'Residuos (M)'!A1" display="Resíduos (M)" xr:uid="{099DC888-9088-6940-B5B8-07AD8A101C92}"/>
    <hyperlink ref="B22:E22" location="'Transp. Carga (S)'!A1" display="Transp. Carga (S)" xr:uid="{BD93E823-FD9F-384B-ACD0-FA795C6ACDE9}"/>
    <hyperlink ref="B28:E28" location="'Tratamento Térmico (M)'!A1" display="Tratamento Térmico (M)" xr:uid="{3432F652-F070-4A4E-8CDA-4F30D4877470}"/>
    <hyperlink ref="B30:E30" location="'Residuos Reciclados (M)'!A1" display="Resíduos Reciclados (M)" xr:uid="{E4732B77-E5D1-944A-A2B7-11CD550320FD}"/>
    <hyperlink ref="B23:E23" location="'Transp. Pessoas'!A1" display="Transp. Pessoas" xr:uid="{468769DF-EC85-094E-83F2-D799A4E8013B}"/>
    <hyperlink ref="L8" location="CalculotCO2e!A1" display="CálculotCO2e" xr:uid="{A185DB7C-C95B-F04A-B622-F87CFA76688B}"/>
  </hyperlinks>
  <pageMargins left="0.511811024" right="0.511811024" top="0.78740157499999996" bottom="0.78740157499999996" header="0.31496062000000002" footer="0.31496062000000002"/>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525D70-8F9F-844B-B360-6F749A0B974E}">
  <sheetPr>
    <tabColor theme="6"/>
  </sheetPr>
  <dimension ref="A6:K32"/>
  <sheetViews>
    <sheetView showGridLines="0" zoomScaleNormal="100" workbookViewId="0">
      <selection activeCell="B6" sqref="B6:C6"/>
    </sheetView>
  </sheetViews>
  <sheetFormatPr defaultColWidth="11.5546875" defaultRowHeight="14.4"/>
  <cols>
    <col min="3" max="3" width="45.6640625" customWidth="1"/>
    <col min="4" max="4" width="12.77734375" customWidth="1"/>
  </cols>
  <sheetData>
    <row r="6" spans="1:11" ht="23.4">
      <c r="A6" s="247"/>
      <c r="B6" s="485" t="s">
        <v>510</v>
      </c>
      <c r="C6" s="485"/>
      <c r="D6" s="247"/>
      <c r="E6" s="247"/>
      <c r="F6" s="247"/>
      <c r="G6" s="247"/>
      <c r="K6" s="192" t="s">
        <v>299</v>
      </c>
    </row>
    <row r="7" spans="1:11">
      <c r="A7" s="247"/>
      <c r="B7" s="247"/>
      <c r="C7" s="247"/>
      <c r="D7" s="247"/>
      <c r="E7" s="247"/>
      <c r="F7" s="247"/>
      <c r="G7" s="247"/>
      <c r="H7" s="247"/>
    </row>
    <row r="8" spans="1:11" ht="15.6">
      <c r="B8" s="248" t="s">
        <v>511</v>
      </c>
      <c r="C8" s="247"/>
    </row>
    <row r="9" spans="1:11">
      <c r="A9" s="249"/>
      <c r="B9" s="250" t="s">
        <v>535</v>
      </c>
      <c r="C9" s="249"/>
      <c r="D9" s="249"/>
      <c r="E9" s="249"/>
      <c r="F9" s="249"/>
      <c r="G9" s="249"/>
      <c r="H9" s="249"/>
    </row>
    <row r="10" spans="1:11" ht="15.6">
      <c r="A10" s="249"/>
      <c r="B10" s="250" t="s">
        <v>512</v>
      </c>
      <c r="C10" s="249"/>
      <c r="D10" s="249"/>
      <c r="E10" s="249"/>
      <c r="F10" s="249"/>
      <c r="G10" s="249"/>
      <c r="H10" s="249"/>
    </row>
    <row r="11" spans="1:11">
      <c r="A11" s="249"/>
      <c r="B11" s="221"/>
      <c r="C11" s="249"/>
      <c r="D11" s="249"/>
      <c r="E11" s="249"/>
      <c r="F11" s="249"/>
      <c r="G11" s="249"/>
      <c r="H11" s="249"/>
    </row>
    <row r="12" spans="1:11">
      <c r="A12" s="249"/>
      <c r="B12" s="251" t="s">
        <v>513</v>
      </c>
      <c r="C12" s="252"/>
      <c r="D12" s="252"/>
      <c r="E12" s="252"/>
      <c r="F12" s="252"/>
      <c r="G12" s="249"/>
      <c r="H12" s="249"/>
    </row>
    <row r="13" spans="1:11">
      <c r="A13" s="249"/>
      <c r="B13" s="249"/>
      <c r="C13" s="252"/>
      <c r="D13" s="252"/>
      <c r="E13" s="252"/>
      <c r="F13" s="252"/>
      <c r="G13" s="249"/>
      <c r="H13" s="249"/>
    </row>
    <row r="14" spans="1:11">
      <c r="A14" s="249"/>
      <c r="B14" s="249"/>
      <c r="C14" s="253" t="s">
        <v>514</v>
      </c>
      <c r="D14" s="486" t="s">
        <v>515</v>
      </c>
      <c r="E14" s="487"/>
      <c r="F14" s="276">
        <v>1</v>
      </c>
      <c r="G14" s="249"/>
      <c r="H14" s="249"/>
    </row>
    <row r="15" spans="1:11">
      <c r="A15" s="249"/>
      <c r="B15" s="249"/>
      <c r="C15" s="249" t="s">
        <v>516</v>
      </c>
      <c r="D15" s="252"/>
      <c r="E15" s="252"/>
      <c r="F15" s="252"/>
      <c r="G15" s="249"/>
      <c r="H15" s="249"/>
    </row>
    <row r="16" spans="1:11">
      <c r="A16" s="249"/>
      <c r="B16" s="249"/>
      <c r="C16" s="255"/>
      <c r="D16" s="252"/>
      <c r="E16" s="252"/>
      <c r="F16" s="252"/>
      <c r="G16" s="249"/>
      <c r="H16" s="249"/>
    </row>
    <row r="17" spans="1:8" ht="16.2">
      <c r="A17" s="249"/>
      <c r="B17" s="251" t="s">
        <v>517</v>
      </c>
      <c r="C17" s="256"/>
      <c r="D17" s="252"/>
      <c r="E17" s="252"/>
      <c r="F17" s="252"/>
      <c r="G17" s="249"/>
      <c r="H17" s="249"/>
    </row>
    <row r="18" spans="1:8" ht="15.6">
      <c r="A18" s="249"/>
      <c r="B18" s="249"/>
      <c r="C18" s="257" t="s">
        <v>518</v>
      </c>
      <c r="D18" s="252"/>
      <c r="E18" s="252"/>
      <c r="F18" s="252"/>
      <c r="G18" s="249"/>
      <c r="H18" s="249"/>
    </row>
    <row r="19" spans="1:8">
      <c r="A19" s="249"/>
      <c r="B19" s="249"/>
      <c r="C19" s="257" t="s">
        <v>519</v>
      </c>
      <c r="D19" s="249"/>
      <c r="E19" s="249"/>
      <c r="F19" s="249"/>
      <c r="G19" s="249"/>
      <c r="H19" s="249"/>
    </row>
    <row r="20" spans="1:8" ht="15.6">
      <c r="A20" s="249"/>
      <c r="B20" s="249"/>
      <c r="C20" s="253" t="s">
        <v>520</v>
      </c>
      <c r="D20" s="486" t="s">
        <v>521</v>
      </c>
      <c r="E20" s="487"/>
      <c r="F20" s="254"/>
      <c r="G20" s="249"/>
      <c r="H20" s="249"/>
    </row>
    <row r="21" spans="1:8" ht="15.6">
      <c r="A21" s="249"/>
      <c r="B21" s="249"/>
      <c r="C21" s="253" t="s">
        <v>522</v>
      </c>
      <c r="D21" s="486" t="s">
        <v>523</v>
      </c>
      <c r="E21" s="487"/>
      <c r="F21" s="254"/>
      <c r="G21" s="249"/>
      <c r="H21" s="249"/>
    </row>
    <row r="22" spans="1:8">
      <c r="A22" s="249"/>
      <c r="B22" s="249"/>
      <c r="C22" s="249"/>
      <c r="D22" s="249"/>
      <c r="E22" s="249"/>
      <c r="F22" s="249"/>
      <c r="G22" s="249"/>
      <c r="H22" s="249"/>
    </row>
    <row r="23" spans="1:8" ht="15.6">
      <c r="A23" s="251"/>
      <c r="B23" s="251" t="s">
        <v>524</v>
      </c>
      <c r="C23" s="251"/>
      <c r="D23" s="251"/>
      <c r="E23" s="251"/>
      <c r="F23" s="251"/>
      <c r="G23" s="251"/>
      <c r="H23" s="251"/>
    </row>
    <row r="24" spans="1:8" ht="15.6">
      <c r="A24" s="249"/>
      <c r="B24" s="249"/>
      <c r="C24" s="252" t="s">
        <v>536</v>
      </c>
      <c r="D24" s="249"/>
      <c r="E24" s="249"/>
      <c r="F24" s="249"/>
      <c r="G24" s="249"/>
      <c r="H24" s="249"/>
    </row>
    <row r="25" spans="1:8" ht="15.6">
      <c r="A25" s="249"/>
      <c r="B25" s="249"/>
      <c r="C25" s="258" t="s">
        <v>525</v>
      </c>
      <c r="D25" s="488" t="s">
        <v>526</v>
      </c>
      <c r="E25" s="489"/>
      <c r="F25" s="259"/>
      <c r="G25" s="249"/>
      <c r="H25" s="249"/>
    </row>
    <row r="26" spans="1:8" ht="15.6">
      <c r="A26" s="249"/>
      <c r="B26" s="249"/>
      <c r="C26" s="260" t="s">
        <v>527</v>
      </c>
      <c r="D26" s="249"/>
      <c r="E26" s="249"/>
      <c r="F26" s="249"/>
      <c r="G26" s="249"/>
      <c r="H26" s="249"/>
    </row>
    <row r="27" spans="1:8">
      <c r="A27" s="249"/>
      <c r="B27" s="249"/>
      <c r="C27" s="261"/>
      <c r="D27" s="249"/>
      <c r="E27" s="249"/>
      <c r="F27" s="249"/>
      <c r="G27" s="249"/>
      <c r="H27" s="249"/>
    </row>
    <row r="28" spans="1:8">
      <c r="A28" s="249"/>
      <c r="B28" s="221" t="s">
        <v>528</v>
      </c>
      <c r="C28" s="249"/>
      <c r="D28" s="249"/>
      <c r="E28" s="249"/>
      <c r="F28" s="249"/>
      <c r="G28" s="249"/>
      <c r="H28" s="249"/>
    </row>
    <row r="29" spans="1:8">
      <c r="A29" s="249"/>
      <c r="B29" s="221"/>
      <c r="C29" s="249"/>
      <c r="D29" s="249"/>
      <c r="E29" s="249"/>
      <c r="F29" s="249"/>
      <c r="G29" s="249"/>
      <c r="H29" s="249"/>
    </row>
    <row r="30" spans="1:8" ht="15.6">
      <c r="A30" s="249"/>
      <c r="B30" s="249"/>
      <c r="C30" s="262" t="s">
        <v>529</v>
      </c>
      <c r="D30" s="263" t="s">
        <v>530</v>
      </c>
      <c r="E30" s="264">
        <f>ROUND((F14*IF(F20=0, 4,F20)*(10^(-3)))-F25,3)</f>
        <v>4.0000000000000001E-3</v>
      </c>
      <c r="F30" s="249" t="str">
        <f>IF($E$154&lt;0, " O dado de CH4 recuperado é maior que o de CH4 gerado. Insira um dado válido.","")</f>
        <v/>
      </c>
      <c r="G30" s="249"/>
      <c r="H30" s="249"/>
    </row>
    <row r="31" spans="1:8" ht="15.6">
      <c r="A31" s="249"/>
      <c r="B31" s="249"/>
      <c r="C31" s="265" t="s">
        <v>531</v>
      </c>
      <c r="D31" s="266" t="s">
        <v>532</v>
      </c>
      <c r="E31" s="267">
        <f>ROUND(F14*IF(F21=0,0.3,F21)*(10^(-3)),3)</f>
        <v>0</v>
      </c>
      <c r="F31" s="249"/>
      <c r="G31" s="249"/>
      <c r="H31" s="249"/>
    </row>
    <row r="32" spans="1:8" ht="15.6">
      <c r="A32" s="249"/>
      <c r="B32" s="249"/>
      <c r="C32" s="262" t="s">
        <v>533</v>
      </c>
      <c r="D32" s="263" t="s">
        <v>534</v>
      </c>
      <c r="E32" s="277">
        <f>ROUND(IF(E30&lt;0,0,(E30*25+E31*298)),3)</f>
        <v>0.1</v>
      </c>
      <c r="F32" s="249"/>
      <c r="G32" s="249"/>
      <c r="H32" s="249"/>
    </row>
  </sheetData>
  <mergeCells count="5">
    <mergeCell ref="D14:E14"/>
    <mergeCell ref="D20:E20"/>
    <mergeCell ref="D21:E21"/>
    <mergeCell ref="D25:E25"/>
    <mergeCell ref="B6:C6"/>
  </mergeCells>
  <conditionalFormatting sqref="F30:H30">
    <cfRule type="expression" dxfId="2" priority="2">
      <formula>$E$154&lt;0</formula>
    </cfRule>
  </conditionalFormatting>
  <hyperlinks>
    <hyperlink ref="K6" location="Inicio!A1" display="Início" xr:uid="{28334A1B-DE44-344C-B372-4596347E3E1C}"/>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sheetPr>
  <dimension ref="B6:O78"/>
  <sheetViews>
    <sheetView showGridLines="0" topLeftCell="A7" zoomScaleNormal="100" workbookViewId="0">
      <selection activeCell="D13" sqref="D13"/>
    </sheetView>
  </sheetViews>
  <sheetFormatPr defaultColWidth="8.77734375" defaultRowHeight="14.4"/>
  <cols>
    <col min="2" max="2" width="18.77734375" bestFit="1" customWidth="1"/>
    <col min="3" max="3" width="39.33203125" customWidth="1"/>
    <col min="4" max="4" width="20.109375" customWidth="1"/>
    <col min="5" max="5" width="13.109375" bestFit="1" customWidth="1"/>
    <col min="6" max="6" width="12.109375" bestFit="1" customWidth="1"/>
    <col min="7" max="7" width="13.109375" bestFit="1" customWidth="1"/>
    <col min="8" max="8" width="11.109375" customWidth="1"/>
    <col min="9" max="10" width="9.109375" bestFit="1" customWidth="1"/>
    <col min="11" max="11" width="9.44140625" bestFit="1" customWidth="1"/>
    <col min="12" max="12" width="39" customWidth="1"/>
    <col min="13" max="13" width="15.44140625" customWidth="1"/>
    <col min="14" max="14" width="32.109375" customWidth="1"/>
    <col min="15" max="15" width="55" bestFit="1" customWidth="1"/>
    <col min="20" max="20" width="36.33203125" customWidth="1"/>
    <col min="21" max="21" width="16.6640625" bestFit="1" customWidth="1"/>
    <col min="22" max="22" width="37.6640625" bestFit="1" customWidth="1"/>
    <col min="23" max="23" width="64.6640625" bestFit="1" customWidth="1"/>
  </cols>
  <sheetData>
    <row r="6" spans="2:15" ht="23.4">
      <c r="B6" s="490" t="s">
        <v>733</v>
      </c>
      <c r="C6" s="490"/>
      <c r="J6" s="192" t="s">
        <v>299</v>
      </c>
    </row>
    <row r="8" spans="2:15">
      <c r="C8" s="1" t="s">
        <v>301</v>
      </c>
      <c r="L8" s="1" t="s">
        <v>300</v>
      </c>
    </row>
    <row r="9" spans="2:15">
      <c r="E9" s="499" t="s">
        <v>266</v>
      </c>
      <c r="F9" s="500"/>
      <c r="G9" s="501"/>
      <c r="H9" s="499" t="s">
        <v>267</v>
      </c>
      <c r="I9" s="500"/>
      <c r="J9" s="501"/>
      <c r="M9" s="491" t="s">
        <v>286</v>
      </c>
      <c r="N9" s="491"/>
      <c r="O9" s="491"/>
    </row>
    <row r="10" spans="2:15">
      <c r="C10" s="169" t="s">
        <v>213</v>
      </c>
      <c r="D10" s="497" t="s">
        <v>701</v>
      </c>
      <c r="E10" s="376" t="s">
        <v>263</v>
      </c>
      <c r="F10" s="376" t="s">
        <v>264</v>
      </c>
      <c r="G10" s="376" t="s">
        <v>265</v>
      </c>
      <c r="H10" s="376" t="s">
        <v>263</v>
      </c>
      <c r="I10" s="123" t="s">
        <v>264</v>
      </c>
      <c r="J10" s="123" t="s">
        <v>265</v>
      </c>
      <c r="L10" s="495" t="s">
        <v>213</v>
      </c>
      <c r="M10" s="492" t="s">
        <v>285</v>
      </c>
      <c r="N10" s="493"/>
      <c r="O10" s="494"/>
    </row>
    <row r="11" spans="2:15">
      <c r="C11" s="170">
        <v>1</v>
      </c>
      <c r="D11" s="498"/>
      <c r="E11" s="124"/>
      <c r="F11" s="124"/>
      <c r="G11" s="124"/>
      <c r="H11" s="124"/>
      <c r="I11" s="124"/>
      <c r="J11" s="124"/>
      <c r="L11" s="496"/>
      <c r="M11" s="173" t="s">
        <v>693</v>
      </c>
      <c r="N11" s="173" t="s">
        <v>288</v>
      </c>
      <c r="O11" s="173" t="s">
        <v>289</v>
      </c>
    </row>
    <row r="12" spans="2:15">
      <c r="C12" s="125" t="s">
        <v>225</v>
      </c>
      <c r="D12" s="174">
        <v>1</v>
      </c>
      <c r="E12" s="86">
        <f t="shared" ref="E12:J12" si="0">$D$12*D26</f>
        <v>0.16310707070707073</v>
      </c>
      <c r="F12" s="86">
        <f t="shared" si="0"/>
        <v>1.4889740981818183E-3</v>
      </c>
      <c r="G12" s="86">
        <f t="shared" si="0"/>
        <v>5.6795428001047265E-3</v>
      </c>
      <c r="H12" s="86">
        <f t="shared" si="0"/>
        <v>4.1618181818181818E-2</v>
      </c>
      <c r="I12" s="86">
        <f t="shared" si="0"/>
        <v>1.5241617204545454E-4</v>
      </c>
      <c r="J12" s="86">
        <f t="shared" si="0"/>
        <v>1.0900804624690912E-4</v>
      </c>
      <c r="L12" s="182" t="s">
        <v>225</v>
      </c>
      <c r="M12" s="195">
        <f t="shared" ref="M12:M20" si="1">E12+(F12+I12)+(G12+J12)</f>
        <v>0.17053701182364964</v>
      </c>
      <c r="N12" s="382" t="s">
        <v>312</v>
      </c>
      <c r="O12" s="382" t="s">
        <v>287</v>
      </c>
    </row>
    <row r="13" spans="2:15">
      <c r="C13" s="125" t="s">
        <v>226</v>
      </c>
      <c r="D13" s="174">
        <v>1</v>
      </c>
      <c r="E13" s="86">
        <f t="shared" ref="E13:J13" si="2">$D$13*D27</f>
        <v>0.17744615384615386</v>
      </c>
      <c r="F13" s="86">
        <f t="shared" si="2"/>
        <v>1.6198729199999996E-3</v>
      </c>
      <c r="G13" s="86">
        <f t="shared" si="2"/>
        <v>6.1788432660480003E-3</v>
      </c>
      <c r="H13" s="86">
        <f t="shared" si="2"/>
        <v>4.5276923076923083E-2</v>
      </c>
      <c r="I13" s="86">
        <f t="shared" si="2"/>
        <v>1.6581539596153844E-4</v>
      </c>
      <c r="J13" s="86">
        <f t="shared" si="2"/>
        <v>1.1859117119169234E-4</v>
      </c>
      <c r="L13" s="182" t="s">
        <v>226</v>
      </c>
      <c r="M13" s="195">
        <f t="shared" si="1"/>
        <v>0.18552927659935509</v>
      </c>
      <c r="N13" s="383" t="s">
        <v>312</v>
      </c>
      <c r="O13" s="383" t="s">
        <v>287</v>
      </c>
    </row>
    <row r="14" spans="2:15">
      <c r="C14" s="125" t="s">
        <v>227</v>
      </c>
      <c r="D14" s="174">
        <v>1</v>
      </c>
      <c r="E14" s="86">
        <f t="shared" ref="E14:J14" si="3">$D$14*D28</f>
        <v>0</v>
      </c>
      <c r="F14" s="86">
        <f t="shared" si="3"/>
        <v>0</v>
      </c>
      <c r="G14" s="86">
        <f t="shared" si="3"/>
        <v>0</v>
      </c>
      <c r="H14" s="86">
        <f t="shared" si="3"/>
        <v>0.23500000000000001</v>
      </c>
      <c r="I14" s="86">
        <f t="shared" si="3"/>
        <v>1.5487884841935483E-3</v>
      </c>
      <c r="J14" s="86">
        <f t="shared" si="3"/>
        <v>6.1538529105290322E-4</v>
      </c>
      <c r="L14" s="182" t="s">
        <v>227</v>
      </c>
      <c r="M14" s="195">
        <f t="shared" si="1"/>
        <v>2.1641737752464514E-3</v>
      </c>
      <c r="N14" s="383" t="s">
        <v>312</v>
      </c>
      <c r="O14" s="383" t="s">
        <v>287</v>
      </c>
    </row>
    <row r="15" spans="2:15">
      <c r="C15" s="125" t="s">
        <v>228</v>
      </c>
      <c r="D15" s="174">
        <v>1</v>
      </c>
      <c r="E15" s="86">
        <f t="shared" ref="E15:J15" si="4">$D$15*D29</f>
        <v>0.22063523809523811</v>
      </c>
      <c r="F15" s="86">
        <f t="shared" si="4"/>
        <v>2.9355413256000005E-4</v>
      </c>
      <c r="G15" s="86">
        <f t="shared" si="4"/>
        <v>3.4991652601152005E-3</v>
      </c>
      <c r="H15" s="86">
        <f t="shared" si="4"/>
        <v>2.5467619047619048E-2</v>
      </c>
      <c r="I15" s="86">
        <f t="shared" si="4"/>
        <v>8.6846194285714254E-5</v>
      </c>
      <c r="J15" s="86">
        <f t="shared" si="4"/>
        <v>6.2112398153142852E-5</v>
      </c>
      <c r="L15" s="182" t="s">
        <v>228</v>
      </c>
      <c r="M15" s="195">
        <f t="shared" si="1"/>
        <v>0.22457691608035216</v>
      </c>
      <c r="N15" s="383" t="s">
        <v>312</v>
      </c>
      <c r="O15" s="383" t="s">
        <v>287</v>
      </c>
    </row>
    <row r="16" spans="2:15">
      <c r="C16" s="125" t="s">
        <v>232</v>
      </c>
      <c r="D16" s="174">
        <v>1</v>
      </c>
      <c r="E16" s="86">
        <f t="shared" ref="E16:J16" si="5">$D$16*D30</f>
        <v>0.25457912087912088</v>
      </c>
      <c r="F16" s="86">
        <f t="shared" si="5"/>
        <v>3.3871630679999998E-4</v>
      </c>
      <c r="G16" s="86">
        <f t="shared" si="5"/>
        <v>4.0374983770559997E-3</v>
      </c>
      <c r="H16" s="86">
        <f t="shared" si="5"/>
        <v>2.9385714285714282E-2</v>
      </c>
      <c r="I16" s="86">
        <f t="shared" si="5"/>
        <v>1.0020714725274724E-4</v>
      </c>
      <c r="J16" s="86">
        <f t="shared" si="5"/>
        <v>7.1668151715164824E-5</v>
      </c>
      <c r="L16" s="182" t="s">
        <v>232</v>
      </c>
      <c r="M16" s="195">
        <f t="shared" si="1"/>
        <v>0.25912721086194479</v>
      </c>
      <c r="N16" s="383" t="s">
        <v>290</v>
      </c>
      <c r="O16" s="383" t="s">
        <v>287</v>
      </c>
    </row>
    <row r="17" spans="3:15">
      <c r="C17" s="125" t="s">
        <v>233</v>
      </c>
      <c r="D17" s="174">
        <v>1</v>
      </c>
      <c r="E17" s="86">
        <f t="shared" ref="E17:J17" si="6">$D$17*D31</f>
        <v>0.41369107142857148</v>
      </c>
      <c r="F17" s="86">
        <f t="shared" si="6"/>
        <v>5.5041399854999999E-4</v>
      </c>
      <c r="G17" s="86">
        <f t="shared" si="6"/>
        <v>6.5609348627160002E-3</v>
      </c>
      <c r="H17" s="86">
        <f t="shared" si="6"/>
        <v>4.7751785714285712E-2</v>
      </c>
      <c r="I17" s="86">
        <f t="shared" si="6"/>
        <v>1.6283661428571423E-4</v>
      </c>
      <c r="J17" s="86">
        <f t="shared" si="6"/>
        <v>1.1646074653714286E-4</v>
      </c>
      <c r="L17" s="182" t="s">
        <v>233</v>
      </c>
      <c r="M17" s="195">
        <f t="shared" si="1"/>
        <v>0.42108171765066033</v>
      </c>
      <c r="N17" s="383" t="s">
        <v>290</v>
      </c>
      <c r="O17" s="383" t="s">
        <v>287</v>
      </c>
    </row>
    <row r="18" spans="3:15">
      <c r="C18" s="125" t="s">
        <v>234</v>
      </c>
      <c r="D18" s="174">
        <v>1</v>
      </c>
      <c r="E18" s="86">
        <f t="shared" ref="E18:J18" si="7">$D$18*D32</f>
        <v>0.41369107142857148</v>
      </c>
      <c r="F18" s="86">
        <f t="shared" si="7"/>
        <v>5.5041399854999999E-4</v>
      </c>
      <c r="G18" s="86">
        <f t="shared" si="7"/>
        <v>6.5609348627160002E-3</v>
      </c>
      <c r="H18" s="86">
        <f t="shared" si="7"/>
        <v>4.7751785714285712E-2</v>
      </c>
      <c r="I18" s="86">
        <f t="shared" si="7"/>
        <v>1.6283661428571423E-4</v>
      </c>
      <c r="J18" s="86">
        <f t="shared" si="7"/>
        <v>1.1646074653714286E-4</v>
      </c>
      <c r="L18" s="182" t="s">
        <v>234</v>
      </c>
      <c r="M18" s="195">
        <f t="shared" si="1"/>
        <v>0.42108171765066033</v>
      </c>
      <c r="N18" s="383" t="s">
        <v>290</v>
      </c>
      <c r="O18" s="383" t="s">
        <v>287</v>
      </c>
    </row>
    <row r="19" spans="3:15">
      <c r="C19" s="125" t="s">
        <v>235</v>
      </c>
      <c r="D19" s="174">
        <v>1</v>
      </c>
      <c r="E19" s="86">
        <f t="shared" ref="E19:J19" si="8">$D$19*D33</f>
        <v>0.68137352941176477</v>
      </c>
      <c r="F19" s="86">
        <f t="shared" si="8"/>
        <v>9.065642329058823E-4</v>
      </c>
      <c r="G19" s="86">
        <f t="shared" si="8"/>
        <v>1.0806245656238118E-2</v>
      </c>
      <c r="H19" s="86">
        <f t="shared" si="8"/>
        <v>7.8650000000000012E-2</v>
      </c>
      <c r="I19" s="86">
        <f t="shared" si="8"/>
        <v>2.6820148235294115E-4</v>
      </c>
      <c r="J19" s="86">
        <f t="shared" si="8"/>
        <v>1.9181770017882353E-4</v>
      </c>
      <c r="L19" s="182" t="s">
        <v>235</v>
      </c>
      <c r="M19" s="195">
        <f t="shared" si="1"/>
        <v>0.69354635848344059</v>
      </c>
      <c r="N19" s="383" t="s">
        <v>290</v>
      </c>
      <c r="O19" s="383" t="s">
        <v>287</v>
      </c>
    </row>
    <row r="20" spans="3:15">
      <c r="C20" s="125" t="s">
        <v>236</v>
      </c>
      <c r="D20" s="174">
        <v>1</v>
      </c>
      <c r="E20" s="86">
        <f t="shared" ref="E20:J20" si="9">$D$20*D34</f>
        <v>0.68137352941176477</v>
      </c>
      <c r="F20" s="86">
        <f t="shared" si="9"/>
        <v>9.065642329058823E-4</v>
      </c>
      <c r="G20" s="86">
        <f t="shared" si="9"/>
        <v>1.0806245656238118E-2</v>
      </c>
      <c r="H20" s="86">
        <f t="shared" si="9"/>
        <v>7.8650000000000012E-2</v>
      </c>
      <c r="I20" s="86">
        <f t="shared" si="9"/>
        <v>2.6820148235294115E-4</v>
      </c>
      <c r="J20" s="86">
        <f t="shared" si="9"/>
        <v>1.9181770017882353E-4</v>
      </c>
      <c r="L20" s="182" t="s">
        <v>236</v>
      </c>
      <c r="M20" s="195">
        <f t="shared" si="1"/>
        <v>0.69354635848344059</v>
      </c>
      <c r="N20" s="381" t="s">
        <v>290</v>
      </c>
      <c r="O20" s="381" t="s">
        <v>287</v>
      </c>
    </row>
    <row r="21" spans="3:15">
      <c r="L21" s="182" t="s">
        <v>16</v>
      </c>
      <c r="M21" s="195">
        <f>SUM(M12:M20)</f>
        <v>3.07119074140875</v>
      </c>
    </row>
    <row r="22" spans="3:15">
      <c r="C22" s="1" t="s">
        <v>354</v>
      </c>
    </row>
    <row r="23" spans="3:15">
      <c r="C23" s="168" t="s">
        <v>268</v>
      </c>
      <c r="D23" s="499" t="s">
        <v>266</v>
      </c>
      <c r="E23" s="500"/>
      <c r="F23" s="501"/>
      <c r="G23" s="499" t="s">
        <v>267</v>
      </c>
      <c r="H23" s="500"/>
      <c r="I23" s="501"/>
    </row>
    <row r="24" spans="3:15">
      <c r="C24" s="123" t="s">
        <v>213</v>
      </c>
      <c r="D24" s="123" t="s">
        <v>263</v>
      </c>
      <c r="E24" s="123" t="s">
        <v>264</v>
      </c>
      <c r="F24" s="123" t="s">
        <v>265</v>
      </c>
      <c r="G24" s="123" t="s">
        <v>263</v>
      </c>
      <c r="H24" s="123" t="s">
        <v>264</v>
      </c>
      <c r="I24" s="123" t="s">
        <v>265</v>
      </c>
    </row>
    <row r="25" spans="3:15">
      <c r="C25" s="124">
        <v>1</v>
      </c>
      <c r="D25" s="124"/>
      <c r="E25" s="124"/>
      <c r="F25" s="124"/>
      <c r="G25" s="124"/>
      <c r="H25" s="124"/>
      <c r="I25" s="124"/>
    </row>
    <row r="26" spans="3:15">
      <c r="C26" s="125" t="s">
        <v>225</v>
      </c>
      <c r="D26" s="167">
        <f>(1/E47)*$H$63*0.73</f>
        <v>0.16310707070707073</v>
      </c>
      <c r="E26" s="167">
        <f>+(1/E47)*$I$63*25*0.73</f>
        <v>1.4889740981818183E-3</v>
      </c>
      <c r="F26" s="167">
        <f>+(1/E47)*$J$63*298*0.73</f>
        <v>5.6795428001047265E-3</v>
      </c>
      <c r="G26" s="167">
        <f>(1/E47)*$H$77*0.27</f>
        <v>4.1618181818181818E-2</v>
      </c>
      <c r="H26" s="167">
        <f>+(1/E47)*$I$77*25*0.27</f>
        <v>1.5241617204545454E-4</v>
      </c>
      <c r="I26" s="167">
        <f>+(1/E47)*$J$77*298*0.27</f>
        <v>1.0900804624690912E-4</v>
      </c>
    </row>
    <row r="27" spans="3:15">
      <c r="C27" s="125" t="s">
        <v>226</v>
      </c>
      <c r="D27" s="167">
        <f>(1/E48)*$H$63*0.73</f>
        <v>0.17744615384615386</v>
      </c>
      <c r="E27" s="167">
        <f>+(1/E48)*$I$63*25*0.73</f>
        <v>1.6198729199999996E-3</v>
      </c>
      <c r="F27" s="167">
        <f>+(1/E48)*$J$63*298*0.73</f>
        <v>6.1788432660480003E-3</v>
      </c>
      <c r="G27" s="167">
        <f>(1/E48)*$H$77*0.27</f>
        <v>4.5276923076923083E-2</v>
      </c>
      <c r="H27" s="167">
        <f>+(1/E48)*$I$77*25*0.27</f>
        <v>1.6581539596153844E-4</v>
      </c>
      <c r="I27" s="167">
        <f>+(1/E48)*$J$77*298*0.27</f>
        <v>1.1859117119169234E-4</v>
      </c>
    </row>
    <row r="28" spans="3:15">
      <c r="C28" s="125" t="s">
        <v>227</v>
      </c>
      <c r="D28" s="167"/>
      <c r="E28" s="167"/>
      <c r="F28" s="167"/>
      <c r="G28" s="167">
        <f>(1/E49)*$H$75</f>
        <v>0.23500000000000001</v>
      </c>
      <c r="H28" s="167">
        <f>+(1/E49)*$I$75*25</f>
        <v>1.5487884841935483E-3</v>
      </c>
      <c r="I28" s="167">
        <f>+(1/E49)*$J$75*298</f>
        <v>6.1538529105290322E-4</v>
      </c>
    </row>
    <row r="29" spans="3:15">
      <c r="C29" s="125" t="s">
        <v>228</v>
      </c>
      <c r="D29" s="167">
        <f t="shared" ref="D29:D34" si="10">(1/E50)*$H$64*0.89</f>
        <v>0.22063523809523811</v>
      </c>
      <c r="E29" s="167">
        <f t="shared" ref="E29:E34" si="11">+(1/E50)*$I$64*25*0.89</f>
        <v>2.9355413256000005E-4</v>
      </c>
      <c r="F29" s="167">
        <f t="shared" ref="F29:F34" si="12">+(1/E50)*$J$64*298*0.89</f>
        <v>3.4991652601152005E-3</v>
      </c>
      <c r="G29" s="167">
        <f t="shared" ref="G29:G34" si="13">(1/E50)*$H$76*0.11</f>
        <v>2.5467619047619048E-2</v>
      </c>
      <c r="H29" s="167">
        <f t="shared" ref="H29:H34" si="14">+(1/E50)*$I$76*25*0.11</f>
        <v>8.6846194285714254E-5</v>
      </c>
      <c r="I29" s="167">
        <f t="shared" ref="I29:I34" si="15">+(1/E50)*$J$76*298*0.11</f>
        <v>6.2112398153142852E-5</v>
      </c>
    </row>
    <row r="30" spans="3:15">
      <c r="C30" s="125" t="s">
        <v>232</v>
      </c>
      <c r="D30" s="167">
        <f t="shared" si="10"/>
        <v>0.25457912087912088</v>
      </c>
      <c r="E30" s="167">
        <f t="shared" si="11"/>
        <v>3.3871630679999998E-4</v>
      </c>
      <c r="F30" s="167">
        <f t="shared" si="12"/>
        <v>4.0374983770559997E-3</v>
      </c>
      <c r="G30" s="167">
        <f t="shared" si="13"/>
        <v>2.9385714285714282E-2</v>
      </c>
      <c r="H30" s="167">
        <f t="shared" si="14"/>
        <v>1.0020714725274724E-4</v>
      </c>
      <c r="I30" s="167">
        <f t="shared" si="15"/>
        <v>7.1668151715164824E-5</v>
      </c>
    </row>
    <row r="31" spans="3:15">
      <c r="C31" s="125" t="s">
        <v>233</v>
      </c>
      <c r="D31" s="167">
        <f t="shared" si="10"/>
        <v>0.41369107142857148</v>
      </c>
      <c r="E31" s="167">
        <f t="shared" si="11"/>
        <v>5.5041399854999999E-4</v>
      </c>
      <c r="F31" s="167">
        <f t="shared" si="12"/>
        <v>6.5609348627160002E-3</v>
      </c>
      <c r="G31" s="167">
        <f t="shared" si="13"/>
        <v>4.7751785714285712E-2</v>
      </c>
      <c r="H31" s="167">
        <f t="shared" si="14"/>
        <v>1.6283661428571423E-4</v>
      </c>
      <c r="I31" s="167">
        <f t="shared" si="15"/>
        <v>1.1646074653714286E-4</v>
      </c>
    </row>
    <row r="32" spans="3:15">
      <c r="C32" s="125" t="s">
        <v>234</v>
      </c>
      <c r="D32" s="167">
        <f t="shared" si="10"/>
        <v>0.41369107142857148</v>
      </c>
      <c r="E32" s="167">
        <f t="shared" si="11"/>
        <v>5.5041399854999999E-4</v>
      </c>
      <c r="F32" s="167">
        <f t="shared" si="12"/>
        <v>6.5609348627160002E-3</v>
      </c>
      <c r="G32" s="167">
        <f t="shared" si="13"/>
        <v>4.7751785714285712E-2</v>
      </c>
      <c r="H32" s="167">
        <f t="shared" si="14"/>
        <v>1.6283661428571423E-4</v>
      </c>
      <c r="I32" s="167">
        <f t="shared" si="15"/>
        <v>1.1646074653714286E-4</v>
      </c>
    </row>
    <row r="33" spans="3:9">
      <c r="C33" s="125" t="s">
        <v>235</v>
      </c>
      <c r="D33" s="167">
        <f t="shared" si="10"/>
        <v>0.68137352941176477</v>
      </c>
      <c r="E33" s="167">
        <f t="shared" si="11"/>
        <v>9.065642329058823E-4</v>
      </c>
      <c r="F33" s="167">
        <f t="shared" si="12"/>
        <v>1.0806245656238118E-2</v>
      </c>
      <c r="G33" s="167">
        <f t="shared" si="13"/>
        <v>7.8650000000000012E-2</v>
      </c>
      <c r="H33" s="167">
        <f t="shared" si="14"/>
        <v>2.6820148235294115E-4</v>
      </c>
      <c r="I33" s="167">
        <f t="shared" si="15"/>
        <v>1.9181770017882353E-4</v>
      </c>
    </row>
    <row r="34" spans="3:9">
      <c r="C34" s="125" t="s">
        <v>236</v>
      </c>
      <c r="D34" s="167">
        <f t="shared" si="10"/>
        <v>0.68137352941176477</v>
      </c>
      <c r="E34" s="167">
        <f t="shared" si="11"/>
        <v>9.065642329058823E-4</v>
      </c>
      <c r="F34" s="167">
        <f t="shared" si="12"/>
        <v>1.0806245656238118E-2</v>
      </c>
      <c r="G34" s="167">
        <f t="shared" si="13"/>
        <v>7.8650000000000012E-2</v>
      </c>
      <c r="H34" s="167">
        <f t="shared" si="14"/>
        <v>2.6820148235294115E-4</v>
      </c>
      <c r="I34" s="167">
        <f t="shared" si="15"/>
        <v>1.9181770017882353E-4</v>
      </c>
    </row>
    <row r="36" spans="3:9">
      <c r="C36" s="3" t="s">
        <v>11</v>
      </c>
      <c r="D36" t="s">
        <v>694</v>
      </c>
    </row>
    <row r="39" spans="3:9">
      <c r="C39" s="1" t="s">
        <v>12</v>
      </c>
    </row>
    <row r="42" spans="3:9" ht="15.6">
      <c r="C42" s="117" t="s">
        <v>212</v>
      </c>
      <c r="D42" s="118"/>
      <c r="E42" s="118"/>
      <c r="F42" s="118"/>
    </row>
    <row r="43" spans="3:9" ht="15">
      <c r="C43" s="119"/>
      <c r="D43" s="119"/>
      <c r="E43" s="119"/>
      <c r="F43" s="119"/>
    </row>
    <row r="44" spans="3:9">
      <c r="C44" s="120" t="s">
        <v>260</v>
      </c>
      <c r="D44" s="121"/>
      <c r="E44" s="121"/>
    </row>
    <row r="45" spans="3:9">
      <c r="C45" s="123" t="s">
        <v>213</v>
      </c>
      <c r="D45" s="123" t="s">
        <v>23</v>
      </c>
      <c r="E45" s="123" t="s">
        <v>214</v>
      </c>
    </row>
    <row r="46" spans="3:9">
      <c r="C46" s="124">
        <v>1</v>
      </c>
      <c r="D46" s="124">
        <v>2</v>
      </c>
      <c r="E46" s="124">
        <v>3</v>
      </c>
    </row>
    <row r="47" spans="3:9">
      <c r="C47" s="125" t="s">
        <v>225</v>
      </c>
      <c r="D47" s="502" t="s">
        <v>700</v>
      </c>
      <c r="E47" s="127">
        <v>9.9</v>
      </c>
    </row>
    <row r="48" spans="3:9">
      <c r="C48" s="125" t="s">
        <v>226</v>
      </c>
      <c r="D48" s="502"/>
      <c r="E48" s="127">
        <v>9.1</v>
      </c>
    </row>
    <row r="49" spans="2:11">
      <c r="C49" s="125" t="s">
        <v>227</v>
      </c>
      <c r="D49" s="502"/>
      <c r="E49" s="127">
        <v>6.2</v>
      </c>
    </row>
    <row r="50" spans="2:11">
      <c r="C50" s="125" t="s">
        <v>228</v>
      </c>
      <c r="D50" s="502"/>
      <c r="E50" s="127">
        <v>10.5</v>
      </c>
    </row>
    <row r="51" spans="2:11">
      <c r="C51" s="125" t="s">
        <v>232</v>
      </c>
      <c r="D51" s="502"/>
      <c r="E51" s="127">
        <v>9.1</v>
      </c>
    </row>
    <row r="52" spans="2:11">
      <c r="C52" s="125" t="s">
        <v>233</v>
      </c>
      <c r="D52" s="502"/>
      <c r="E52" s="127">
        <v>5.6</v>
      </c>
    </row>
    <row r="53" spans="2:11">
      <c r="C53" s="125" t="s">
        <v>234</v>
      </c>
      <c r="D53" s="502"/>
      <c r="E53" s="127">
        <v>5.6</v>
      </c>
    </row>
    <row r="54" spans="2:11">
      <c r="C54" s="125" t="s">
        <v>235</v>
      </c>
      <c r="D54" s="502"/>
      <c r="E54" s="127">
        <v>3.4</v>
      </c>
    </row>
    <row r="55" spans="2:11">
      <c r="C55" s="125" t="s">
        <v>236</v>
      </c>
      <c r="D55" s="503"/>
      <c r="E55" s="127">
        <v>3.4</v>
      </c>
      <c r="F55" s="129"/>
    </row>
    <row r="56" spans="2:11">
      <c r="C56" s="128" t="s">
        <v>237</v>
      </c>
      <c r="D56" s="129"/>
      <c r="E56" s="129"/>
      <c r="F56" s="129"/>
    </row>
    <row r="58" spans="2:11" ht="15.6">
      <c r="B58" s="130"/>
      <c r="C58" s="117" t="s">
        <v>238</v>
      </c>
      <c r="D58" s="118"/>
      <c r="E58" s="118"/>
      <c r="F58" s="118"/>
      <c r="G58" s="73"/>
      <c r="H58" s="73"/>
      <c r="I58" s="73"/>
    </row>
    <row r="59" spans="2:11" ht="10.95" customHeight="1">
      <c r="B59" s="131"/>
      <c r="C59" s="132"/>
      <c r="D59" s="133"/>
      <c r="E59" s="133"/>
      <c r="F59" s="133"/>
      <c r="G59" s="133"/>
      <c r="H59" s="133"/>
      <c r="I59" s="133"/>
    </row>
    <row r="60" spans="2:11">
      <c r="B60" s="136"/>
      <c r="C60" s="120" t="s">
        <v>261</v>
      </c>
      <c r="D60" s="120"/>
      <c r="E60" s="120"/>
      <c r="F60" s="120"/>
      <c r="G60" s="122"/>
      <c r="H60" s="122"/>
      <c r="I60" s="122"/>
      <c r="J60" s="122"/>
      <c r="K60" s="122"/>
    </row>
    <row r="61" spans="2:11">
      <c r="B61" s="136"/>
      <c r="C61" s="508" t="s">
        <v>142</v>
      </c>
      <c r="D61" s="504" t="s">
        <v>23</v>
      </c>
      <c r="E61" s="137" t="s">
        <v>698</v>
      </c>
      <c r="F61" s="137" t="s">
        <v>145</v>
      </c>
      <c r="G61" s="504" t="s">
        <v>239</v>
      </c>
      <c r="H61" s="504" t="s">
        <v>240</v>
      </c>
      <c r="I61" s="504"/>
      <c r="J61" s="504"/>
    </row>
    <row r="62" spans="2:11" ht="15.6">
      <c r="B62" s="136"/>
      <c r="C62" s="508"/>
      <c r="D62" s="504"/>
      <c r="E62" s="137" t="s">
        <v>241</v>
      </c>
      <c r="F62" s="138" t="s">
        <v>242</v>
      </c>
      <c r="G62" s="504"/>
      <c r="H62" s="139" t="s">
        <v>243</v>
      </c>
      <c r="I62" s="140" t="s">
        <v>244</v>
      </c>
      <c r="J62" s="141" t="s">
        <v>245</v>
      </c>
    </row>
    <row r="63" spans="2:11">
      <c r="B63" s="136"/>
      <c r="C63" s="142" t="s">
        <v>246</v>
      </c>
      <c r="D63" s="142" t="s">
        <v>140</v>
      </c>
      <c r="E63" s="143">
        <v>10400</v>
      </c>
      <c r="F63" s="144">
        <v>0.74199999999999999</v>
      </c>
      <c r="G63" s="145" t="s">
        <v>353</v>
      </c>
      <c r="H63" s="146">
        <v>2.2120000000000002</v>
      </c>
      <c r="I63" s="147">
        <f>25*F63*E63*4186.8/10^12</f>
        <v>8.0771745600000003E-4</v>
      </c>
      <c r="J63" s="148">
        <f>8*F63*E63*4186.8/10^12</f>
        <v>2.5846958592000001E-4</v>
      </c>
    </row>
    <row r="64" spans="2:11">
      <c r="B64" s="136"/>
      <c r="C64" s="142" t="s">
        <v>247</v>
      </c>
      <c r="D64" s="142" t="s">
        <v>140</v>
      </c>
      <c r="E64" s="143">
        <v>10100</v>
      </c>
      <c r="F64" s="144">
        <v>0.84</v>
      </c>
      <c r="G64" s="145" t="s">
        <v>353</v>
      </c>
      <c r="H64" s="146">
        <v>2.6030000000000002</v>
      </c>
      <c r="I64" s="147">
        <f>3.9*F64*E64*4186.8/10^12</f>
        <v>1.3853116368000001E-4</v>
      </c>
      <c r="J64" s="148">
        <f>3.9*F64*E64*4186.8/10^12</f>
        <v>1.3853116368000001E-4</v>
      </c>
    </row>
    <row r="65" spans="2:11">
      <c r="B65" s="136"/>
      <c r="C65" s="149" t="s">
        <v>248</v>
      </c>
      <c r="D65" s="142" t="s">
        <v>249</v>
      </c>
      <c r="E65" s="143">
        <v>8800</v>
      </c>
      <c r="F65" s="150" t="s">
        <v>217</v>
      </c>
      <c r="G65" s="145" t="s">
        <v>353</v>
      </c>
      <c r="H65" s="146">
        <v>1.9990000000000001</v>
      </c>
      <c r="I65" s="147">
        <f>92*E65*4186.8/10^12</f>
        <v>3.3896332800000002E-3</v>
      </c>
      <c r="J65" s="148">
        <f>3*E65*4186.8/10^12</f>
        <v>1.1053152E-4</v>
      </c>
    </row>
    <row r="66" spans="2:11">
      <c r="B66" s="136"/>
      <c r="C66" s="149" t="s">
        <v>250</v>
      </c>
      <c r="D66" s="149" t="s">
        <v>17</v>
      </c>
      <c r="E66" s="151">
        <v>11100</v>
      </c>
      <c r="F66" s="152" t="s">
        <v>217</v>
      </c>
      <c r="G66" s="145" t="s">
        <v>353</v>
      </c>
      <c r="H66" s="153">
        <f>63100*E66*4186.8/10^12</f>
        <v>2.9324765880000001</v>
      </c>
      <c r="I66" s="147">
        <f>62*E66*4186.8/10^12</f>
        <v>2.8813557599999999E-3</v>
      </c>
      <c r="J66" s="148">
        <f>0.2*E66*4186.8/10^12</f>
        <v>9.294696E-6</v>
      </c>
    </row>
    <row r="67" spans="2:11">
      <c r="B67" s="136"/>
      <c r="C67" s="142" t="s">
        <v>251</v>
      </c>
      <c r="D67" s="142" t="s">
        <v>140</v>
      </c>
      <c r="E67" s="143">
        <v>10400</v>
      </c>
      <c r="F67" s="144">
        <v>0.79900000000000004</v>
      </c>
      <c r="G67" s="145" t="s">
        <v>353</v>
      </c>
      <c r="H67" s="154">
        <f>3.15*F67</f>
        <v>2.5168500000000003</v>
      </c>
      <c r="I67" s="155">
        <f>0.02205/1000*F67</f>
        <v>1.7617950000000003E-5</v>
      </c>
      <c r="J67" s="148">
        <f>0.0882/1000*F67</f>
        <v>7.0471800000000012E-5</v>
      </c>
    </row>
    <row r="68" spans="2:11">
      <c r="B68" s="136"/>
      <c r="C68" s="142" t="s">
        <v>252</v>
      </c>
      <c r="D68" s="142" t="s">
        <v>140</v>
      </c>
      <c r="E68" s="151">
        <v>10600</v>
      </c>
      <c r="F68" s="156">
        <v>0.72599999999999998</v>
      </c>
      <c r="G68" s="145" t="s">
        <v>353</v>
      </c>
      <c r="H68" s="154">
        <f>3.1*F68</f>
        <v>2.2505999999999999</v>
      </c>
      <c r="I68" s="155">
        <f>0.02215/1000*F68</f>
        <v>1.60809E-5</v>
      </c>
      <c r="J68" s="148">
        <f>0.0886/1000*F68</f>
        <v>6.4323600000000002E-5</v>
      </c>
    </row>
    <row r="69" spans="2:11">
      <c r="B69" s="136"/>
      <c r="C69" s="142" t="s">
        <v>253</v>
      </c>
      <c r="D69" s="142" t="s">
        <v>140</v>
      </c>
      <c r="E69" s="143">
        <v>10120</v>
      </c>
      <c r="F69" s="144">
        <v>0.875</v>
      </c>
      <c r="G69" s="145" t="s">
        <v>353</v>
      </c>
      <c r="H69" s="153">
        <f>73300*F69*E69*4186.8/10^12</f>
        <v>2.7175325562000001</v>
      </c>
      <c r="I69" s="155">
        <v>1.3853116368000001E-4</v>
      </c>
      <c r="J69" s="148">
        <v>1.3853116368000001E-4</v>
      </c>
    </row>
    <row r="70" spans="2:11">
      <c r="B70" s="136"/>
      <c r="C70" s="142" t="s">
        <v>254</v>
      </c>
      <c r="D70" s="142" t="s">
        <v>140</v>
      </c>
      <c r="E70" s="143">
        <v>9590</v>
      </c>
      <c r="F70" s="144">
        <v>1</v>
      </c>
      <c r="G70" s="145" t="s">
        <v>353</v>
      </c>
      <c r="H70" s="153">
        <v>3.1077192887999994</v>
      </c>
      <c r="I70" s="155">
        <v>4.0151411999999996E-4</v>
      </c>
      <c r="J70" s="148">
        <v>2.4090847199999995E-5</v>
      </c>
    </row>
    <row r="71" spans="2:11">
      <c r="B71" s="157"/>
      <c r="C71" s="158"/>
      <c r="D71" s="158"/>
      <c r="E71" s="158"/>
      <c r="F71" s="158"/>
      <c r="G71" s="158"/>
      <c r="H71" s="158"/>
      <c r="I71" s="158"/>
      <c r="J71" s="159"/>
      <c r="K71" s="159"/>
    </row>
    <row r="72" spans="2:11">
      <c r="B72" s="157"/>
      <c r="C72" s="120" t="s">
        <v>262</v>
      </c>
      <c r="D72" s="158"/>
      <c r="E72" s="158"/>
      <c r="F72" s="158"/>
      <c r="G72" s="158"/>
      <c r="H72" s="158"/>
      <c r="I72" s="158"/>
      <c r="J72" s="160"/>
      <c r="K72" s="159"/>
    </row>
    <row r="73" spans="2:11">
      <c r="B73" s="157"/>
      <c r="C73" s="508" t="s">
        <v>142</v>
      </c>
      <c r="D73" s="504" t="s">
        <v>23</v>
      </c>
      <c r="E73" s="137" t="s">
        <v>698</v>
      </c>
      <c r="F73" s="137" t="s">
        <v>145</v>
      </c>
      <c r="G73" s="504" t="s">
        <v>239</v>
      </c>
      <c r="H73" s="504" t="s">
        <v>240</v>
      </c>
      <c r="I73" s="504"/>
      <c r="J73" s="504"/>
    </row>
    <row r="74" spans="2:11" ht="15.6">
      <c r="B74" s="157"/>
      <c r="C74" s="508"/>
      <c r="D74" s="504"/>
      <c r="E74" s="137" t="s">
        <v>241</v>
      </c>
      <c r="F74" s="138" t="s">
        <v>242</v>
      </c>
      <c r="G74" s="504"/>
      <c r="H74" s="161" t="s">
        <v>255</v>
      </c>
      <c r="I74" s="162" t="s">
        <v>244</v>
      </c>
      <c r="J74" s="163" t="s">
        <v>245</v>
      </c>
    </row>
    <row r="75" spans="2:11">
      <c r="B75" s="157"/>
      <c r="C75" s="142" t="s">
        <v>256</v>
      </c>
      <c r="D75" s="142" t="s">
        <v>140</v>
      </c>
      <c r="E75" s="143">
        <v>6300</v>
      </c>
      <c r="F75" s="144">
        <v>0.80900000000000005</v>
      </c>
      <c r="G75" s="213" t="s">
        <v>353</v>
      </c>
      <c r="H75" s="146">
        <v>1.4570000000000001</v>
      </c>
      <c r="I75" s="155">
        <v>3.8409954408000002E-4</v>
      </c>
      <c r="J75" s="148">
        <v>1.2803318136000002E-5</v>
      </c>
    </row>
    <row r="76" spans="2:11">
      <c r="B76" s="157"/>
      <c r="C76" s="142" t="s">
        <v>257</v>
      </c>
      <c r="D76" s="142" t="s">
        <v>140</v>
      </c>
      <c r="E76" s="143">
        <v>9000</v>
      </c>
      <c r="F76" s="144">
        <v>0.88</v>
      </c>
      <c r="G76" s="213" t="s">
        <v>353</v>
      </c>
      <c r="H76" s="146">
        <v>2.431</v>
      </c>
      <c r="I76" s="155">
        <v>3.3159455999999993E-4</v>
      </c>
      <c r="J76" s="148">
        <v>1.9895673599999999E-5</v>
      </c>
    </row>
    <row r="77" spans="2:11">
      <c r="B77" s="157"/>
      <c r="C77" s="142" t="s">
        <v>258</v>
      </c>
      <c r="D77" s="142" t="s">
        <v>140</v>
      </c>
      <c r="E77" s="143">
        <v>6750</v>
      </c>
      <c r="F77" s="144">
        <v>0.79100000000000004</v>
      </c>
      <c r="G77" s="213" t="s">
        <v>353</v>
      </c>
      <c r="H77" s="146">
        <v>1.526</v>
      </c>
      <c r="I77" s="155">
        <v>2.2354371899999998E-4</v>
      </c>
      <c r="J77" s="148">
        <v>1.3412623140000001E-5</v>
      </c>
    </row>
    <row r="78" spans="2:11">
      <c r="B78" s="164"/>
      <c r="C78" s="505" t="s">
        <v>259</v>
      </c>
      <c r="D78" s="506"/>
      <c r="E78" s="506"/>
      <c r="F78" s="506"/>
      <c r="G78" s="506"/>
      <c r="H78" s="507"/>
      <c r="I78" s="165"/>
      <c r="J78" s="166"/>
      <c r="K78" s="166"/>
    </row>
  </sheetData>
  <mergeCells count="19">
    <mergeCell ref="D61:D62"/>
    <mergeCell ref="H73:J73"/>
    <mergeCell ref="C78:H78"/>
    <mergeCell ref="D73:D74"/>
    <mergeCell ref="C61:C62"/>
    <mergeCell ref="G61:G62"/>
    <mergeCell ref="H61:J61"/>
    <mergeCell ref="C73:C74"/>
    <mergeCell ref="G73:G74"/>
    <mergeCell ref="D23:F23"/>
    <mergeCell ref="G23:I23"/>
    <mergeCell ref="E9:G9"/>
    <mergeCell ref="H9:J9"/>
    <mergeCell ref="D47:D55"/>
    <mergeCell ref="B6:C6"/>
    <mergeCell ref="M9:O9"/>
    <mergeCell ref="M10:O10"/>
    <mergeCell ref="L10:L11"/>
    <mergeCell ref="D10:D11"/>
  </mergeCells>
  <hyperlinks>
    <hyperlink ref="C36" location="Referencias!A1" display="Referências" xr:uid="{00000000-0004-0000-0A00-000000000000}"/>
    <hyperlink ref="J6" location="Inicio!A1" display="Início" xr:uid="{00000000-0004-0000-0A00-000001000000}"/>
  </hyperlinks>
  <pageMargins left="0.511811024" right="0.511811024" top="0.78740157499999996" bottom="0.78740157499999996" header="0.31496062000000002" footer="0.31496062000000002"/>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AAF79-A11F-D748-97AB-C30289728378}">
  <sheetPr>
    <tabColor theme="9" tint="0.59999389629810485"/>
  </sheetPr>
  <dimension ref="B6:O78"/>
  <sheetViews>
    <sheetView showGridLines="0" topLeftCell="A7" zoomScaleNormal="100" workbookViewId="0">
      <selection activeCell="B6" sqref="B6:C6"/>
    </sheetView>
  </sheetViews>
  <sheetFormatPr defaultColWidth="8.77734375" defaultRowHeight="14.4"/>
  <cols>
    <col min="2" max="2" width="18.77734375" bestFit="1" customWidth="1"/>
    <col min="3" max="3" width="39.33203125" customWidth="1"/>
    <col min="4" max="4" width="20.109375" customWidth="1"/>
    <col min="5" max="5" width="13.109375" bestFit="1" customWidth="1"/>
    <col min="6" max="6" width="11.109375" customWidth="1"/>
    <col min="7" max="8" width="9.109375" bestFit="1" customWidth="1"/>
    <col min="9" max="9" width="9.44140625" bestFit="1" customWidth="1"/>
    <col min="10" max="10" width="10.33203125" customWidth="1"/>
    <col min="11" max="11" width="14" customWidth="1"/>
    <col min="12" max="12" width="39" customWidth="1"/>
    <col min="13" max="13" width="15.44140625" customWidth="1"/>
    <col min="14" max="14" width="32.109375" customWidth="1"/>
    <col min="15" max="15" width="55" bestFit="1" customWidth="1"/>
    <col min="20" max="20" width="36.33203125" customWidth="1"/>
    <col min="21" max="21" width="16.6640625" bestFit="1" customWidth="1"/>
    <col min="22" max="22" width="37.6640625" bestFit="1" customWidth="1"/>
    <col min="23" max="23" width="64.6640625" bestFit="1" customWidth="1"/>
  </cols>
  <sheetData>
    <row r="6" spans="2:15" ht="23.4">
      <c r="B6" s="490" t="s">
        <v>734</v>
      </c>
      <c r="C6" s="490"/>
      <c r="J6" s="192" t="s">
        <v>299</v>
      </c>
    </row>
    <row r="8" spans="2:15">
      <c r="C8" s="1" t="s">
        <v>301</v>
      </c>
      <c r="L8" s="1" t="s">
        <v>300</v>
      </c>
    </row>
    <row r="9" spans="2:15">
      <c r="E9" s="509" t="s">
        <v>266</v>
      </c>
      <c r="F9" s="509"/>
      <c r="G9" s="509"/>
      <c r="H9" s="509" t="s">
        <v>267</v>
      </c>
      <c r="I9" s="509"/>
      <c r="J9" s="509"/>
      <c r="M9" s="491" t="s">
        <v>286</v>
      </c>
      <c r="N9" s="491"/>
      <c r="O9" s="491"/>
    </row>
    <row r="10" spans="2:15">
      <c r="C10" s="169" t="s">
        <v>213</v>
      </c>
      <c r="D10" s="510" t="s">
        <v>701</v>
      </c>
      <c r="E10" s="355" t="s">
        <v>263</v>
      </c>
      <c r="F10" s="355" t="s">
        <v>264</v>
      </c>
      <c r="G10" s="355" t="s">
        <v>265</v>
      </c>
      <c r="H10" s="355" t="s">
        <v>263</v>
      </c>
      <c r="I10" s="355" t="s">
        <v>264</v>
      </c>
      <c r="J10" s="355" t="s">
        <v>265</v>
      </c>
      <c r="L10" s="495" t="s">
        <v>213</v>
      </c>
      <c r="M10" s="492" t="s">
        <v>285</v>
      </c>
      <c r="N10" s="493"/>
      <c r="O10" s="494"/>
    </row>
    <row r="11" spans="2:15">
      <c r="C11" s="170">
        <v>1</v>
      </c>
      <c r="D11" s="498"/>
      <c r="E11" s="124"/>
      <c r="F11" s="124"/>
      <c r="G11" s="124"/>
      <c r="H11" s="124"/>
      <c r="I11" s="124"/>
      <c r="J11" s="124"/>
      <c r="L11" s="496"/>
      <c r="M11" s="173" t="s">
        <v>324</v>
      </c>
      <c r="N11" s="173" t="s">
        <v>288</v>
      </c>
      <c r="O11" s="173" t="s">
        <v>289</v>
      </c>
    </row>
    <row r="12" spans="2:15">
      <c r="C12" s="125" t="s">
        <v>225</v>
      </c>
      <c r="D12" s="174">
        <v>1</v>
      </c>
      <c r="E12" s="86">
        <f t="shared" ref="E12:J12" si="0">$D$12*D26</f>
        <v>0.16310707070707073</v>
      </c>
      <c r="F12" s="86">
        <f t="shared" si="0"/>
        <v>1.4889740981818183E-3</v>
      </c>
      <c r="G12" s="86">
        <f t="shared" si="0"/>
        <v>5.6795428001047265E-3</v>
      </c>
      <c r="H12" s="86">
        <f t="shared" si="0"/>
        <v>4.1618181818181818E-2</v>
      </c>
      <c r="I12" s="86">
        <f t="shared" si="0"/>
        <v>1.5241617204545454E-4</v>
      </c>
      <c r="J12" s="86">
        <f t="shared" si="0"/>
        <v>1.0900804624690912E-4</v>
      </c>
      <c r="L12" s="182" t="s">
        <v>225</v>
      </c>
      <c r="M12" s="195">
        <f t="shared" ref="M12:M20" si="1">E12+(F12+I12)+(G12+J12)</f>
        <v>0.17053701182364964</v>
      </c>
      <c r="N12" s="382" t="s">
        <v>312</v>
      </c>
      <c r="O12" s="382" t="s">
        <v>287</v>
      </c>
    </row>
    <row r="13" spans="2:15">
      <c r="C13" s="125" t="s">
        <v>226</v>
      </c>
      <c r="D13" s="174">
        <v>1</v>
      </c>
      <c r="E13" s="86">
        <f t="shared" ref="E13:J13" si="2">$D$13*D27</f>
        <v>0.17744615384615386</v>
      </c>
      <c r="F13" s="86">
        <f t="shared" si="2"/>
        <v>1.6198729199999996E-3</v>
      </c>
      <c r="G13" s="86">
        <f t="shared" si="2"/>
        <v>6.1788432660480003E-3</v>
      </c>
      <c r="H13" s="86">
        <f t="shared" si="2"/>
        <v>4.5276923076923083E-2</v>
      </c>
      <c r="I13" s="86">
        <f t="shared" si="2"/>
        <v>1.6581539596153844E-4</v>
      </c>
      <c r="J13" s="86">
        <f t="shared" si="2"/>
        <v>1.1859117119169234E-4</v>
      </c>
      <c r="L13" s="182" t="s">
        <v>226</v>
      </c>
      <c r="M13" s="195">
        <f t="shared" si="1"/>
        <v>0.18552927659935509</v>
      </c>
      <c r="N13" s="383" t="s">
        <v>312</v>
      </c>
      <c r="O13" s="383" t="s">
        <v>287</v>
      </c>
    </row>
    <row r="14" spans="2:15">
      <c r="C14" s="125" t="s">
        <v>227</v>
      </c>
      <c r="D14" s="174">
        <v>1</v>
      </c>
      <c r="E14" s="86">
        <f t="shared" ref="E14:J14" si="3">$D$14*D28</f>
        <v>0</v>
      </c>
      <c r="F14" s="86">
        <f t="shared" si="3"/>
        <v>0</v>
      </c>
      <c r="G14" s="86">
        <f t="shared" si="3"/>
        <v>0</v>
      </c>
      <c r="H14" s="86">
        <f t="shared" si="3"/>
        <v>0.23500000000000001</v>
      </c>
      <c r="I14" s="86">
        <f t="shared" si="3"/>
        <v>1.5487884841935483E-3</v>
      </c>
      <c r="J14" s="86">
        <f t="shared" si="3"/>
        <v>6.1538529105290322E-4</v>
      </c>
      <c r="L14" s="182" t="s">
        <v>227</v>
      </c>
      <c r="M14" s="195">
        <f t="shared" si="1"/>
        <v>2.1641737752464514E-3</v>
      </c>
      <c r="N14" s="383" t="s">
        <v>312</v>
      </c>
      <c r="O14" s="383" t="s">
        <v>287</v>
      </c>
    </row>
    <row r="15" spans="2:15">
      <c r="C15" s="125" t="s">
        <v>228</v>
      </c>
      <c r="D15" s="174">
        <v>1</v>
      </c>
      <c r="E15" s="86">
        <f t="shared" ref="E15:J15" si="4">$D$15*D29</f>
        <v>0.22063523809523811</v>
      </c>
      <c r="F15" s="86">
        <f t="shared" si="4"/>
        <v>2.9355413256000005E-4</v>
      </c>
      <c r="G15" s="86">
        <f t="shared" si="4"/>
        <v>3.4991652601152005E-3</v>
      </c>
      <c r="H15" s="86">
        <f t="shared" si="4"/>
        <v>2.5467619047619048E-2</v>
      </c>
      <c r="I15" s="86">
        <f t="shared" si="4"/>
        <v>8.6846194285714254E-5</v>
      </c>
      <c r="J15" s="86">
        <f t="shared" si="4"/>
        <v>6.2112398153142852E-5</v>
      </c>
      <c r="L15" s="182" t="s">
        <v>228</v>
      </c>
      <c r="M15" s="195">
        <f t="shared" si="1"/>
        <v>0.22457691608035216</v>
      </c>
      <c r="N15" s="383" t="s">
        <v>312</v>
      </c>
      <c r="O15" s="383" t="s">
        <v>287</v>
      </c>
    </row>
    <row r="16" spans="2:15">
      <c r="C16" s="125" t="s">
        <v>232</v>
      </c>
      <c r="D16" s="174">
        <v>1</v>
      </c>
      <c r="E16" s="86">
        <f t="shared" ref="E16:J16" si="5">$D$16*D30</f>
        <v>0.25457912087912088</v>
      </c>
      <c r="F16" s="86">
        <f t="shared" si="5"/>
        <v>3.3871630679999998E-4</v>
      </c>
      <c r="G16" s="86">
        <f t="shared" si="5"/>
        <v>4.0374983770559997E-3</v>
      </c>
      <c r="H16" s="86">
        <f t="shared" si="5"/>
        <v>2.9385714285714282E-2</v>
      </c>
      <c r="I16" s="86">
        <f t="shared" si="5"/>
        <v>1.0020714725274724E-4</v>
      </c>
      <c r="J16" s="86">
        <f t="shared" si="5"/>
        <v>7.1668151715164824E-5</v>
      </c>
      <c r="L16" s="182" t="s">
        <v>232</v>
      </c>
      <c r="M16" s="195">
        <f t="shared" si="1"/>
        <v>0.25912721086194479</v>
      </c>
      <c r="N16" s="383" t="s">
        <v>290</v>
      </c>
      <c r="O16" s="383" t="s">
        <v>287</v>
      </c>
    </row>
    <row r="17" spans="3:15">
      <c r="C17" s="125" t="s">
        <v>233</v>
      </c>
      <c r="D17" s="174">
        <v>1</v>
      </c>
      <c r="E17" s="86">
        <f t="shared" ref="E17:J17" si="6">$D$17*D31</f>
        <v>0.41369107142857148</v>
      </c>
      <c r="F17" s="86">
        <f t="shared" si="6"/>
        <v>5.5041399854999999E-4</v>
      </c>
      <c r="G17" s="86">
        <f t="shared" si="6"/>
        <v>6.5609348627160002E-3</v>
      </c>
      <c r="H17" s="86">
        <f t="shared" si="6"/>
        <v>4.7751785714285712E-2</v>
      </c>
      <c r="I17" s="86">
        <f t="shared" si="6"/>
        <v>1.6283661428571423E-4</v>
      </c>
      <c r="J17" s="86">
        <f t="shared" si="6"/>
        <v>1.1646074653714286E-4</v>
      </c>
      <c r="L17" s="182" t="s">
        <v>233</v>
      </c>
      <c r="M17" s="195">
        <f t="shared" si="1"/>
        <v>0.42108171765066033</v>
      </c>
      <c r="N17" s="383" t="s">
        <v>290</v>
      </c>
      <c r="O17" s="383" t="s">
        <v>287</v>
      </c>
    </row>
    <row r="18" spans="3:15">
      <c r="C18" s="125" t="s">
        <v>234</v>
      </c>
      <c r="D18" s="174">
        <v>1</v>
      </c>
      <c r="E18" s="86">
        <f t="shared" ref="E18:J18" si="7">$D$18*D32</f>
        <v>0.41369107142857148</v>
      </c>
      <c r="F18" s="86">
        <f t="shared" si="7"/>
        <v>5.5041399854999999E-4</v>
      </c>
      <c r="G18" s="86">
        <f t="shared" si="7"/>
        <v>6.5609348627160002E-3</v>
      </c>
      <c r="H18" s="86">
        <f t="shared" si="7"/>
        <v>4.7751785714285712E-2</v>
      </c>
      <c r="I18" s="86">
        <f t="shared" si="7"/>
        <v>1.6283661428571423E-4</v>
      </c>
      <c r="J18" s="86">
        <f t="shared" si="7"/>
        <v>1.1646074653714286E-4</v>
      </c>
      <c r="L18" s="182" t="s">
        <v>234</v>
      </c>
      <c r="M18" s="195">
        <f t="shared" si="1"/>
        <v>0.42108171765066033</v>
      </c>
      <c r="N18" s="383" t="s">
        <v>290</v>
      </c>
      <c r="O18" s="383" t="s">
        <v>287</v>
      </c>
    </row>
    <row r="19" spans="3:15">
      <c r="C19" s="125" t="s">
        <v>235</v>
      </c>
      <c r="D19" s="174">
        <v>1</v>
      </c>
      <c r="E19" s="86">
        <f t="shared" ref="E19:J19" si="8">$D$19*D33</f>
        <v>0.68137352941176477</v>
      </c>
      <c r="F19" s="86">
        <f t="shared" si="8"/>
        <v>9.065642329058823E-4</v>
      </c>
      <c r="G19" s="86">
        <f t="shared" si="8"/>
        <v>1.0806245656238118E-2</v>
      </c>
      <c r="H19" s="86">
        <f t="shared" si="8"/>
        <v>7.8650000000000012E-2</v>
      </c>
      <c r="I19" s="86">
        <f t="shared" si="8"/>
        <v>2.6820148235294115E-4</v>
      </c>
      <c r="J19" s="86">
        <f t="shared" si="8"/>
        <v>1.9181770017882353E-4</v>
      </c>
      <c r="L19" s="182" t="s">
        <v>235</v>
      </c>
      <c r="M19" s="195">
        <f t="shared" si="1"/>
        <v>0.69354635848344059</v>
      </c>
      <c r="N19" s="383" t="s">
        <v>290</v>
      </c>
      <c r="O19" s="383" t="s">
        <v>287</v>
      </c>
    </row>
    <row r="20" spans="3:15">
      <c r="C20" s="125" t="s">
        <v>236</v>
      </c>
      <c r="D20" s="174">
        <v>1</v>
      </c>
      <c r="E20" s="86">
        <f t="shared" ref="E20:J20" si="9">$D$20*D34</f>
        <v>0.68137352941176477</v>
      </c>
      <c r="F20" s="86">
        <f t="shared" si="9"/>
        <v>9.065642329058823E-4</v>
      </c>
      <c r="G20" s="86">
        <f t="shared" si="9"/>
        <v>1.0806245656238118E-2</v>
      </c>
      <c r="H20" s="86">
        <f t="shared" si="9"/>
        <v>7.8650000000000012E-2</v>
      </c>
      <c r="I20" s="86">
        <f t="shared" si="9"/>
        <v>2.6820148235294115E-4</v>
      </c>
      <c r="J20" s="86">
        <f t="shared" si="9"/>
        <v>1.9181770017882353E-4</v>
      </c>
      <c r="L20" s="182" t="s">
        <v>236</v>
      </c>
      <c r="M20" s="195">
        <f t="shared" si="1"/>
        <v>0.69354635848344059</v>
      </c>
      <c r="N20" s="381" t="s">
        <v>290</v>
      </c>
      <c r="O20" s="381" t="s">
        <v>287</v>
      </c>
    </row>
    <row r="21" spans="3:15">
      <c r="L21" s="182" t="s">
        <v>16</v>
      </c>
      <c r="M21" s="195">
        <f>SUM(M12:M20)</f>
        <v>3.07119074140875</v>
      </c>
    </row>
    <row r="22" spans="3:15">
      <c r="C22" s="1" t="s">
        <v>354</v>
      </c>
    </row>
    <row r="23" spans="3:15">
      <c r="C23" s="168" t="s">
        <v>268</v>
      </c>
      <c r="D23" s="509" t="s">
        <v>266</v>
      </c>
      <c r="E23" s="509"/>
      <c r="F23" s="509"/>
      <c r="G23" s="509" t="s">
        <v>267</v>
      </c>
      <c r="H23" s="509"/>
      <c r="I23" s="509"/>
    </row>
    <row r="24" spans="3:15">
      <c r="C24" s="355" t="s">
        <v>213</v>
      </c>
      <c r="D24" s="355" t="s">
        <v>263</v>
      </c>
      <c r="E24" s="355" t="s">
        <v>264</v>
      </c>
      <c r="F24" s="355" t="s">
        <v>265</v>
      </c>
      <c r="G24" s="355" t="s">
        <v>263</v>
      </c>
      <c r="H24" s="355" t="s">
        <v>264</v>
      </c>
      <c r="I24" s="355" t="s">
        <v>265</v>
      </c>
    </row>
    <row r="25" spans="3:15">
      <c r="C25" s="124">
        <v>1</v>
      </c>
      <c r="D25" s="124"/>
      <c r="E25" s="124"/>
      <c r="F25" s="124"/>
      <c r="G25" s="124"/>
      <c r="H25" s="124"/>
      <c r="I25" s="124"/>
    </row>
    <row r="26" spans="3:15">
      <c r="C26" s="125" t="s">
        <v>225</v>
      </c>
      <c r="D26" s="167">
        <f>(1/E47)*$H$63*0.73</f>
        <v>0.16310707070707073</v>
      </c>
      <c r="E26" s="167">
        <f>+(1/E47)*$I$63*25*0.73</f>
        <v>1.4889740981818183E-3</v>
      </c>
      <c r="F26" s="167">
        <f>+(1/E47)*$J$63*298*0.73</f>
        <v>5.6795428001047265E-3</v>
      </c>
      <c r="G26" s="167">
        <f>(1/E47)*$H$77*0.27</f>
        <v>4.1618181818181818E-2</v>
      </c>
      <c r="H26" s="167">
        <f>+(1/E47)*$I$77*25*0.27</f>
        <v>1.5241617204545454E-4</v>
      </c>
      <c r="I26" s="167">
        <f>+(1/E47)*$J$77*298*0.27</f>
        <v>1.0900804624690912E-4</v>
      </c>
    </row>
    <row r="27" spans="3:15">
      <c r="C27" s="125" t="s">
        <v>226</v>
      </c>
      <c r="D27" s="167">
        <f>(1/E48)*$H$63*0.73</f>
        <v>0.17744615384615386</v>
      </c>
      <c r="E27" s="167">
        <f>+(1/E48)*$I$63*25*0.73</f>
        <v>1.6198729199999996E-3</v>
      </c>
      <c r="F27" s="167">
        <f>+(1/E48)*$J$63*298*0.73</f>
        <v>6.1788432660480003E-3</v>
      </c>
      <c r="G27" s="167">
        <f>(1/E48)*$H$77*0.27</f>
        <v>4.5276923076923083E-2</v>
      </c>
      <c r="H27" s="167">
        <f>+(1/E48)*$I$77*25*0.27</f>
        <v>1.6581539596153844E-4</v>
      </c>
      <c r="I27" s="167">
        <f>+(1/E48)*$J$77*298*0.27</f>
        <v>1.1859117119169234E-4</v>
      </c>
    </row>
    <row r="28" spans="3:15">
      <c r="C28" s="125" t="s">
        <v>227</v>
      </c>
      <c r="D28" s="167"/>
      <c r="E28" s="167"/>
      <c r="F28" s="167"/>
      <c r="G28" s="167">
        <f>(1/E49)*$H$75</f>
        <v>0.23500000000000001</v>
      </c>
      <c r="H28" s="167">
        <f>+(1/E49)*$I$75*25</f>
        <v>1.5487884841935483E-3</v>
      </c>
      <c r="I28" s="167">
        <f>+(1/E49)*$J$75*298</f>
        <v>6.1538529105290322E-4</v>
      </c>
    </row>
    <row r="29" spans="3:15">
      <c r="C29" s="125" t="s">
        <v>228</v>
      </c>
      <c r="D29" s="167">
        <f t="shared" ref="D29:D34" si="10">(1/E50)*$H$64*0.89</f>
        <v>0.22063523809523811</v>
      </c>
      <c r="E29" s="167">
        <f t="shared" ref="E29:E34" si="11">+(1/E50)*$I$64*25*0.89</f>
        <v>2.9355413256000005E-4</v>
      </c>
      <c r="F29" s="167">
        <f t="shared" ref="F29:F34" si="12">+(1/E50)*$J$64*298*0.89</f>
        <v>3.4991652601152005E-3</v>
      </c>
      <c r="G29" s="167">
        <f t="shared" ref="G29:G34" si="13">(1/E50)*$H$76*0.11</f>
        <v>2.5467619047619048E-2</v>
      </c>
      <c r="H29" s="167">
        <f t="shared" ref="H29:H34" si="14">+(1/E50)*$I$76*25*0.11</f>
        <v>8.6846194285714254E-5</v>
      </c>
      <c r="I29" s="167">
        <f t="shared" ref="I29:I34" si="15">+(1/E50)*$J$76*298*0.11</f>
        <v>6.2112398153142852E-5</v>
      </c>
    </row>
    <row r="30" spans="3:15">
      <c r="C30" s="125" t="s">
        <v>232</v>
      </c>
      <c r="D30" s="167">
        <f t="shared" si="10"/>
        <v>0.25457912087912088</v>
      </c>
      <c r="E30" s="167">
        <f t="shared" si="11"/>
        <v>3.3871630679999998E-4</v>
      </c>
      <c r="F30" s="167">
        <f t="shared" si="12"/>
        <v>4.0374983770559997E-3</v>
      </c>
      <c r="G30" s="167">
        <f t="shared" si="13"/>
        <v>2.9385714285714282E-2</v>
      </c>
      <c r="H30" s="167">
        <f t="shared" si="14"/>
        <v>1.0020714725274724E-4</v>
      </c>
      <c r="I30" s="167">
        <f t="shared" si="15"/>
        <v>7.1668151715164824E-5</v>
      </c>
    </row>
    <row r="31" spans="3:15">
      <c r="C31" s="125" t="s">
        <v>233</v>
      </c>
      <c r="D31" s="167">
        <f t="shared" si="10"/>
        <v>0.41369107142857148</v>
      </c>
      <c r="E31" s="167">
        <f t="shared" si="11"/>
        <v>5.5041399854999999E-4</v>
      </c>
      <c r="F31" s="167">
        <f t="shared" si="12"/>
        <v>6.5609348627160002E-3</v>
      </c>
      <c r="G31" s="167">
        <f t="shared" si="13"/>
        <v>4.7751785714285712E-2</v>
      </c>
      <c r="H31" s="167">
        <f t="shared" si="14"/>
        <v>1.6283661428571423E-4</v>
      </c>
      <c r="I31" s="167">
        <f t="shared" si="15"/>
        <v>1.1646074653714286E-4</v>
      </c>
    </row>
    <row r="32" spans="3:15">
      <c r="C32" s="125" t="s">
        <v>234</v>
      </c>
      <c r="D32" s="167">
        <f t="shared" si="10"/>
        <v>0.41369107142857148</v>
      </c>
      <c r="E32" s="167">
        <f t="shared" si="11"/>
        <v>5.5041399854999999E-4</v>
      </c>
      <c r="F32" s="167">
        <f t="shared" si="12"/>
        <v>6.5609348627160002E-3</v>
      </c>
      <c r="G32" s="167">
        <f t="shared" si="13"/>
        <v>4.7751785714285712E-2</v>
      </c>
      <c r="H32" s="167">
        <f t="shared" si="14"/>
        <v>1.6283661428571423E-4</v>
      </c>
      <c r="I32" s="167">
        <f t="shared" si="15"/>
        <v>1.1646074653714286E-4</v>
      </c>
    </row>
    <row r="33" spans="3:9">
      <c r="C33" s="125" t="s">
        <v>235</v>
      </c>
      <c r="D33" s="167">
        <f t="shared" si="10"/>
        <v>0.68137352941176477</v>
      </c>
      <c r="E33" s="167">
        <f t="shared" si="11"/>
        <v>9.065642329058823E-4</v>
      </c>
      <c r="F33" s="167">
        <f t="shared" si="12"/>
        <v>1.0806245656238118E-2</v>
      </c>
      <c r="G33" s="167">
        <f t="shared" si="13"/>
        <v>7.8650000000000012E-2</v>
      </c>
      <c r="H33" s="167">
        <f t="shared" si="14"/>
        <v>2.6820148235294115E-4</v>
      </c>
      <c r="I33" s="167">
        <f t="shared" si="15"/>
        <v>1.9181770017882353E-4</v>
      </c>
    </row>
    <row r="34" spans="3:9">
      <c r="C34" s="125" t="s">
        <v>236</v>
      </c>
      <c r="D34" s="167">
        <f t="shared" si="10"/>
        <v>0.68137352941176477</v>
      </c>
      <c r="E34" s="167">
        <f t="shared" si="11"/>
        <v>9.065642329058823E-4</v>
      </c>
      <c r="F34" s="167">
        <f t="shared" si="12"/>
        <v>1.0806245656238118E-2</v>
      </c>
      <c r="G34" s="167">
        <f t="shared" si="13"/>
        <v>7.8650000000000012E-2</v>
      </c>
      <c r="H34" s="167">
        <f t="shared" si="14"/>
        <v>2.6820148235294115E-4</v>
      </c>
      <c r="I34" s="167">
        <f t="shared" si="15"/>
        <v>1.9181770017882353E-4</v>
      </c>
    </row>
    <row r="36" spans="3:9">
      <c r="C36" s="3" t="s">
        <v>11</v>
      </c>
      <c r="D36" t="s">
        <v>694</v>
      </c>
    </row>
    <row r="39" spans="3:9">
      <c r="C39" s="1" t="s">
        <v>12</v>
      </c>
    </row>
    <row r="42" spans="3:9" ht="15.6">
      <c r="C42" s="117" t="s">
        <v>212</v>
      </c>
      <c r="D42" s="118"/>
    </row>
    <row r="43" spans="3:9" ht="15">
      <c r="C43" s="119"/>
      <c r="D43" s="119"/>
    </row>
    <row r="44" spans="3:9">
      <c r="C44" s="120" t="s">
        <v>260</v>
      </c>
      <c r="D44" s="121"/>
      <c r="E44" s="122"/>
    </row>
    <row r="45" spans="3:9">
      <c r="C45" s="355" t="s">
        <v>213</v>
      </c>
      <c r="D45" s="355" t="s">
        <v>23</v>
      </c>
      <c r="E45" s="355" t="s">
        <v>214</v>
      </c>
    </row>
    <row r="46" spans="3:9">
      <c r="C46" s="124">
        <v>1</v>
      </c>
      <c r="D46" s="124">
        <v>2</v>
      </c>
      <c r="E46" s="124">
        <v>3</v>
      </c>
    </row>
    <row r="47" spans="3:9">
      <c r="C47" s="125" t="s">
        <v>225</v>
      </c>
      <c r="D47" s="502" t="s">
        <v>700</v>
      </c>
      <c r="E47" s="127">
        <v>9.9</v>
      </c>
    </row>
    <row r="48" spans="3:9">
      <c r="C48" s="125" t="s">
        <v>226</v>
      </c>
      <c r="D48" s="502"/>
      <c r="E48" s="127">
        <v>9.1</v>
      </c>
    </row>
    <row r="49" spans="2:10">
      <c r="C49" s="125" t="s">
        <v>227</v>
      </c>
      <c r="D49" s="502"/>
      <c r="E49" s="127">
        <v>6.2</v>
      </c>
    </row>
    <row r="50" spans="2:10">
      <c r="C50" s="125" t="s">
        <v>228</v>
      </c>
      <c r="D50" s="502"/>
      <c r="E50" s="127">
        <v>10.5</v>
      </c>
    </row>
    <row r="51" spans="2:10">
      <c r="C51" s="125" t="s">
        <v>232</v>
      </c>
      <c r="D51" s="502"/>
      <c r="E51" s="127">
        <v>9.1</v>
      </c>
    </row>
    <row r="52" spans="2:10">
      <c r="C52" s="125" t="s">
        <v>233</v>
      </c>
      <c r="D52" s="502"/>
      <c r="E52" s="127">
        <v>5.6</v>
      </c>
    </row>
    <row r="53" spans="2:10">
      <c r="C53" s="125" t="s">
        <v>234</v>
      </c>
      <c r="D53" s="502"/>
      <c r="E53" s="127">
        <v>5.6</v>
      </c>
    </row>
    <row r="54" spans="2:10">
      <c r="C54" s="125" t="s">
        <v>235</v>
      </c>
      <c r="D54" s="502"/>
      <c r="E54" s="127">
        <v>3.4</v>
      </c>
    </row>
    <row r="55" spans="2:10">
      <c r="C55" s="125" t="s">
        <v>236</v>
      </c>
      <c r="D55" s="503"/>
      <c r="E55" s="127">
        <v>3.4</v>
      </c>
    </row>
    <row r="56" spans="2:10">
      <c r="C56" s="128" t="s">
        <v>237</v>
      </c>
      <c r="D56" s="129"/>
      <c r="E56" s="129"/>
    </row>
    <row r="58" spans="2:10" ht="15.6">
      <c r="B58" s="130"/>
      <c r="C58" s="117" t="s">
        <v>238</v>
      </c>
      <c r="D58" s="118"/>
      <c r="E58" s="73"/>
      <c r="F58" s="73"/>
      <c r="G58" s="73"/>
      <c r="H58" s="73"/>
      <c r="I58" s="73"/>
      <c r="J58" s="73"/>
    </row>
    <row r="59" spans="2:10" ht="10.95" customHeight="1">
      <c r="B59" s="131"/>
      <c r="C59" s="132"/>
      <c r="D59" s="133"/>
      <c r="E59" s="133"/>
      <c r="F59" s="133"/>
      <c r="G59" s="133"/>
      <c r="H59" s="134"/>
      <c r="I59" s="135"/>
      <c r="J59" s="135"/>
    </row>
    <row r="60" spans="2:10">
      <c r="B60" s="136"/>
      <c r="C60" s="120" t="s">
        <v>261</v>
      </c>
      <c r="D60" s="120"/>
      <c r="E60" s="122"/>
      <c r="F60" s="122"/>
      <c r="G60" s="122"/>
      <c r="H60" s="122"/>
      <c r="I60" s="122"/>
      <c r="J60" s="122"/>
    </row>
    <row r="61" spans="2:10">
      <c r="B61" s="136"/>
      <c r="C61" s="508" t="s">
        <v>142</v>
      </c>
      <c r="D61" s="504" t="s">
        <v>23</v>
      </c>
      <c r="E61" s="354" t="s">
        <v>699</v>
      </c>
      <c r="F61" s="354" t="s">
        <v>145</v>
      </c>
      <c r="G61" s="504" t="s">
        <v>239</v>
      </c>
      <c r="H61" s="504" t="s">
        <v>240</v>
      </c>
      <c r="I61" s="504"/>
      <c r="J61" s="504"/>
    </row>
    <row r="62" spans="2:10" ht="26.4">
      <c r="B62" s="136"/>
      <c r="C62" s="508"/>
      <c r="D62" s="504"/>
      <c r="E62" s="354" t="s">
        <v>241</v>
      </c>
      <c r="F62" s="138" t="s">
        <v>242</v>
      </c>
      <c r="G62" s="504"/>
      <c r="H62" s="139" t="s">
        <v>243</v>
      </c>
      <c r="I62" s="140" t="s">
        <v>244</v>
      </c>
      <c r="J62" s="141" t="s">
        <v>245</v>
      </c>
    </row>
    <row r="63" spans="2:10" ht="26.4">
      <c r="B63" s="136"/>
      <c r="C63" s="142" t="s">
        <v>246</v>
      </c>
      <c r="D63" s="142" t="s">
        <v>140</v>
      </c>
      <c r="E63" s="143">
        <v>10400</v>
      </c>
      <c r="F63" s="144">
        <v>0.74199999999999999</v>
      </c>
      <c r="G63" s="145" t="s">
        <v>353</v>
      </c>
      <c r="H63" s="146">
        <v>2.2120000000000002</v>
      </c>
      <c r="I63" s="147">
        <f>25*F63*E63*4186.8/10^12</f>
        <v>8.0771745600000003E-4</v>
      </c>
      <c r="J63" s="148">
        <f>8*F63*E63*4186.8/10^12</f>
        <v>2.5846958592000001E-4</v>
      </c>
    </row>
    <row r="64" spans="2:10" ht="26.4">
      <c r="B64" s="136"/>
      <c r="C64" s="142" t="s">
        <v>247</v>
      </c>
      <c r="D64" s="142" t="s">
        <v>140</v>
      </c>
      <c r="E64" s="143">
        <v>10100</v>
      </c>
      <c r="F64" s="144">
        <v>0.84</v>
      </c>
      <c r="G64" s="145" t="s">
        <v>353</v>
      </c>
      <c r="H64" s="146">
        <v>2.6030000000000002</v>
      </c>
      <c r="I64" s="147">
        <f>3.9*F64*E64*4186.8/10^12</f>
        <v>1.3853116368000001E-4</v>
      </c>
      <c r="J64" s="148">
        <f>3.9*F64*E64*4186.8/10^12</f>
        <v>1.3853116368000001E-4</v>
      </c>
    </row>
    <row r="65" spans="2:10" ht="26.4">
      <c r="B65" s="136"/>
      <c r="C65" s="149" t="s">
        <v>248</v>
      </c>
      <c r="D65" s="142" t="s">
        <v>249</v>
      </c>
      <c r="E65" s="143">
        <v>8800</v>
      </c>
      <c r="F65" s="150" t="s">
        <v>217</v>
      </c>
      <c r="G65" s="145" t="s">
        <v>353</v>
      </c>
      <c r="H65" s="146">
        <v>1.9990000000000001</v>
      </c>
      <c r="I65" s="147">
        <f>92*E65*4186.8/10^12</f>
        <v>3.3896332800000002E-3</v>
      </c>
      <c r="J65" s="148">
        <f>3*E65*4186.8/10^12</f>
        <v>1.1053152E-4</v>
      </c>
    </row>
    <row r="66" spans="2:10" ht="26.4">
      <c r="B66" s="136"/>
      <c r="C66" s="149" t="s">
        <v>250</v>
      </c>
      <c r="D66" s="149" t="s">
        <v>17</v>
      </c>
      <c r="E66" s="151">
        <v>11100</v>
      </c>
      <c r="F66" s="152" t="s">
        <v>217</v>
      </c>
      <c r="G66" s="145" t="s">
        <v>353</v>
      </c>
      <c r="H66" s="153">
        <f>63100*E66*4186.8/10^12</f>
        <v>2.9324765880000001</v>
      </c>
      <c r="I66" s="147">
        <f>62*E66*4186.8/10^12</f>
        <v>2.8813557599999999E-3</v>
      </c>
      <c r="J66" s="148">
        <f>0.2*E66*4186.8/10^12</f>
        <v>9.294696E-6</v>
      </c>
    </row>
    <row r="67" spans="2:10" ht="26.4">
      <c r="B67" s="136"/>
      <c r="C67" s="142" t="s">
        <v>251</v>
      </c>
      <c r="D67" s="142" t="s">
        <v>140</v>
      </c>
      <c r="E67" s="143">
        <v>10400</v>
      </c>
      <c r="F67" s="144">
        <v>0.79900000000000004</v>
      </c>
      <c r="G67" s="145" t="s">
        <v>353</v>
      </c>
      <c r="H67" s="154">
        <f>3.15*F67</f>
        <v>2.5168500000000003</v>
      </c>
      <c r="I67" s="155">
        <f>0.02205/1000*F67</f>
        <v>1.7617950000000003E-5</v>
      </c>
      <c r="J67" s="148">
        <f>0.0882/1000*F67</f>
        <v>7.0471800000000012E-5</v>
      </c>
    </row>
    <row r="68" spans="2:10" ht="26.4">
      <c r="B68" s="136"/>
      <c r="C68" s="142" t="s">
        <v>252</v>
      </c>
      <c r="D68" s="142" t="s">
        <v>140</v>
      </c>
      <c r="E68" s="151">
        <v>10600</v>
      </c>
      <c r="F68" s="156">
        <v>0.72599999999999998</v>
      </c>
      <c r="G68" s="145" t="s">
        <v>353</v>
      </c>
      <c r="H68" s="154">
        <f>3.1*F68</f>
        <v>2.2505999999999999</v>
      </c>
      <c r="I68" s="155">
        <f>0.02215/1000*F68</f>
        <v>1.60809E-5</v>
      </c>
      <c r="J68" s="148">
        <f>0.0886/1000*F68</f>
        <v>6.4323600000000002E-5</v>
      </c>
    </row>
    <row r="69" spans="2:10" ht="26.4">
      <c r="B69" s="136"/>
      <c r="C69" s="142" t="s">
        <v>253</v>
      </c>
      <c r="D69" s="142" t="s">
        <v>140</v>
      </c>
      <c r="E69" s="143">
        <v>10120</v>
      </c>
      <c r="F69" s="144">
        <v>0.875</v>
      </c>
      <c r="G69" s="145" t="s">
        <v>353</v>
      </c>
      <c r="H69" s="153">
        <f>73300*F69*E69*4186.8/10^12</f>
        <v>2.7175325562000001</v>
      </c>
      <c r="I69" s="155">
        <v>1.3853116368000001E-4</v>
      </c>
      <c r="J69" s="148">
        <v>1.3853116368000001E-4</v>
      </c>
    </row>
    <row r="70" spans="2:10" ht="26.4">
      <c r="B70" s="136"/>
      <c r="C70" s="142" t="s">
        <v>254</v>
      </c>
      <c r="D70" s="142" t="s">
        <v>140</v>
      </c>
      <c r="E70" s="143">
        <v>9590</v>
      </c>
      <c r="F70" s="144">
        <v>1</v>
      </c>
      <c r="G70" s="145" t="s">
        <v>353</v>
      </c>
      <c r="H70" s="153">
        <v>3.1077192887999994</v>
      </c>
      <c r="I70" s="155">
        <v>4.0151411999999996E-4</v>
      </c>
      <c r="J70" s="148">
        <v>2.4090847199999995E-5</v>
      </c>
    </row>
    <row r="71" spans="2:10">
      <c r="B71" s="157"/>
      <c r="C71" s="158"/>
      <c r="D71" s="158"/>
      <c r="E71" s="158"/>
      <c r="F71" s="158"/>
      <c r="G71" s="158"/>
      <c r="H71" s="159"/>
      <c r="I71" s="159"/>
      <c r="J71" s="159"/>
    </row>
    <row r="72" spans="2:10">
      <c r="B72" s="157"/>
      <c r="C72" s="120" t="s">
        <v>262</v>
      </c>
      <c r="D72" s="158"/>
      <c r="E72" s="158"/>
      <c r="F72" s="158"/>
      <c r="G72" s="158"/>
      <c r="H72" s="160"/>
      <c r="I72" s="159"/>
      <c r="J72" s="159"/>
    </row>
    <row r="73" spans="2:10">
      <c r="B73" s="157"/>
      <c r="C73" s="508" t="s">
        <v>142</v>
      </c>
      <c r="D73" s="504" t="s">
        <v>23</v>
      </c>
      <c r="E73" s="354" t="s">
        <v>699</v>
      </c>
      <c r="F73" s="354" t="s">
        <v>145</v>
      </c>
      <c r="G73" s="504" t="s">
        <v>239</v>
      </c>
      <c r="H73" s="504" t="s">
        <v>240</v>
      </c>
      <c r="I73" s="504"/>
      <c r="J73" s="504"/>
    </row>
    <row r="74" spans="2:10" ht="26.4">
      <c r="B74" s="157"/>
      <c r="C74" s="508"/>
      <c r="D74" s="504"/>
      <c r="E74" s="354" t="s">
        <v>241</v>
      </c>
      <c r="F74" s="138" t="s">
        <v>242</v>
      </c>
      <c r="G74" s="504"/>
      <c r="H74" s="161" t="s">
        <v>255</v>
      </c>
      <c r="I74" s="162" t="s">
        <v>244</v>
      </c>
      <c r="J74" s="163" t="s">
        <v>245</v>
      </c>
    </row>
    <row r="75" spans="2:10" ht="26.4">
      <c r="B75" s="157"/>
      <c r="C75" s="142" t="s">
        <v>256</v>
      </c>
      <c r="D75" s="142" t="s">
        <v>140</v>
      </c>
      <c r="E75" s="143">
        <v>6300</v>
      </c>
      <c r="F75" s="144">
        <v>0.80900000000000005</v>
      </c>
      <c r="G75" s="213" t="s">
        <v>353</v>
      </c>
      <c r="H75" s="146">
        <v>1.4570000000000001</v>
      </c>
      <c r="I75" s="155">
        <v>3.8409954408000002E-4</v>
      </c>
      <c r="J75" s="148">
        <v>1.2803318136000002E-5</v>
      </c>
    </row>
    <row r="76" spans="2:10" ht="26.4">
      <c r="B76" s="157"/>
      <c r="C76" s="142" t="s">
        <v>257</v>
      </c>
      <c r="D76" s="142" t="s">
        <v>140</v>
      </c>
      <c r="E76" s="143">
        <v>9000</v>
      </c>
      <c r="F76" s="144">
        <v>0.88</v>
      </c>
      <c r="G76" s="213" t="s">
        <v>353</v>
      </c>
      <c r="H76" s="146">
        <v>2.431</v>
      </c>
      <c r="I76" s="155">
        <v>3.3159455999999993E-4</v>
      </c>
      <c r="J76" s="148">
        <v>1.9895673599999999E-5</v>
      </c>
    </row>
    <row r="77" spans="2:10" ht="26.4">
      <c r="B77" s="157"/>
      <c r="C77" s="142" t="s">
        <v>258</v>
      </c>
      <c r="D77" s="142" t="s">
        <v>140</v>
      </c>
      <c r="E77" s="143">
        <v>6750</v>
      </c>
      <c r="F77" s="144">
        <v>0.79100000000000004</v>
      </c>
      <c r="G77" s="213" t="s">
        <v>353</v>
      </c>
      <c r="H77" s="146">
        <v>1.526</v>
      </c>
      <c r="I77" s="155">
        <v>2.2354371899999998E-4</v>
      </c>
      <c r="J77" s="148">
        <v>1.3412623140000001E-5</v>
      </c>
    </row>
    <row r="78" spans="2:10">
      <c r="B78" s="164"/>
      <c r="C78" s="505" t="s">
        <v>259</v>
      </c>
      <c r="D78" s="506"/>
      <c r="E78" s="506"/>
      <c r="F78" s="507"/>
      <c r="G78" s="165"/>
      <c r="H78" s="166"/>
      <c r="I78" s="166"/>
      <c r="J78" s="166"/>
    </row>
  </sheetData>
  <mergeCells count="19">
    <mergeCell ref="M9:O9"/>
    <mergeCell ref="D10:D11"/>
    <mergeCell ref="L10:L11"/>
    <mergeCell ref="M10:O10"/>
    <mergeCell ref="C78:F78"/>
    <mergeCell ref="D23:F23"/>
    <mergeCell ref="G23:I23"/>
    <mergeCell ref="D47:D55"/>
    <mergeCell ref="C61:C62"/>
    <mergeCell ref="D61:D62"/>
    <mergeCell ref="G61:G62"/>
    <mergeCell ref="H61:J61"/>
    <mergeCell ref="B6:C6"/>
    <mergeCell ref="C73:C74"/>
    <mergeCell ref="D73:D74"/>
    <mergeCell ref="G73:G74"/>
    <mergeCell ref="H73:J73"/>
    <mergeCell ref="E9:G9"/>
    <mergeCell ref="H9:J9"/>
  </mergeCells>
  <hyperlinks>
    <hyperlink ref="C36" location="Referencias!A1" display="Referências" xr:uid="{59945CF9-FE45-CC4E-98FC-B3D0D235FD30}"/>
    <hyperlink ref="J6" location="Inicio!A1" display="Início" xr:uid="{EA382AD9-74DC-B84B-8F38-2EB66B24A382}"/>
  </hyperlinks>
  <pageMargins left="0.511811024" right="0.511811024" top="0.78740157499999996" bottom="0.78740157499999996" header="0.31496062000000002" footer="0.31496062000000002"/>
  <pageSetup paperSize="9" orientation="portrait" horizontalDpi="4294967292" verticalDpi="4294967292"/>
  <drawing r:id="rId1"/>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4CFA7-9D29-624C-B420-2C0A2C88B291}">
  <sheetPr>
    <tabColor theme="9" tint="0.59999389629810485"/>
  </sheetPr>
  <dimension ref="B6:O83"/>
  <sheetViews>
    <sheetView showGridLines="0" topLeftCell="D1" zoomScaleNormal="100" workbookViewId="0">
      <selection activeCell="K21" sqref="K21"/>
    </sheetView>
  </sheetViews>
  <sheetFormatPr defaultColWidth="8.77734375" defaultRowHeight="14.4"/>
  <cols>
    <col min="2" max="2" width="18.77734375" bestFit="1" customWidth="1"/>
    <col min="3" max="3" width="39.33203125" customWidth="1"/>
    <col min="4" max="4" width="20.109375" customWidth="1"/>
    <col min="5" max="5" width="14.44140625" bestFit="1" customWidth="1"/>
    <col min="6" max="6" width="11.109375" customWidth="1"/>
    <col min="7" max="8" width="9.109375" bestFit="1" customWidth="1"/>
    <col min="9" max="9" width="9.44140625" bestFit="1" customWidth="1"/>
    <col min="10" max="10" width="10.33203125" customWidth="1"/>
    <col min="11" max="11" width="14.109375" customWidth="1"/>
    <col min="12" max="12" width="31" customWidth="1"/>
    <col min="13" max="13" width="15.44140625" customWidth="1"/>
    <col min="14" max="14" width="32.109375" customWidth="1"/>
    <col min="15" max="15" width="33.44140625" customWidth="1"/>
    <col min="20" max="20" width="36.33203125" customWidth="1"/>
    <col min="21" max="21" width="16.6640625" bestFit="1" customWidth="1"/>
    <col min="22" max="22" width="37.6640625" bestFit="1" customWidth="1"/>
    <col min="23" max="23" width="64.6640625" bestFit="1" customWidth="1"/>
  </cols>
  <sheetData>
    <row r="6" spans="2:15" ht="23.4">
      <c r="B6" s="490" t="s">
        <v>722</v>
      </c>
      <c r="C6" s="490"/>
      <c r="J6" s="192" t="s">
        <v>299</v>
      </c>
    </row>
    <row r="8" spans="2:15">
      <c r="C8" s="1" t="s">
        <v>301</v>
      </c>
      <c r="L8" s="1" t="s">
        <v>300</v>
      </c>
    </row>
    <row r="9" spans="2:15">
      <c r="E9" s="509" t="s">
        <v>266</v>
      </c>
      <c r="F9" s="509"/>
      <c r="G9" s="509"/>
      <c r="H9" s="509" t="s">
        <v>267</v>
      </c>
      <c r="I9" s="509"/>
      <c r="J9" s="509"/>
      <c r="M9" s="491" t="s">
        <v>286</v>
      </c>
      <c r="N9" s="491"/>
      <c r="O9" s="491"/>
    </row>
    <row r="10" spans="2:15">
      <c r="C10" s="169" t="s">
        <v>213</v>
      </c>
      <c r="D10" s="510" t="s">
        <v>284</v>
      </c>
      <c r="E10" s="376" t="s">
        <v>263</v>
      </c>
      <c r="F10" s="376" t="s">
        <v>264</v>
      </c>
      <c r="G10" s="376" t="s">
        <v>265</v>
      </c>
      <c r="H10" s="376" t="s">
        <v>263</v>
      </c>
      <c r="I10" s="376" t="s">
        <v>264</v>
      </c>
      <c r="J10" s="376" t="s">
        <v>265</v>
      </c>
      <c r="L10" s="495" t="s">
        <v>213</v>
      </c>
      <c r="M10" s="492" t="s">
        <v>285</v>
      </c>
      <c r="N10" s="493"/>
      <c r="O10" s="494"/>
    </row>
    <row r="11" spans="2:15">
      <c r="C11" s="170">
        <v>1</v>
      </c>
      <c r="D11" s="498"/>
      <c r="E11" s="124"/>
      <c r="F11" s="124"/>
      <c r="G11" s="124"/>
      <c r="H11" s="124"/>
      <c r="I11" s="124"/>
      <c r="J11" s="124"/>
      <c r="L11" s="496"/>
      <c r="M11" s="173" t="s">
        <v>324</v>
      </c>
      <c r="N11" s="173" t="s">
        <v>288</v>
      </c>
      <c r="O11" s="173" t="s">
        <v>289</v>
      </c>
    </row>
    <row r="12" spans="2:15">
      <c r="C12" s="125" t="s">
        <v>215</v>
      </c>
      <c r="D12" s="174">
        <v>1</v>
      </c>
      <c r="E12" s="86">
        <f t="shared" ref="E12:J12" si="0">$D$12*D28</f>
        <v>0.14289911504424779</v>
      </c>
      <c r="F12" s="86">
        <f t="shared" si="0"/>
        <v>1.3044994311504426E-3</v>
      </c>
      <c r="G12" s="86">
        <f t="shared" si="0"/>
        <v>4.9758826301802474E-3</v>
      </c>
      <c r="H12" s="86">
        <f t="shared" si="0"/>
        <v>3.646194690265487E-2</v>
      </c>
      <c r="I12" s="86">
        <f t="shared" si="0"/>
        <v>1.3353275249999998E-4</v>
      </c>
      <c r="J12" s="86">
        <f t="shared" si="0"/>
        <v>9.5502624588000008E-5</v>
      </c>
      <c r="L12" s="182" t="s">
        <v>215</v>
      </c>
      <c r="M12" s="195">
        <f t="shared" ref="M12:M21" si="1">E12+(F12+I12)+(G12+J12)</f>
        <v>0.14940853248266647</v>
      </c>
      <c r="N12" s="180" t="s">
        <v>312</v>
      </c>
      <c r="O12" s="180" t="s">
        <v>290</v>
      </c>
    </row>
    <row r="13" spans="2:15">
      <c r="C13" s="125" t="s">
        <v>218</v>
      </c>
      <c r="D13" s="174">
        <v>1</v>
      </c>
      <c r="E13" s="86">
        <f t="shared" ref="E13:J13" si="2">$D$13*D29</f>
        <v>0.13235737704918035</v>
      </c>
      <c r="F13" s="86">
        <f t="shared" si="2"/>
        <v>1.2082658665573773E-3</v>
      </c>
      <c r="G13" s="86">
        <f t="shared" si="2"/>
        <v>4.6088093213964591E-3</v>
      </c>
      <c r="H13" s="86">
        <f t="shared" si="2"/>
        <v>3.377213114754099E-2</v>
      </c>
      <c r="I13" s="86">
        <f t="shared" si="2"/>
        <v>1.2368197567622953E-4</v>
      </c>
      <c r="J13" s="86">
        <f t="shared" si="2"/>
        <v>8.8457349003639367E-5</v>
      </c>
      <c r="L13" s="182" t="s">
        <v>218</v>
      </c>
      <c r="M13" s="195">
        <f t="shared" si="1"/>
        <v>0.13838659156181407</v>
      </c>
      <c r="N13" s="180" t="s">
        <v>312</v>
      </c>
      <c r="O13" s="180" t="s">
        <v>290</v>
      </c>
    </row>
    <row r="14" spans="2:15">
      <c r="C14" s="125" t="s">
        <v>219</v>
      </c>
      <c r="D14" s="174">
        <v>1</v>
      </c>
      <c r="E14" s="86">
        <f t="shared" ref="E14:J14" si="3">$D$14*D30</f>
        <v>0</v>
      </c>
      <c r="F14" s="86">
        <f t="shared" si="3"/>
        <v>0</v>
      </c>
      <c r="G14" s="86">
        <f t="shared" si="3"/>
        <v>0</v>
      </c>
      <c r="H14" s="86">
        <f t="shared" si="3"/>
        <v>0.17141176470588235</v>
      </c>
      <c r="I14" s="86">
        <f t="shared" si="3"/>
        <v>1.1297045414117646E-3</v>
      </c>
      <c r="J14" s="86">
        <f t="shared" si="3"/>
        <v>4.488692711209412E-4</v>
      </c>
      <c r="L14" s="182" t="s">
        <v>219</v>
      </c>
      <c r="M14" s="195">
        <f t="shared" si="1"/>
        <v>1.5785738125327058E-3</v>
      </c>
      <c r="N14" s="180" t="s">
        <v>312</v>
      </c>
      <c r="O14" s="180" t="s">
        <v>290</v>
      </c>
    </row>
    <row r="15" spans="2:15">
      <c r="C15" s="125" t="s">
        <v>220</v>
      </c>
      <c r="D15" s="174">
        <v>1</v>
      </c>
      <c r="E15" s="86">
        <f t="shared" ref="E15:J15" si="4">$D$15*D31</f>
        <v>0.16658333333333333</v>
      </c>
      <c r="F15" s="86">
        <f t="shared" si="4"/>
        <v>7.0617360000000007E-3</v>
      </c>
      <c r="G15" s="86">
        <f t="shared" si="4"/>
        <v>2.74486608E-3</v>
      </c>
      <c r="H15" s="86">
        <f t="shared" si="4"/>
        <v>0</v>
      </c>
      <c r="I15" s="86">
        <f t="shared" si="4"/>
        <v>0</v>
      </c>
      <c r="J15" s="86">
        <f t="shared" si="4"/>
        <v>0</v>
      </c>
      <c r="L15" s="182" t="s">
        <v>220</v>
      </c>
      <c r="M15" s="195">
        <f t="shared" si="1"/>
        <v>0.17638993541333334</v>
      </c>
      <c r="N15" s="180" t="s">
        <v>312</v>
      </c>
      <c r="O15" s="180" t="s">
        <v>290</v>
      </c>
    </row>
    <row r="16" spans="2:15">
      <c r="C16" s="125" t="s">
        <v>222</v>
      </c>
      <c r="D16" s="174">
        <v>1</v>
      </c>
      <c r="E16" s="86">
        <f t="shared" ref="E16:J16" si="5">$D$16*D32</f>
        <v>4.3419198709330468E-2</v>
      </c>
      <c r="F16" s="86">
        <f t="shared" si="5"/>
        <v>3.9636578574885723E-4</v>
      </c>
      <c r="G16" s="86">
        <f t="shared" si="5"/>
        <v>1.5118976531604412E-3</v>
      </c>
      <c r="H16" s="86">
        <f t="shared" si="5"/>
        <v>1.1078784619521378E-2</v>
      </c>
      <c r="I16" s="86">
        <f t="shared" si="5"/>
        <v>4.0573275161333693E-5</v>
      </c>
      <c r="J16" s="86">
        <f t="shared" si="5"/>
        <v>2.9018006395385864E-5</v>
      </c>
      <c r="L16" s="182" t="s">
        <v>222</v>
      </c>
      <c r="M16" s="195">
        <f t="shared" si="1"/>
        <v>4.539705342979649E-2</v>
      </c>
      <c r="N16" s="180" t="s">
        <v>312</v>
      </c>
      <c r="O16" s="180" t="s">
        <v>290</v>
      </c>
    </row>
    <row r="17" spans="3:15">
      <c r="C17" s="125" t="s">
        <v>223</v>
      </c>
      <c r="D17" s="174">
        <v>1</v>
      </c>
      <c r="E17" s="86">
        <f t="shared" ref="E17:J17" si="6">$D$17*D33</f>
        <v>3.7378703703703699E-2</v>
      </c>
      <c r="F17" s="86">
        <f t="shared" si="6"/>
        <v>3.4122323083333333E-4</v>
      </c>
      <c r="G17" s="86">
        <f t="shared" si="6"/>
        <v>1.3015618916906665E-3</v>
      </c>
      <c r="H17" s="86">
        <f t="shared" si="6"/>
        <v>9.5374999999999991E-3</v>
      </c>
      <c r="I17" s="86">
        <f t="shared" si="6"/>
        <v>3.4928706093749999E-5</v>
      </c>
      <c r="J17" s="86">
        <f t="shared" si="6"/>
        <v>2.498101059825E-5</v>
      </c>
      <c r="L17" s="182" t="s">
        <v>223</v>
      </c>
      <c r="M17" s="195">
        <f t="shared" si="1"/>
        <v>3.9081398542919699E-2</v>
      </c>
      <c r="N17" s="180" t="s">
        <v>312</v>
      </c>
      <c r="O17" s="180" t="s">
        <v>290</v>
      </c>
    </row>
    <row r="18" spans="3:15">
      <c r="C18" s="125" t="s">
        <v>224</v>
      </c>
      <c r="D18" s="174">
        <v>1</v>
      </c>
      <c r="E18" s="86">
        <f t="shared" ref="E18:J18" si="7">$D$18*D34</f>
        <v>0</v>
      </c>
      <c r="F18" s="86">
        <f t="shared" si="7"/>
        <v>0</v>
      </c>
      <c r="G18" s="86">
        <f t="shared" si="7"/>
        <v>0</v>
      </c>
      <c r="H18" s="86">
        <f t="shared" si="7"/>
        <v>4.9726962457337889E-2</v>
      </c>
      <c r="I18" s="86">
        <f t="shared" si="7"/>
        <v>3.277299864163823E-4</v>
      </c>
      <c r="J18" s="86">
        <f t="shared" si="7"/>
        <v>1.3021804793610924E-4</v>
      </c>
      <c r="L18" s="182" t="s">
        <v>224</v>
      </c>
      <c r="M18" s="195">
        <f t="shared" si="1"/>
        <v>4.5794803435249157E-4</v>
      </c>
      <c r="N18" s="180" t="s">
        <v>312</v>
      </c>
      <c r="O18" s="180" t="s">
        <v>290</v>
      </c>
    </row>
    <row r="19" spans="3:15">
      <c r="C19" s="125" t="s">
        <v>229</v>
      </c>
      <c r="D19" s="174">
        <v>1</v>
      </c>
      <c r="E19" s="86">
        <f t="shared" ref="E19:J19" si="8">$D$19*D35</f>
        <v>0.60965000000000003</v>
      </c>
      <c r="F19" s="86">
        <f t="shared" si="8"/>
        <v>8.1113641891578938E-4</v>
      </c>
      <c r="G19" s="86">
        <f t="shared" si="8"/>
        <v>9.6687461134762117E-3</v>
      </c>
      <c r="H19" s="86">
        <f t="shared" si="8"/>
        <v>7.0371052631578945E-2</v>
      </c>
      <c r="I19" s="86">
        <f t="shared" si="8"/>
        <v>2.3996974736842098E-4</v>
      </c>
      <c r="J19" s="86">
        <f t="shared" si="8"/>
        <v>1.7162636331789473E-4</v>
      </c>
      <c r="L19" s="182" t="s">
        <v>229</v>
      </c>
      <c r="M19" s="195">
        <f t="shared" si="1"/>
        <v>0.6205414786430784</v>
      </c>
      <c r="N19" s="180" t="s">
        <v>313</v>
      </c>
      <c r="O19" s="180" t="s">
        <v>290</v>
      </c>
    </row>
    <row r="20" spans="3:15">
      <c r="C20" s="125" t="s">
        <v>230</v>
      </c>
      <c r="D20" s="174">
        <v>1</v>
      </c>
      <c r="E20" s="86">
        <f t="shared" ref="E20:J20" si="9">$D$20*D36</f>
        <v>0.77222333333333337</v>
      </c>
      <c r="F20" s="86">
        <f t="shared" si="9"/>
        <v>1.02743946396E-3</v>
      </c>
      <c r="G20" s="86">
        <f t="shared" si="9"/>
        <v>1.2247078410403201E-2</v>
      </c>
      <c r="H20" s="86">
        <f t="shared" si="9"/>
        <v>8.913666666666667E-2</v>
      </c>
      <c r="I20" s="86">
        <f t="shared" si="9"/>
        <v>3.0396167999999988E-4</v>
      </c>
      <c r="J20" s="86">
        <f t="shared" si="9"/>
        <v>2.1739339353600001E-4</v>
      </c>
      <c r="L20" s="182" t="s">
        <v>230</v>
      </c>
      <c r="M20" s="195">
        <f t="shared" si="1"/>
        <v>0.78601920628123256</v>
      </c>
      <c r="N20" s="180" t="s">
        <v>314</v>
      </c>
      <c r="O20" s="180" t="s">
        <v>290</v>
      </c>
    </row>
    <row r="21" spans="3:15">
      <c r="C21" s="125" t="s">
        <v>231</v>
      </c>
      <c r="D21" s="174">
        <v>1</v>
      </c>
      <c r="E21" s="86">
        <f t="shared" ref="E21:J21" si="10">$D$21*D37</f>
        <v>1.0072478260869566</v>
      </c>
      <c r="F21" s="86">
        <f t="shared" si="10"/>
        <v>1.340138431252174E-3</v>
      </c>
      <c r="G21" s="86">
        <f t="shared" si="10"/>
        <v>1.5974450100525915E-2</v>
      </c>
      <c r="H21" s="86">
        <f t="shared" si="10"/>
        <v>0.11626521739130437</v>
      </c>
      <c r="I21" s="86">
        <f t="shared" si="10"/>
        <v>3.964717565217391E-4</v>
      </c>
      <c r="J21" s="86">
        <f t="shared" si="10"/>
        <v>2.8355660026434785E-4</v>
      </c>
      <c r="L21" s="182" t="s">
        <v>231</v>
      </c>
      <c r="M21" s="195">
        <f t="shared" si="1"/>
        <v>1.0252424429755207</v>
      </c>
      <c r="N21" s="180" t="s">
        <v>315</v>
      </c>
      <c r="O21" s="180" t="s">
        <v>290</v>
      </c>
    </row>
    <row r="22" spans="3:15">
      <c r="C22" s="125" t="s">
        <v>277</v>
      </c>
      <c r="D22" s="174">
        <v>1</v>
      </c>
      <c r="E22" s="86">
        <f>D22*D38/1000</f>
        <v>6.0000000000000001E-3</v>
      </c>
      <c r="F22" s="86" t="s">
        <v>279</v>
      </c>
      <c r="L22" s="182" t="s">
        <v>277</v>
      </c>
      <c r="M22" s="196">
        <v>6.0000000000000001E-3</v>
      </c>
      <c r="N22" s="384" t="s">
        <v>702</v>
      </c>
      <c r="O22" s="181" t="s">
        <v>290</v>
      </c>
    </row>
    <row r="23" spans="3:15">
      <c r="L23" s="182" t="s">
        <v>16</v>
      </c>
      <c r="M23" s="196">
        <f>SUM(M12:M22)</f>
        <v>2.9885031611772468</v>
      </c>
    </row>
    <row r="24" spans="3:15">
      <c r="C24" s="1" t="s">
        <v>354</v>
      </c>
    </row>
    <row r="25" spans="3:15">
      <c r="C25" s="168" t="s">
        <v>268</v>
      </c>
      <c r="D25" s="509" t="s">
        <v>266</v>
      </c>
      <c r="E25" s="509"/>
      <c r="F25" s="509"/>
      <c r="G25" s="509" t="s">
        <v>267</v>
      </c>
      <c r="H25" s="509"/>
      <c r="I25" s="509"/>
    </row>
    <row r="26" spans="3:15">
      <c r="C26" s="376" t="s">
        <v>213</v>
      </c>
      <c r="D26" s="376" t="s">
        <v>263</v>
      </c>
      <c r="E26" s="376" t="s">
        <v>264</v>
      </c>
      <c r="F26" s="376" t="s">
        <v>265</v>
      </c>
      <c r="G26" s="376" t="s">
        <v>263</v>
      </c>
      <c r="H26" s="376" t="s">
        <v>264</v>
      </c>
      <c r="I26" s="376" t="s">
        <v>265</v>
      </c>
    </row>
    <row r="27" spans="3:15">
      <c r="C27" s="124">
        <v>1</v>
      </c>
      <c r="D27" s="124"/>
      <c r="E27" s="124"/>
      <c r="F27" s="124"/>
      <c r="G27" s="124"/>
      <c r="H27" s="124"/>
      <c r="I27" s="124"/>
    </row>
    <row r="28" spans="3:15">
      <c r="C28" s="125" t="s">
        <v>215</v>
      </c>
      <c r="D28" s="167">
        <f>(1/E51)*$H$68*0.73</f>
        <v>0.14289911504424779</v>
      </c>
      <c r="E28" s="167">
        <f>+(1/E51)*$I$68*25*0.73</f>
        <v>1.3044994311504426E-3</v>
      </c>
      <c r="F28" s="167">
        <f>+(1/E51)*$J$68*298*0.73</f>
        <v>4.9758826301802474E-3</v>
      </c>
      <c r="G28" s="167">
        <f>(1/E51)*$H$82*0.27</f>
        <v>3.646194690265487E-2</v>
      </c>
      <c r="H28" s="167">
        <f>+(1/E51)*$I$82*25*0.27</f>
        <v>1.3353275249999998E-4</v>
      </c>
      <c r="I28" s="167">
        <f>+(1/E51)*$J$82*298*0.27</f>
        <v>9.5502624588000008E-5</v>
      </c>
    </row>
    <row r="29" spans="3:15">
      <c r="C29" s="125" t="s">
        <v>218</v>
      </c>
      <c r="D29" s="167">
        <f>(1/E52)*$H$68*0.73</f>
        <v>0.13235737704918035</v>
      </c>
      <c r="E29" s="167">
        <f>+(1/E52)*$I$68*25*0.73</f>
        <v>1.2082658665573773E-3</v>
      </c>
      <c r="F29" s="167">
        <f>+(1/E52)*$J$68*298*0.73</f>
        <v>4.6088093213964591E-3</v>
      </c>
      <c r="G29" s="167">
        <f>(1/E52)*$H$82*0.27</f>
        <v>3.377213114754099E-2</v>
      </c>
      <c r="H29" s="167">
        <f>+(1/E52)*$I$82*25*0.27</f>
        <v>1.2368197567622953E-4</v>
      </c>
      <c r="I29" s="167">
        <f>+(1/E52)*$J$82*298*0.27</f>
        <v>8.8457349003639367E-5</v>
      </c>
    </row>
    <row r="30" spans="3:15">
      <c r="C30" s="125" t="s">
        <v>219</v>
      </c>
      <c r="D30" s="167"/>
      <c r="E30" s="167"/>
      <c r="F30" s="167"/>
      <c r="G30" s="167">
        <f>(1/E53)*$H$80</f>
        <v>0.17141176470588235</v>
      </c>
      <c r="H30" s="167">
        <f>+(1/E53)*$I$80*25</f>
        <v>1.1297045414117646E-3</v>
      </c>
      <c r="I30" s="167">
        <f>+(1/E53)*$J$80*298</f>
        <v>4.488692711209412E-4</v>
      </c>
    </row>
    <row r="31" spans="3:15">
      <c r="C31" s="125" t="s">
        <v>220</v>
      </c>
      <c r="D31" s="167">
        <f>(1/E54)*$H$70</f>
        <v>0.16658333333333333</v>
      </c>
      <c r="E31" s="167">
        <f>+(1/E54)*$I$70*25</f>
        <v>7.0617360000000007E-3</v>
      </c>
      <c r="F31" s="167">
        <f>+(1/E54)*$J$70*298</f>
        <v>2.74486608E-3</v>
      </c>
      <c r="G31" s="167"/>
      <c r="H31" s="167"/>
      <c r="I31" s="167"/>
    </row>
    <row r="32" spans="3:15">
      <c r="C32" s="125" t="s">
        <v>222</v>
      </c>
      <c r="D32" s="167">
        <f>(1/E55)*$H$68*0.73</f>
        <v>4.3419198709330468E-2</v>
      </c>
      <c r="E32" s="167">
        <f>+(1/E55)*$I$68*25*0.73</f>
        <v>3.9636578574885723E-4</v>
      </c>
      <c r="F32" s="167">
        <f>+(1/E55)*$J$68*298*0.73</f>
        <v>1.5118976531604412E-3</v>
      </c>
      <c r="G32" s="167">
        <f>(1/E55)*$H$82*0.27</f>
        <v>1.1078784619521378E-2</v>
      </c>
      <c r="H32" s="167">
        <f>+(1/E55)*$I$82*25*0.27</f>
        <v>4.0573275161333693E-5</v>
      </c>
      <c r="I32" s="167">
        <f>+(1/E55)*$J$82*298*0.27</f>
        <v>2.9018006395385864E-5</v>
      </c>
    </row>
    <row r="33" spans="3:9">
      <c r="C33" s="125" t="s">
        <v>223</v>
      </c>
      <c r="D33" s="167">
        <f>(1/E56)*$H$68*0.73</f>
        <v>3.7378703703703699E-2</v>
      </c>
      <c r="E33" s="167">
        <f>+(1/E56)*$I$68*25*0.73</f>
        <v>3.4122323083333333E-4</v>
      </c>
      <c r="F33" s="167">
        <f>+(1/E56)*$J$68*298*0.73</f>
        <v>1.3015618916906665E-3</v>
      </c>
      <c r="G33" s="167">
        <f>(1/E56)*$H$82*0.27</f>
        <v>9.5374999999999991E-3</v>
      </c>
      <c r="H33" s="167">
        <f>+(1/E56)*$I$82*25*0.27</f>
        <v>3.4928706093749999E-5</v>
      </c>
      <c r="I33" s="167">
        <f>+(1/E56)*$J$82*298*0.27</f>
        <v>2.498101059825E-5</v>
      </c>
    </row>
    <row r="34" spans="3:9">
      <c r="C34" s="125" t="s">
        <v>224</v>
      </c>
      <c r="D34" s="167"/>
      <c r="E34" s="167"/>
      <c r="F34" s="167"/>
      <c r="G34" s="167">
        <f>(1/E57)*$H$80</f>
        <v>4.9726962457337889E-2</v>
      </c>
      <c r="H34" s="167">
        <f>+(1/E57)*$I$80*25</f>
        <v>3.277299864163823E-4</v>
      </c>
      <c r="I34" s="167">
        <f>+(1/E57)*$J$80*298</f>
        <v>1.3021804793610924E-4</v>
      </c>
    </row>
    <row r="35" spans="3:9">
      <c r="C35" s="125" t="s">
        <v>229</v>
      </c>
      <c r="D35" s="167">
        <f>(1/E58)*$H$69*0.89</f>
        <v>0.60965000000000003</v>
      </c>
      <c r="E35" s="167">
        <f>+(1/E58)*$I$69*25*0.89</f>
        <v>8.1113641891578938E-4</v>
      </c>
      <c r="F35" s="167">
        <f>+(1/E58)*$J$69*298*0.89</f>
        <v>9.6687461134762117E-3</v>
      </c>
      <c r="G35" s="167">
        <f>(1/E58)*$H$81*0.11</f>
        <v>7.0371052631578945E-2</v>
      </c>
      <c r="H35" s="167">
        <f>+(1/E58)*$I$81*25*0.11</f>
        <v>2.3996974736842098E-4</v>
      </c>
      <c r="I35" s="167">
        <f>+(1/E58)*$J$81*298*0.11</f>
        <v>1.7162636331789473E-4</v>
      </c>
    </row>
    <row r="36" spans="3:9">
      <c r="C36" s="125" t="s">
        <v>230</v>
      </c>
      <c r="D36" s="167">
        <f>(1/E59)*$H$69*0.89</f>
        <v>0.77222333333333337</v>
      </c>
      <c r="E36" s="167">
        <f>+(1/E59)*$I$69*25*0.89</f>
        <v>1.02743946396E-3</v>
      </c>
      <c r="F36" s="167">
        <f>+(1/E59)*$J$69*298*0.89</f>
        <v>1.2247078410403201E-2</v>
      </c>
      <c r="G36" s="167">
        <f>(1/E59)*$H$81*0.11</f>
        <v>8.913666666666667E-2</v>
      </c>
      <c r="H36" s="167">
        <f>+(1/E59)*$I$81*25*0.11</f>
        <v>3.0396167999999988E-4</v>
      </c>
      <c r="I36" s="167">
        <f>+(1/E59)*$J$81*298*0.11</f>
        <v>2.1739339353600001E-4</v>
      </c>
    </row>
    <row r="37" spans="3:9">
      <c r="C37" s="125" t="s">
        <v>231</v>
      </c>
      <c r="D37" s="167">
        <f>(1/E60)*$H$69*0.89</f>
        <v>1.0072478260869566</v>
      </c>
      <c r="E37" s="167">
        <f>+(1/E60)*$I$69*25*0.89</f>
        <v>1.340138431252174E-3</v>
      </c>
      <c r="F37" s="167">
        <f>+(1/E60)*$J$69*298*0.89</f>
        <v>1.5974450100525915E-2</v>
      </c>
      <c r="G37" s="167">
        <f>(1/E60)*$H$81*0.11</f>
        <v>0.11626521739130437</v>
      </c>
      <c r="H37" s="167">
        <f>+(1/E60)*$I$81*25*0.11</f>
        <v>3.964717565217391E-4</v>
      </c>
      <c r="I37" s="167">
        <f>+(1/E60)*$J$81*298*0.11</f>
        <v>2.8355660026434785E-4</v>
      </c>
    </row>
    <row r="38" spans="3:9">
      <c r="C38" s="125" t="s">
        <v>277</v>
      </c>
      <c r="D38" s="86">
        <v>6</v>
      </c>
      <c r="E38" s="86" t="s">
        <v>278</v>
      </c>
    </row>
    <row r="40" spans="3:9">
      <c r="C40" s="3" t="s">
        <v>11</v>
      </c>
      <c r="D40" t="s">
        <v>352</v>
      </c>
    </row>
    <row r="43" spans="3:9">
      <c r="C43" s="1" t="s">
        <v>12</v>
      </c>
    </row>
    <row r="46" spans="3:9" ht="15.6">
      <c r="C46" s="117" t="s">
        <v>212</v>
      </c>
      <c r="D46" s="118"/>
    </row>
    <row r="47" spans="3:9" ht="15">
      <c r="C47" s="119"/>
      <c r="D47" s="119"/>
    </row>
    <row r="48" spans="3:9">
      <c r="C48" s="120" t="s">
        <v>260</v>
      </c>
      <c r="D48" s="121"/>
      <c r="E48" s="122"/>
    </row>
    <row r="49" spans="2:10">
      <c r="C49" s="376" t="s">
        <v>213</v>
      </c>
      <c r="D49" s="376" t="s">
        <v>23</v>
      </c>
      <c r="E49" s="376" t="s">
        <v>214</v>
      </c>
    </row>
    <row r="50" spans="2:10">
      <c r="C50" s="124">
        <v>1</v>
      </c>
      <c r="D50" s="124">
        <v>2</v>
      </c>
      <c r="E50" s="124">
        <v>3</v>
      </c>
    </row>
    <row r="51" spans="2:10">
      <c r="C51" s="125" t="s">
        <v>215</v>
      </c>
      <c r="D51" s="511" t="s">
        <v>216</v>
      </c>
      <c r="E51" s="127">
        <v>11.3</v>
      </c>
    </row>
    <row r="52" spans="2:10">
      <c r="C52" s="125" t="s">
        <v>218</v>
      </c>
      <c r="D52" s="502"/>
      <c r="E52" s="127">
        <v>12.2</v>
      </c>
    </row>
    <row r="53" spans="2:10">
      <c r="C53" s="125" t="s">
        <v>219</v>
      </c>
      <c r="D53" s="503"/>
      <c r="E53" s="127">
        <v>8.5</v>
      </c>
    </row>
    <row r="54" spans="2:10">
      <c r="C54" s="125" t="s">
        <v>220</v>
      </c>
      <c r="D54" s="126" t="s">
        <v>221</v>
      </c>
      <c r="E54" s="127">
        <v>12</v>
      </c>
    </row>
    <row r="55" spans="2:10">
      <c r="C55" s="125" t="s">
        <v>222</v>
      </c>
      <c r="D55" s="511" t="s">
        <v>216</v>
      </c>
      <c r="E55" s="127">
        <v>37.19</v>
      </c>
    </row>
    <row r="56" spans="2:10">
      <c r="C56" s="125" t="s">
        <v>223</v>
      </c>
      <c r="D56" s="502"/>
      <c r="E56" s="127">
        <v>43.2</v>
      </c>
    </row>
    <row r="57" spans="2:10">
      <c r="C57" s="125" t="s">
        <v>224</v>
      </c>
      <c r="D57" s="502"/>
      <c r="E57" s="127">
        <v>29.3</v>
      </c>
    </row>
    <row r="58" spans="2:10">
      <c r="C58" s="125" t="s">
        <v>229</v>
      </c>
      <c r="D58" s="502"/>
      <c r="E58" s="127">
        <v>3.8</v>
      </c>
    </row>
    <row r="59" spans="2:10">
      <c r="C59" s="125" t="s">
        <v>230</v>
      </c>
      <c r="D59" s="502"/>
      <c r="E59" s="127">
        <v>3</v>
      </c>
    </row>
    <row r="60" spans="2:10">
      <c r="C60" s="125" t="s">
        <v>231</v>
      </c>
      <c r="D60" s="502"/>
      <c r="E60" s="127">
        <v>2.2999999999999998</v>
      </c>
    </row>
    <row r="61" spans="2:10">
      <c r="C61" s="128" t="s">
        <v>237</v>
      </c>
      <c r="D61" s="129"/>
      <c r="E61" s="129"/>
    </row>
    <row r="63" spans="2:10" ht="15.6">
      <c r="B63" s="130"/>
      <c r="C63" s="117" t="s">
        <v>238</v>
      </c>
      <c r="D63" s="118"/>
      <c r="E63" s="73"/>
      <c r="F63" s="73"/>
      <c r="G63" s="73"/>
      <c r="H63" s="73"/>
      <c r="I63" s="73"/>
      <c r="J63" s="73"/>
    </row>
    <row r="64" spans="2:10" ht="10.95" customHeight="1">
      <c r="B64" s="131"/>
      <c r="C64" s="132"/>
      <c r="D64" s="133"/>
      <c r="E64" s="133"/>
      <c r="F64" s="133"/>
      <c r="G64" s="133"/>
      <c r="H64" s="134"/>
      <c r="I64" s="135"/>
      <c r="J64" s="135"/>
    </row>
    <row r="65" spans="2:10">
      <c r="B65" s="136"/>
      <c r="C65" s="120" t="s">
        <v>261</v>
      </c>
      <c r="D65" s="120"/>
      <c r="E65" s="122"/>
      <c r="F65" s="122"/>
      <c r="G65" s="122"/>
      <c r="H65" s="122"/>
      <c r="I65" s="122"/>
      <c r="J65" s="122"/>
    </row>
    <row r="66" spans="2:10">
      <c r="B66" s="136"/>
      <c r="C66" s="508" t="s">
        <v>142</v>
      </c>
      <c r="D66" s="504" t="s">
        <v>23</v>
      </c>
      <c r="E66" s="375" t="s">
        <v>699</v>
      </c>
      <c r="F66" s="375" t="s">
        <v>145</v>
      </c>
      <c r="G66" s="504" t="s">
        <v>239</v>
      </c>
      <c r="H66" s="504" t="s">
        <v>240</v>
      </c>
      <c r="I66" s="504"/>
      <c r="J66" s="504"/>
    </row>
    <row r="67" spans="2:10" ht="26.4">
      <c r="B67" s="136"/>
      <c r="C67" s="508"/>
      <c r="D67" s="504"/>
      <c r="E67" s="375" t="s">
        <v>241</v>
      </c>
      <c r="F67" s="138" t="s">
        <v>242</v>
      </c>
      <c r="G67" s="504"/>
      <c r="H67" s="139" t="s">
        <v>243</v>
      </c>
      <c r="I67" s="140" t="s">
        <v>244</v>
      </c>
      <c r="J67" s="141" t="s">
        <v>245</v>
      </c>
    </row>
    <row r="68" spans="2:10" ht="26.4">
      <c r="B68" s="136"/>
      <c r="C68" s="142" t="s">
        <v>246</v>
      </c>
      <c r="D68" s="142" t="s">
        <v>140</v>
      </c>
      <c r="E68" s="143">
        <v>10400</v>
      </c>
      <c r="F68" s="144">
        <v>0.74199999999999999</v>
      </c>
      <c r="G68" s="145" t="s">
        <v>353</v>
      </c>
      <c r="H68" s="146">
        <v>2.2120000000000002</v>
      </c>
      <c r="I68" s="147">
        <f>25*F68*E68*4186.8/10^12</f>
        <v>8.0771745600000003E-4</v>
      </c>
      <c r="J68" s="148">
        <f>8*F68*E68*4186.8/10^12</f>
        <v>2.5846958592000001E-4</v>
      </c>
    </row>
    <row r="69" spans="2:10" ht="26.4">
      <c r="B69" s="136"/>
      <c r="C69" s="142" t="s">
        <v>247</v>
      </c>
      <c r="D69" s="142" t="s">
        <v>140</v>
      </c>
      <c r="E69" s="143">
        <v>10100</v>
      </c>
      <c r="F69" s="144">
        <v>0.84</v>
      </c>
      <c r="G69" s="145" t="s">
        <v>353</v>
      </c>
      <c r="H69" s="146">
        <v>2.6030000000000002</v>
      </c>
      <c r="I69" s="147">
        <f>3.9*F69*E69*4186.8/10^12</f>
        <v>1.3853116368000001E-4</v>
      </c>
      <c r="J69" s="148">
        <f>3.9*F69*E69*4186.8/10^12</f>
        <v>1.3853116368000001E-4</v>
      </c>
    </row>
    <row r="70" spans="2:10" ht="26.4">
      <c r="B70" s="136"/>
      <c r="C70" s="149" t="s">
        <v>248</v>
      </c>
      <c r="D70" s="142" t="s">
        <v>249</v>
      </c>
      <c r="E70" s="143">
        <v>8800</v>
      </c>
      <c r="F70" s="150" t="s">
        <v>217</v>
      </c>
      <c r="G70" s="145" t="s">
        <v>353</v>
      </c>
      <c r="H70" s="146">
        <v>1.9990000000000001</v>
      </c>
      <c r="I70" s="147">
        <f>92*E70*4186.8/10^12</f>
        <v>3.3896332800000002E-3</v>
      </c>
      <c r="J70" s="148">
        <f>3*E70*4186.8/10^12</f>
        <v>1.1053152E-4</v>
      </c>
    </row>
    <row r="71" spans="2:10" ht="26.4">
      <c r="B71" s="136"/>
      <c r="C71" s="149" t="s">
        <v>250</v>
      </c>
      <c r="D71" s="149" t="s">
        <v>17</v>
      </c>
      <c r="E71" s="151">
        <v>11100</v>
      </c>
      <c r="F71" s="152" t="s">
        <v>217</v>
      </c>
      <c r="G71" s="145" t="s">
        <v>353</v>
      </c>
      <c r="H71" s="153">
        <f>63100*E71*4186.8/10^12</f>
        <v>2.9324765880000001</v>
      </c>
      <c r="I71" s="147">
        <f>62*E71*4186.8/10^12</f>
        <v>2.8813557599999999E-3</v>
      </c>
      <c r="J71" s="148">
        <f>0.2*E71*4186.8/10^12</f>
        <v>9.294696E-6</v>
      </c>
    </row>
    <row r="72" spans="2:10" ht="26.4">
      <c r="B72" s="136"/>
      <c r="C72" s="142" t="s">
        <v>251</v>
      </c>
      <c r="D72" s="142" t="s">
        <v>140</v>
      </c>
      <c r="E72" s="143">
        <v>10400</v>
      </c>
      <c r="F72" s="144">
        <v>0.79900000000000004</v>
      </c>
      <c r="G72" s="145" t="s">
        <v>353</v>
      </c>
      <c r="H72" s="154">
        <f>3.15*F72</f>
        <v>2.5168500000000003</v>
      </c>
      <c r="I72" s="155">
        <f>0.02205/1000*F72</f>
        <v>1.7617950000000003E-5</v>
      </c>
      <c r="J72" s="148">
        <f>0.0882/1000*F72</f>
        <v>7.0471800000000012E-5</v>
      </c>
    </row>
    <row r="73" spans="2:10" ht="26.4">
      <c r="B73" s="136"/>
      <c r="C73" s="142" t="s">
        <v>252</v>
      </c>
      <c r="D73" s="142" t="s">
        <v>140</v>
      </c>
      <c r="E73" s="151">
        <v>10600</v>
      </c>
      <c r="F73" s="156">
        <v>0.72599999999999998</v>
      </c>
      <c r="G73" s="145" t="s">
        <v>353</v>
      </c>
      <c r="H73" s="154">
        <f>3.1*F73</f>
        <v>2.2505999999999999</v>
      </c>
      <c r="I73" s="155">
        <f>0.02215/1000*F73</f>
        <v>1.60809E-5</v>
      </c>
      <c r="J73" s="148">
        <f>0.0886/1000*F73</f>
        <v>6.4323600000000002E-5</v>
      </c>
    </row>
    <row r="74" spans="2:10" ht="26.4">
      <c r="B74" s="136"/>
      <c r="C74" s="142" t="s">
        <v>253</v>
      </c>
      <c r="D74" s="142" t="s">
        <v>140</v>
      </c>
      <c r="E74" s="143">
        <v>10120</v>
      </c>
      <c r="F74" s="144">
        <v>0.875</v>
      </c>
      <c r="G74" s="145" t="s">
        <v>353</v>
      </c>
      <c r="H74" s="153">
        <f>73300*F74*E74*4186.8/10^12</f>
        <v>2.7175325562000001</v>
      </c>
      <c r="I74" s="155">
        <v>1.3853116368000001E-4</v>
      </c>
      <c r="J74" s="148">
        <v>1.3853116368000001E-4</v>
      </c>
    </row>
    <row r="75" spans="2:10" ht="26.4">
      <c r="B75" s="136"/>
      <c r="C75" s="142" t="s">
        <v>254</v>
      </c>
      <c r="D75" s="142" t="s">
        <v>140</v>
      </c>
      <c r="E75" s="143">
        <v>9590</v>
      </c>
      <c r="F75" s="144">
        <v>1</v>
      </c>
      <c r="G75" s="145" t="s">
        <v>353</v>
      </c>
      <c r="H75" s="153">
        <v>3.1077192887999994</v>
      </c>
      <c r="I75" s="155">
        <v>4.0151411999999996E-4</v>
      </c>
      <c r="J75" s="148">
        <v>2.4090847199999995E-5</v>
      </c>
    </row>
    <row r="76" spans="2:10">
      <c r="B76" s="157"/>
      <c r="C76" s="158"/>
      <c r="D76" s="158"/>
      <c r="E76" s="158"/>
      <c r="F76" s="158"/>
      <c r="G76" s="158"/>
      <c r="H76" s="159"/>
      <c r="I76" s="159"/>
      <c r="J76" s="159"/>
    </row>
    <row r="77" spans="2:10">
      <c r="B77" s="157"/>
      <c r="C77" s="120" t="s">
        <v>262</v>
      </c>
      <c r="D77" s="158"/>
      <c r="E77" s="158"/>
      <c r="F77" s="158"/>
      <c r="G77" s="158"/>
      <c r="H77" s="160"/>
      <c r="I77" s="159"/>
      <c r="J77" s="159"/>
    </row>
    <row r="78" spans="2:10">
      <c r="B78" s="157"/>
      <c r="C78" s="508" t="s">
        <v>142</v>
      </c>
      <c r="D78" s="504" t="s">
        <v>23</v>
      </c>
      <c r="E78" s="375" t="s">
        <v>699</v>
      </c>
      <c r="F78" s="375" t="s">
        <v>145</v>
      </c>
      <c r="G78" s="504" t="s">
        <v>239</v>
      </c>
      <c r="H78" s="504" t="s">
        <v>240</v>
      </c>
      <c r="I78" s="504"/>
      <c r="J78" s="504"/>
    </row>
    <row r="79" spans="2:10" ht="26.4">
      <c r="B79" s="157"/>
      <c r="C79" s="508"/>
      <c r="D79" s="504"/>
      <c r="E79" s="375" t="s">
        <v>241</v>
      </c>
      <c r="F79" s="138" t="s">
        <v>242</v>
      </c>
      <c r="G79" s="504"/>
      <c r="H79" s="161" t="s">
        <v>255</v>
      </c>
      <c r="I79" s="162" t="s">
        <v>244</v>
      </c>
      <c r="J79" s="163" t="s">
        <v>245</v>
      </c>
    </row>
    <row r="80" spans="2:10" ht="26.4">
      <c r="B80" s="157"/>
      <c r="C80" s="142" t="s">
        <v>256</v>
      </c>
      <c r="D80" s="142" t="s">
        <v>140</v>
      </c>
      <c r="E80" s="143">
        <v>6300</v>
      </c>
      <c r="F80" s="144">
        <v>0.80900000000000005</v>
      </c>
      <c r="G80" s="213" t="s">
        <v>353</v>
      </c>
      <c r="H80" s="146">
        <v>1.4570000000000001</v>
      </c>
      <c r="I80" s="155">
        <v>3.8409954408000002E-4</v>
      </c>
      <c r="J80" s="148">
        <v>1.2803318136000002E-5</v>
      </c>
    </row>
    <row r="81" spans="2:10" ht="26.4">
      <c r="B81" s="157"/>
      <c r="C81" s="142" t="s">
        <v>257</v>
      </c>
      <c r="D81" s="142" t="s">
        <v>140</v>
      </c>
      <c r="E81" s="143">
        <v>9000</v>
      </c>
      <c r="F81" s="144">
        <v>0.88</v>
      </c>
      <c r="G81" s="213" t="s">
        <v>353</v>
      </c>
      <c r="H81" s="146">
        <v>2.431</v>
      </c>
      <c r="I81" s="155">
        <v>3.3159455999999993E-4</v>
      </c>
      <c r="J81" s="148">
        <v>1.9895673599999999E-5</v>
      </c>
    </row>
    <row r="82" spans="2:10" ht="26.4">
      <c r="B82" s="157"/>
      <c r="C82" s="142" t="s">
        <v>258</v>
      </c>
      <c r="D82" s="142" t="s">
        <v>140</v>
      </c>
      <c r="E82" s="143">
        <v>6750</v>
      </c>
      <c r="F82" s="144">
        <v>0.79100000000000004</v>
      </c>
      <c r="G82" s="213" t="s">
        <v>353</v>
      </c>
      <c r="H82" s="146">
        <v>1.526</v>
      </c>
      <c r="I82" s="155">
        <v>2.2354371899999998E-4</v>
      </c>
      <c r="J82" s="148">
        <v>1.3412623140000001E-5</v>
      </c>
    </row>
    <row r="83" spans="2:10">
      <c r="B83" s="164"/>
      <c r="C83" s="505" t="s">
        <v>259</v>
      </c>
      <c r="D83" s="506"/>
      <c r="E83" s="506"/>
      <c r="F83" s="507"/>
      <c r="G83" s="165"/>
      <c r="H83" s="166"/>
      <c r="I83" s="166"/>
      <c r="J83" s="166"/>
    </row>
  </sheetData>
  <mergeCells count="20">
    <mergeCell ref="M9:O9"/>
    <mergeCell ref="D10:D11"/>
    <mergeCell ref="L10:L11"/>
    <mergeCell ref="M10:O10"/>
    <mergeCell ref="C83:F83"/>
    <mergeCell ref="D25:F25"/>
    <mergeCell ref="G25:I25"/>
    <mergeCell ref="D51:D53"/>
    <mergeCell ref="D55:D60"/>
    <mergeCell ref="C66:C67"/>
    <mergeCell ref="D66:D67"/>
    <mergeCell ref="G66:G67"/>
    <mergeCell ref="H66:J66"/>
    <mergeCell ref="B6:C6"/>
    <mergeCell ref="C78:C79"/>
    <mergeCell ref="D78:D79"/>
    <mergeCell ref="G78:G79"/>
    <mergeCell ref="H78:J78"/>
    <mergeCell ref="E9:G9"/>
    <mergeCell ref="H9:J9"/>
  </mergeCells>
  <hyperlinks>
    <hyperlink ref="C40" location="Referencias!A1" display="Referências" xr:uid="{E2482B9F-CB05-9042-BBCF-BA17012A0EFB}"/>
    <hyperlink ref="J6" location="Inicio!A1" display="Início" xr:uid="{FB370F7C-C296-AF41-98B8-B9F5224F3B5E}"/>
  </hyperlinks>
  <pageMargins left="0.511811024" right="0.511811024" top="0.78740157499999996" bottom="0.78740157499999996" header="0.31496062000000002" footer="0.31496062000000002"/>
  <pageSetup paperSize="9" orientation="portrait" horizontalDpi="4294967292" verticalDpi="4294967292"/>
  <drawing r:id="rId1"/>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70C0"/>
  </sheetPr>
  <dimension ref="B6:AO66"/>
  <sheetViews>
    <sheetView showGridLines="0" zoomScaleNormal="100" workbookViewId="0">
      <selection activeCell="B6" sqref="B6"/>
    </sheetView>
  </sheetViews>
  <sheetFormatPr defaultColWidth="8.77734375" defaultRowHeight="14.4"/>
  <cols>
    <col min="2" max="2" width="23.44140625" bestFit="1" customWidth="1"/>
    <col min="3" max="3" width="15.109375" style="20" bestFit="1" customWidth="1"/>
    <col min="4" max="4" width="28.77734375" style="20" customWidth="1"/>
    <col min="5" max="5" width="25.77734375" style="20" bestFit="1" customWidth="1"/>
    <col min="6" max="6" width="19.109375" style="20" bestFit="1" customWidth="1"/>
    <col min="7" max="41" width="8.77734375" style="20"/>
  </cols>
  <sheetData>
    <row r="6" spans="2:41" ht="23.4">
      <c r="B6" s="105" t="s">
        <v>294</v>
      </c>
      <c r="H6" s="192" t="s">
        <v>299</v>
      </c>
      <c r="I6"/>
      <c r="J6"/>
      <c r="K6"/>
      <c r="L6"/>
      <c r="M6"/>
      <c r="N6"/>
      <c r="O6"/>
      <c r="P6"/>
      <c r="Q6"/>
      <c r="R6"/>
      <c r="S6"/>
      <c r="T6"/>
      <c r="U6"/>
      <c r="V6"/>
      <c r="W6"/>
      <c r="X6"/>
      <c r="Y6"/>
      <c r="Z6"/>
      <c r="AA6"/>
      <c r="AB6"/>
      <c r="AC6"/>
      <c r="AD6"/>
      <c r="AE6"/>
      <c r="AF6"/>
      <c r="AG6"/>
      <c r="AH6"/>
      <c r="AI6"/>
      <c r="AJ6"/>
      <c r="AK6"/>
      <c r="AL6"/>
      <c r="AM6"/>
      <c r="AN6"/>
      <c r="AO6"/>
    </row>
    <row r="7" spans="2:41" s="20" customFormat="1">
      <c r="D7" s="175" t="s">
        <v>728</v>
      </c>
      <c r="E7" s="175" t="s">
        <v>197</v>
      </c>
      <c r="F7" s="184" t="s">
        <v>604</v>
      </c>
      <c r="G7" s="43"/>
    </row>
    <row r="8" spans="2:41" s="20" customFormat="1">
      <c r="C8" s="84" t="s">
        <v>309</v>
      </c>
      <c r="D8" s="78">
        <v>1</v>
      </c>
      <c r="E8" s="92">
        <f>Energia!P37*(1+Energia!F11)</f>
        <v>7.0224532499999992E-2</v>
      </c>
      <c r="F8" s="185">
        <f>(D8/1000)*E8</f>
        <v>7.0224532499999997E-5</v>
      </c>
      <c r="G8" s="85"/>
    </row>
    <row r="9" spans="2:41" s="20" customFormat="1">
      <c r="C9" s="20">
        <v>1</v>
      </c>
      <c r="F9" s="87"/>
    </row>
    <row r="10" spans="2:41" s="20" customFormat="1"/>
    <row r="11" spans="2:41" s="20" customFormat="1">
      <c r="C11" s="186" t="s">
        <v>11</v>
      </c>
      <c r="D11" s="20" t="s">
        <v>295</v>
      </c>
    </row>
    <row r="12" spans="2:41" s="20" customFormat="1">
      <c r="D12" s="20" t="s">
        <v>350</v>
      </c>
    </row>
    <row r="13" spans="2:41" s="20" customFormat="1"/>
    <row r="14" spans="2:41" s="20" customFormat="1">
      <c r="C14" s="84" t="s">
        <v>12</v>
      </c>
      <c r="D14" s="20" t="s">
        <v>545</v>
      </c>
    </row>
    <row r="15" spans="2:41" s="20" customFormat="1"/>
    <row r="16" spans="2:41" s="20" customFormat="1">
      <c r="D16" s="57"/>
    </row>
    <row r="17" s="20" customFormat="1"/>
    <row r="18" s="20" customFormat="1"/>
    <row r="19" s="20" customFormat="1"/>
    <row r="20" s="20" customFormat="1"/>
    <row r="21" s="20" customFormat="1"/>
    <row r="22" s="20" customFormat="1"/>
    <row r="23" s="20" customFormat="1"/>
    <row r="24" s="20" customFormat="1"/>
    <row r="25" s="20" customFormat="1"/>
    <row r="26" s="20" customFormat="1"/>
    <row r="27" s="20" customFormat="1"/>
    <row r="28" s="20" customFormat="1"/>
    <row r="29" s="20" customFormat="1"/>
    <row r="30" s="20" customFormat="1"/>
    <row r="31" s="20" customFormat="1"/>
    <row r="32" s="20" customFormat="1"/>
    <row r="33" s="20" customFormat="1"/>
    <row r="34" s="20" customFormat="1"/>
    <row r="35" s="20" customFormat="1"/>
    <row r="36" s="20" customFormat="1"/>
    <row r="37" s="20" customFormat="1"/>
    <row r="38" s="20" customFormat="1"/>
    <row r="39" s="20" customFormat="1"/>
    <row r="40" s="20" customFormat="1"/>
    <row r="41" s="20" customFormat="1"/>
    <row r="42" s="20" customFormat="1"/>
    <row r="43" s="20" customFormat="1"/>
    <row r="44" s="20" customFormat="1"/>
    <row r="45" s="20" customFormat="1"/>
    <row r="46" s="20" customFormat="1"/>
    <row r="47" s="20" customFormat="1"/>
    <row r="48" s="20" customFormat="1"/>
    <row r="49" s="20" customFormat="1"/>
    <row r="50" s="20" customFormat="1"/>
    <row r="51" s="20" customFormat="1"/>
    <row r="52" s="20" customFormat="1"/>
    <row r="53" s="20" customFormat="1"/>
    <row r="54" s="20" customFormat="1"/>
    <row r="55" s="20" customFormat="1"/>
    <row r="56" s="20" customFormat="1"/>
    <row r="57" s="20" customFormat="1"/>
    <row r="58" s="20" customFormat="1"/>
    <row r="59" s="20" customFormat="1"/>
    <row r="60" s="20" customFormat="1"/>
    <row r="61" s="20" customFormat="1"/>
    <row r="62" s="20" customFormat="1"/>
    <row r="63" s="20" customFormat="1"/>
    <row r="64" s="20" customFormat="1"/>
    <row r="65" s="20" customFormat="1"/>
    <row r="66" s="20" customFormat="1"/>
  </sheetData>
  <hyperlinks>
    <hyperlink ref="C11" location="Referencias!A1" display="Referências" xr:uid="{00000000-0004-0000-0B00-000000000000}"/>
    <hyperlink ref="H6" location="Inicio!A1" display="Início" xr:uid="{00000000-0004-0000-0B00-000001000000}"/>
  </hyperlinks>
  <pageMargins left="0.75" right="0.75" top="1" bottom="1" header="0.5" footer="0.5"/>
  <drawing r:id="rId1"/>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108B0-7B89-E641-B618-AEB0A11667C9}">
  <sheetPr>
    <tabColor rgb="FF0070C0"/>
  </sheetPr>
  <dimension ref="B6:L89"/>
  <sheetViews>
    <sheetView showGridLines="0" topLeftCell="A13" zoomScaleNormal="100" workbookViewId="0">
      <selection activeCell="D16" sqref="D16:E16"/>
    </sheetView>
  </sheetViews>
  <sheetFormatPr defaultColWidth="11.5546875" defaultRowHeight="14.4"/>
  <cols>
    <col min="2" max="2" width="22" customWidth="1"/>
    <col min="3" max="3" width="35.6640625" customWidth="1"/>
    <col min="4" max="4" width="15" bestFit="1" customWidth="1"/>
    <col min="5" max="5" width="13" customWidth="1"/>
    <col min="7" max="7" width="12" customWidth="1"/>
    <col min="8" max="8" width="13.6640625" customWidth="1"/>
    <col min="9" max="9" width="11.33203125" customWidth="1"/>
    <col min="10" max="10" width="14.33203125" customWidth="1"/>
    <col min="11" max="11" width="11.6640625" customWidth="1"/>
  </cols>
  <sheetData>
    <row r="6" spans="2:12" ht="16.2">
      <c r="D6" s="298"/>
      <c r="E6" s="298"/>
    </row>
    <row r="7" spans="2:12" ht="23.4">
      <c r="B7" s="105" t="s">
        <v>680</v>
      </c>
      <c r="C7" s="105"/>
      <c r="D7" s="299"/>
      <c r="E7" s="299"/>
      <c r="H7" s="298"/>
      <c r="I7" s="192" t="s">
        <v>299</v>
      </c>
      <c r="J7" s="298"/>
      <c r="K7" s="298"/>
      <c r="L7" s="278"/>
    </row>
    <row r="8" spans="2:12">
      <c r="B8" s="299"/>
      <c r="C8" s="299"/>
      <c r="D8" s="299"/>
      <c r="E8" s="299"/>
      <c r="H8" s="299"/>
      <c r="I8" s="299"/>
      <c r="J8" s="299"/>
      <c r="K8" s="299"/>
      <c r="L8" s="299"/>
    </row>
    <row r="9" spans="2:12">
      <c r="B9" s="516" t="s">
        <v>593</v>
      </c>
      <c r="C9" s="516"/>
      <c r="D9" s="516"/>
      <c r="E9" s="516"/>
      <c r="G9" s="299"/>
      <c r="H9" s="299"/>
      <c r="I9" s="299"/>
      <c r="J9" s="299"/>
      <c r="K9" s="299"/>
      <c r="L9" s="299"/>
    </row>
    <row r="10" spans="2:12">
      <c r="B10" s="299"/>
      <c r="G10" s="299"/>
      <c r="H10" s="299"/>
      <c r="I10" s="299"/>
      <c r="J10" s="299"/>
      <c r="K10" s="299"/>
      <c r="L10" s="299"/>
    </row>
    <row r="11" spans="2:12" ht="15" customHeight="1">
      <c r="B11" s="519" t="s">
        <v>597</v>
      </c>
      <c r="C11" s="519"/>
      <c r="D11" s="519"/>
      <c r="E11" s="519"/>
      <c r="F11" s="299"/>
      <c r="G11" s="299"/>
      <c r="H11" s="299"/>
      <c r="I11" s="300"/>
      <c r="J11" s="300"/>
      <c r="K11" s="300"/>
      <c r="L11" s="301"/>
    </row>
    <row r="12" spans="2:12">
      <c r="B12" s="299"/>
      <c r="F12" s="302"/>
      <c r="G12" s="302"/>
    </row>
    <row r="13" spans="2:12" ht="15" customHeight="1">
      <c r="B13" s="299"/>
      <c r="C13" s="303"/>
      <c r="D13" s="304"/>
      <c r="E13" s="304"/>
      <c r="F13" s="302"/>
      <c r="G13" s="302"/>
    </row>
    <row r="14" spans="2:12" ht="43.2">
      <c r="B14" s="299"/>
      <c r="C14" s="521" t="s">
        <v>590</v>
      </c>
      <c r="D14" s="305" t="s">
        <v>589</v>
      </c>
      <c r="E14" s="327" t="s">
        <v>603</v>
      </c>
      <c r="F14" s="299"/>
      <c r="G14" s="306" t="s">
        <v>591</v>
      </c>
      <c r="H14" s="328" t="s">
        <v>602</v>
      </c>
      <c r="I14" s="327" t="s">
        <v>605</v>
      </c>
    </row>
    <row r="15" spans="2:12">
      <c r="B15" s="299"/>
      <c r="C15" s="521"/>
      <c r="D15" s="307" t="s">
        <v>273</v>
      </c>
      <c r="E15" s="308" t="s">
        <v>608</v>
      </c>
      <c r="F15" s="299"/>
      <c r="G15" s="307" t="s">
        <v>607</v>
      </c>
      <c r="H15" s="329" t="s">
        <v>601</v>
      </c>
      <c r="I15" s="308" t="s">
        <v>606</v>
      </c>
    </row>
    <row r="16" spans="2:12">
      <c r="B16" s="517" t="s">
        <v>594</v>
      </c>
      <c r="C16" s="313" t="s">
        <v>586</v>
      </c>
      <c r="D16" s="351"/>
      <c r="E16" s="351"/>
      <c r="F16" s="299"/>
      <c r="G16" s="317">
        <v>0.33200000000000002</v>
      </c>
      <c r="H16" s="317">
        <f>Energia!$P$37*(1+Energia!$F$11)</f>
        <v>7.0224532499999992E-2</v>
      </c>
      <c r="I16" s="330">
        <f>IF(D16="",0,(E16*H16)-(D16*G16))</f>
        <v>0</v>
      </c>
      <c r="L16" s="430"/>
    </row>
    <row r="17" spans="2:9">
      <c r="B17" s="517"/>
      <c r="C17" s="313" t="s">
        <v>587</v>
      </c>
      <c r="D17" s="351"/>
      <c r="E17" s="351"/>
      <c r="F17" s="299"/>
      <c r="G17" s="317">
        <v>0.33200000000000002</v>
      </c>
      <c r="H17" s="317">
        <f>Energia!$P$37*(1+Energia!$F$11)</f>
        <v>7.0224532499999992E-2</v>
      </c>
      <c r="I17" s="330">
        <f t="shared" ref="I17:I39" si="0">IF(D17="",0,(E17*H17)-(D17*G17))</f>
        <v>0</v>
      </c>
    </row>
    <row r="18" spans="2:9">
      <c r="B18" s="517"/>
      <c r="C18" s="313" t="s">
        <v>588</v>
      </c>
      <c r="D18" s="351"/>
      <c r="E18" s="351"/>
      <c r="F18" s="299"/>
      <c r="G18" s="317">
        <v>0.81</v>
      </c>
      <c r="H18" s="317">
        <f>Energia!$P$37*(1+Energia!$F$11)</f>
        <v>7.0224532499999992E-2</v>
      </c>
      <c r="I18" s="330">
        <f t="shared" si="0"/>
        <v>0</v>
      </c>
    </row>
    <row r="19" spans="2:9">
      <c r="B19" s="520" t="s">
        <v>600</v>
      </c>
      <c r="C19" s="353" t="s">
        <v>643</v>
      </c>
      <c r="D19" s="351"/>
      <c r="E19" s="351"/>
      <c r="F19" s="299"/>
      <c r="G19" s="317">
        <f t="shared" ref="G19:G39" si="1">E59/1000</f>
        <v>2.1293565891472865E-2</v>
      </c>
      <c r="H19" s="317">
        <f>Energia!$P$37*(1+Energia!$F$11)</f>
        <v>7.0224532499999992E-2</v>
      </c>
      <c r="I19" s="330">
        <f t="shared" si="0"/>
        <v>0</v>
      </c>
    </row>
    <row r="20" spans="2:9">
      <c r="B20" s="520"/>
      <c r="C20" s="353" t="s">
        <v>642</v>
      </c>
      <c r="D20" s="351"/>
      <c r="E20" s="351"/>
      <c r="F20" s="299"/>
      <c r="G20" s="317">
        <f t="shared" si="1"/>
        <v>2.1293565891472865E-2</v>
      </c>
      <c r="H20" s="317">
        <f>Energia!$P$37*(1+Energia!$F$11)</f>
        <v>7.0224532499999992E-2</v>
      </c>
      <c r="I20" s="330">
        <f t="shared" si="0"/>
        <v>0</v>
      </c>
    </row>
    <row r="21" spans="2:9">
      <c r="B21" s="520"/>
      <c r="C21" s="353" t="s">
        <v>644</v>
      </c>
      <c r="D21" s="351"/>
      <c r="E21" s="351"/>
      <c r="F21" s="299"/>
      <c r="G21" s="317">
        <f t="shared" si="1"/>
        <v>2.1293565891472865E-2</v>
      </c>
      <c r="H21" s="317">
        <f>Energia!$P$37*(1+Energia!$F$11)</f>
        <v>7.0224532499999992E-2</v>
      </c>
      <c r="I21" s="330">
        <f t="shared" si="0"/>
        <v>0</v>
      </c>
    </row>
    <row r="22" spans="2:9">
      <c r="B22" s="520" t="s">
        <v>538</v>
      </c>
      <c r="C22" s="353" t="s">
        <v>660</v>
      </c>
      <c r="D22" s="351"/>
      <c r="E22" s="351"/>
      <c r="F22" s="299"/>
      <c r="G22" s="317">
        <f t="shared" si="1"/>
        <v>2.1293565891472865E-2</v>
      </c>
      <c r="H22" s="317">
        <f>Energia!$P$37*(1+Energia!$F$11)</f>
        <v>7.0224532499999992E-2</v>
      </c>
      <c r="I22" s="330">
        <f t="shared" si="0"/>
        <v>0</v>
      </c>
    </row>
    <row r="23" spans="2:9">
      <c r="B23" s="520"/>
      <c r="C23" s="353" t="s">
        <v>637</v>
      </c>
      <c r="D23" s="351"/>
      <c r="E23" s="351"/>
      <c r="F23" s="299"/>
      <c r="G23" s="317">
        <f t="shared" si="1"/>
        <v>2.1293565891472865E-2</v>
      </c>
      <c r="H23" s="317">
        <f>Energia!$P$37*(1+Energia!$F$11)</f>
        <v>7.0224532499999992E-2</v>
      </c>
      <c r="I23" s="330">
        <f t="shared" si="0"/>
        <v>0</v>
      </c>
    </row>
    <row r="24" spans="2:9">
      <c r="B24" s="520"/>
      <c r="C24" s="353" t="s">
        <v>653</v>
      </c>
      <c r="D24" s="351"/>
      <c r="E24" s="351"/>
      <c r="F24" s="299"/>
      <c r="G24" s="317">
        <f t="shared" si="1"/>
        <v>2.1293565891472865E-2</v>
      </c>
      <c r="H24" s="317">
        <f>Energia!$P$37*(1+Energia!$F$11)</f>
        <v>7.0224532499999992E-2</v>
      </c>
      <c r="I24" s="330">
        <f t="shared" si="0"/>
        <v>0</v>
      </c>
    </row>
    <row r="25" spans="2:9">
      <c r="B25" s="520"/>
      <c r="C25" s="353" t="s">
        <v>638</v>
      </c>
      <c r="D25" s="351"/>
      <c r="E25" s="351"/>
      <c r="F25" s="299"/>
      <c r="G25" s="317">
        <f t="shared" si="1"/>
        <v>2.1293565891472865E-2</v>
      </c>
      <c r="H25" s="317">
        <f>Energia!$P$37*(1+Energia!$F$11)</f>
        <v>7.0224532499999992E-2</v>
      </c>
      <c r="I25" s="330">
        <f t="shared" si="0"/>
        <v>0</v>
      </c>
    </row>
    <row r="26" spans="2:9">
      <c r="B26" s="520" t="s">
        <v>595</v>
      </c>
      <c r="C26" s="353" t="s">
        <v>639</v>
      </c>
      <c r="D26" s="351"/>
      <c r="E26" s="351"/>
      <c r="F26" s="299"/>
      <c r="G26" s="317">
        <f t="shared" si="1"/>
        <v>2.1293565891472899E-2</v>
      </c>
      <c r="H26" s="317">
        <f>Energia!$P$37*(1+Energia!$F$11)</f>
        <v>7.0224532499999992E-2</v>
      </c>
      <c r="I26" s="330">
        <f t="shared" si="0"/>
        <v>0</v>
      </c>
    </row>
    <row r="27" spans="2:9">
      <c r="B27" s="520"/>
      <c r="C27" s="353" t="s">
        <v>640</v>
      </c>
      <c r="D27" s="351"/>
      <c r="E27" s="351"/>
      <c r="F27" s="299"/>
      <c r="G27" s="317">
        <f t="shared" si="1"/>
        <v>2.1293565891472899E-2</v>
      </c>
      <c r="H27" s="317">
        <f>Energia!$P$37*(1+Energia!$F$11)</f>
        <v>7.0224532499999992E-2</v>
      </c>
      <c r="I27" s="330">
        <f t="shared" si="0"/>
        <v>0</v>
      </c>
    </row>
    <row r="28" spans="2:9">
      <c r="B28" s="520"/>
      <c r="C28" s="353" t="s">
        <v>641</v>
      </c>
      <c r="D28" s="351"/>
      <c r="E28" s="351"/>
      <c r="F28" s="299"/>
      <c r="G28" s="317">
        <f t="shared" si="1"/>
        <v>2.1293565891472899E-2</v>
      </c>
      <c r="H28" s="317">
        <f>Energia!$P$37*(1+Energia!$F$11)</f>
        <v>7.0224532499999992E-2</v>
      </c>
      <c r="I28" s="330">
        <f t="shared" si="0"/>
        <v>0</v>
      </c>
    </row>
    <row r="29" spans="2:9">
      <c r="B29" s="520"/>
      <c r="C29" s="353" t="s">
        <v>662</v>
      </c>
      <c r="D29" s="351"/>
      <c r="E29" s="351"/>
      <c r="F29" s="299"/>
      <c r="G29" s="317">
        <f t="shared" si="1"/>
        <v>2.1293565891472899E-2</v>
      </c>
      <c r="H29" s="317">
        <f>Energia!$P$37*(1+Energia!$F$11)</f>
        <v>7.0224532499999992E-2</v>
      </c>
      <c r="I29" s="330">
        <f t="shared" si="0"/>
        <v>0</v>
      </c>
    </row>
    <row r="30" spans="2:9">
      <c r="B30" s="520"/>
      <c r="C30" s="353" t="s">
        <v>661</v>
      </c>
      <c r="D30" s="351"/>
      <c r="E30" s="351"/>
      <c r="F30" s="299"/>
      <c r="G30" s="317">
        <f t="shared" si="1"/>
        <v>2.1293565891472899E-2</v>
      </c>
      <c r="H30" s="317">
        <f>Energia!$P$37*(1+Energia!$F$11)</f>
        <v>7.0224532499999992E-2</v>
      </c>
      <c r="I30" s="330">
        <f t="shared" si="0"/>
        <v>0</v>
      </c>
    </row>
    <row r="31" spans="2:9">
      <c r="B31" s="520"/>
      <c r="C31" s="353" t="s">
        <v>663</v>
      </c>
      <c r="D31" s="351"/>
      <c r="E31" s="351"/>
      <c r="F31" s="299"/>
      <c r="G31" s="317">
        <f t="shared" si="1"/>
        <v>2.1293565891472899E-2</v>
      </c>
      <c r="H31" s="317">
        <f>Energia!$P$37*(1+Energia!$F$11)</f>
        <v>7.0224532499999992E-2</v>
      </c>
      <c r="I31" s="330">
        <f t="shared" si="0"/>
        <v>0</v>
      </c>
    </row>
    <row r="32" spans="2:9">
      <c r="B32" s="520"/>
      <c r="C32" s="353" t="s">
        <v>664</v>
      </c>
      <c r="D32" s="351"/>
      <c r="E32" s="351"/>
      <c r="F32" s="299"/>
      <c r="G32" s="317">
        <f t="shared" si="1"/>
        <v>2.1293565891472899E-2</v>
      </c>
      <c r="H32" s="317">
        <f>Energia!$P$37*(1+Energia!$F$11)</f>
        <v>7.0224532499999992E-2</v>
      </c>
      <c r="I32" s="330">
        <f t="shared" si="0"/>
        <v>0</v>
      </c>
    </row>
    <row r="33" spans="2:9">
      <c r="B33" s="520"/>
      <c r="C33" s="353" t="s">
        <v>665</v>
      </c>
      <c r="D33" s="351"/>
      <c r="E33" s="351"/>
      <c r="F33" s="299"/>
      <c r="G33" s="317">
        <f t="shared" si="1"/>
        <v>2.1293565891472899E-2</v>
      </c>
      <c r="H33" s="317">
        <f>Energia!$P$37*(1+Energia!$F$11)</f>
        <v>7.0224532499999992E-2</v>
      </c>
      <c r="I33" s="330">
        <f t="shared" si="0"/>
        <v>0</v>
      </c>
    </row>
    <row r="34" spans="2:9">
      <c r="B34" s="520"/>
      <c r="C34" s="353" t="s">
        <v>666</v>
      </c>
      <c r="D34" s="351"/>
      <c r="E34" s="351"/>
      <c r="F34" s="299"/>
      <c r="G34" s="317">
        <f t="shared" si="1"/>
        <v>2.1293565891472899E-2</v>
      </c>
      <c r="H34" s="317">
        <f>Energia!$P$37*(1+Energia!$F$11)</f>
        <v>7.0224532499999992E-2</v>
      </c>
      <c r="I34" s="330">
        <f t="shared" si="0"/>
        <v>0</v>
      </c>
    </row>
    <row r="35" spans="2:9">
      <c r="B35" s="520" t="s">
        <v>272</v>
      </c>
      <c r="C35" s="311" t="s">
        <v>631</v>
      </c>
      <c r="D35" s="351"/>
      <c r="E35" s="351"/>
      <c r="F35" s="299"/>
      <c r="G35" s="317">
        <f t="shared" si="1"/>
        <v>2.1293565891472899E-2</v>
      </c>
      <c r="H35" s="317">
        <f>Energia!$P$37*(1+Energia!$F$11)</f>
        <v>7.0224532499999992E-2</v>
      </c>
      <c r="I35" s="330">
        <f t="shared" si="0"/>
        <v>0</v>
      </c>
    </row>
    <row r="36" spans="2:9">
      <c r="B36" s="520"/>
      <c r="C36" s="311" t="s">
        <v>630</v>
      </c>
      <c r="D36" s="351"/>
      <c r="E36" s="351"/>
      <c r="F36" s="299"/>
      <c r="G36" s="317">
        <f t="shared" si="1"/>
        <v>2.1293565891472899E-2</v>
      </c>
      <c r="H36" s="317">
        <f>Energia!$P$37*(1+Energia!$F$11)</f>
        <v>7.0224532499999992E-2</v>
      </c>
      <c r="I36" s="330">
        <f t="shared" si="0"/>
        <v>0</v>
      </c>
    </row>
    <row r="37" spans="2:9">
      <c r="B37" s="520"/>
      <c r="C37" s="311" t="s">
        <v>629</v>
      </c>
      <c r="D37" s="351"/>
      <c r="E37" s="351"/>
      <c r="F37" s="299"/>
      <c r="G37" s="317">
        <f t="shared" si="1"/>
        <v>2.1293565891472899E-2</v>
      </c>
      <c r="H37" s="317">
        <f>Energia!$P$37*(1+Energia!$F$11)</f>
        <v>7.0224532499999992E-2</v>
      </c>
      <c r="I37" s="330">
        <f t="shared" si="0"/>
        <v>0</v>
      </c>
    </row>
    <row r="38" spans="2:9">
      <c r="B38" s="312" t="s">
        <v>670</v>
      </c>
      <c r="C38" s="311" t="s">
        <v>667</v>
      </c>
      <c r="D38" s="351"/>
      <c r="E38" s="351"/>
      <c r="F38" s="299"/>
      <c r="G38" s="317">
        <f t="shared" si="1"/>
        <v>2.1293565891472899E-2</v>
      </c>
      <c r="H38" s="317">
        <f>Energia!$P$37*(1+Energia!$F$11)</f>
        <v>7.0224532499999992E-2</v>
      </c>
      <c r="I38" s="330">
        <f t="shared" si="0"/>
        <v>0</v>
      </c>
    </row>
    <row r="39" spans="2:9">
      <c r="B39" s="312" t="s">
        <v>584</v>
      </c>
      <c r="C39" s="311" t="s">
        <v>668</v>
      </c>
      <c r="D39" s="351"/>
      <c r="E39" s="351"/>
      <c r="F39" s="299"/>
      <c r="G39" s="317">
        <f t="shared" si="1"/>
        <v>2.1293565891472899E-2</v>
      </c>
      <c r="H39" s="317">
        <f>Energia!$P$37*(1+Energia!$F$11)</f>
        <v>7.0224532499999992E-2</v>
      </c>
      <c r="I39" s="330">
        <f t="shared" si="0"/>
        <v>0</v>
      </c>
    </row>
    <row r="40" spans="2:9">
      <c r="F40" s="309"/>
      <c r="G40" s="309"/>
      <c r="H40" s="309"/>
      <c r="I40" s="309"/>
    </row>
    <row r="41" spans="2:9">
      <c r="B41" s="512" t="s">
        <v>16</v>
      </c>
      <c r="C41" s="512"/>
      <c r="D41" s="352">
        <f>SUM(D16:D39)</f>
        <v>0</v>
      </c>
      <c r="E41" s="352">
        <f>SUM(E16:E39)</f>
        <v>0</v>
      </c>
      <c r="F41" s="309"/>
      <c r="G41" s="309"/>
      <c r="H41" s="309"/>
      <c r="I41" s="309"/>
    </row>
    <row r="42" spans="2:9" ht="15" thickBot="1">
      <c r="B42" s="299"/>
      <c r="C42" s="299"/>
      <c r="D42" s="299"/>
      <c r="E42" s="299"/>
      <c r="F42" s="299"/>
      <c r="G42" s="299"/>
      <c r="H42" s="299"/>
      <c r="I42" s="299"/>
    </row>
    <row r="43" spans="2:9" ht="15" thickBot="1">
      <c r="B43" s="299"/>
      <c r="C43" s="513" t="s">
        <v>609</v>
      </c>
      <c r="D43" s="514"/>
      <c r="E43" s="514"/>
      <c r="F43" s="514"/>
      <c r="G43" s="514"/>
      <c r="H43" s="310"/>
      <c r="I43" s="331">
        <f>IF(SUM(I16:I39)=0,0,SUM(I16:I39))</f>
        <v>0</v>
      </c>
    </row>
    <row r="44" spans="2:9" ht="15" thickBot="1">
      <c r="C44" s="513" t="s">
        <v>619</v>
      </c>
      <c r="D44" s="514"/>
      <c r="E44" s="514"/>
      <c r="F44" s="514"/>
      <c r="G44" s="514"/>
      <c r="H44" s="310"/>
      <c r="I44" s="331">
        <f>IF(D41=0,0,(I43/D41))</f>
        <v>0</v>
      </c>
    </row>
    <row r="45" spans="2:9" ht="15" thickBot="1">
      <c r="C45" s="513" t="s">
        <v>620</v>
      </c>
      <c r="D45" s="514"/>
      <c r="E45" s="514"/>
      <c r="F45" s="514"/>
      <c r="G45" s="514"/>
      <c r="H45" s="310"/>
      <c r="I45" s="331">
        <f>IF(E41=0,0,(I44/E41))</f>
        <v>0</v>
      </c>
    </row>
    <row r="47" spans="2:9">
      <c r="B47" t="s">
        <v>669</v>
      </c>
    </row>
    <row r="49" spans="2:5">
      <c r="E49" s="332" t="s">
        <v>585</v>
      </c>
    </row>
    <row r="50" spans="2:5">
      <c r="B50" s="6"/>
      <c r="C50" s="6"/>
      <c r="D50" s="6"/>
      <c r="E50" s="314" t="s">
        <v>596</v>
      </c>
    </row>
    <row r="51" spans="2:5">
      <c r="B51" s="6"/>
      <c r="C51" s="6"/>
      <c r="D51" s="325" t="s">
        <v>23</v>
      </c>
      <c r="E51" s="315" t="s">
        <v>607</v>
      </c>
    </row>
    <row r="52" spans="2:5">
      <c r="B52" s="518" t="s">
        <v>594</v>
      </c>
      <c r="C52" s="316" t="s">
        <v>586</v>
      </c>
      <c r="D52" s="325" t="s">
        <v>273</v>
      </c>
      <c r="E52" s="317">
        <v>0.33200000000000002</v>
      </c>
    </row>
    <row r="53" spans="2:5">
      <c r="B53" s="518"/>
      <c r="C53" s="316" t="s">
        <v>587</v>
      </c>
      <c r="D53" s="325" t="s">
        <v>273</v>
      </c>
      <c r="E53" s="317">
        <v>0.33200000000000002</v>
      </c>
    </row>
    <row r="54" spans="2:5">
      <c r="B54" s="518"/>
      <c r="C54" s="316" t="s">
        <v>588</v>
      </c>
      <c r="D54" s="325" t="s">
        <v>273</v>
      </c>
      <c r="E54" s="317">
        <v>0.81</v>
      </c>
    </row>
    <row r="56" spans="2:5">
      <c r="B56" t="s">
        <v>579</v>
      </c>
    </row>
    <row r="57" spans="2:5">
      <c r="E57" s="326" t="s">
        <v>585</v>
      </c>
    </row>
    <row r="58" spans="2:5" ht="16.2">
      <c r="B58" s="318" t="s">
        <v>582</v>
      </c>
      <c r="C58" s="318" t="s">
        <v>269</v>
      </c>
      <c r="D58" s="319" t="s">
        <v>23</v>
      </c>
      <c r="E58" s="315" t="s">
        <v>610</v>
      </c>
    </row>
    <row r="59" spans="2:5">
      <c r="B59" s="515" t="s">
        <v>600</v>
      </c>
      <c r="C59" s="353" t="s">
        <v>643</v>
      </c>
      <c r="D59" s="320" t="s">
        <v>273</v>
      </c>
      <c r="E59" s="321">
        <v>21.293565891472866</v>
      </c>
    </row>
    <row r="60" spans="2:5">
      <c r="B60" s="515"/>
      <c r="C60" s="353" t="s">
        <v>642</v>
      </c>
      <c r="D60" s="320" t="s">
        <v>273</v>
      </c>
      <c r="E60" s="321">
        <v>21.293565891472866</v>
      </c>
    </row>
    <row r="61" spans="2:5">
      <c r="B61" s="515"/>
      <c r="C61" s="353" t="s">
        <v>644</v>
      </c>
      <c r="D61" s="320" t="s">
        <v>273</v>
      </c>
      <c r="E61" s="321">
        <v>21.293565891472866</v>
      </c>
    </row>
    <row r="62" spans="2:5">
      <c r="B62" s="515" t="s">
        <v>538</v>
      </c>
      <c r="C62" s="353" t="s">
        <v>660</v>
      </c>
      <c r="D62" s="320" t="s">
        <v>273</v>
      </c>
      <c r="E62" s="321">
        <v>21.293565891472866</v>
      </c>
    </row>
    <row r="63" spans="2:5">
      <c r="B63" s="515"/>
      <c r="C63" s="353" t="s">
        <v>637</v>
      </c>
      <c r="D63" s="320" t="s">
        <v>273</v>
      </c>
      <c r="E63" s="321">
        <v>21.293565891472866</v>
      </c>
    </row>
    <row r="64" spans="2:5" ht="16.95" customHeight="1">
      <c r="B64" s="515"/>
      <c r="C64" s="353" t="s">
        <v>653</v>
      </c>
      <c r="D64" s="320" t="s">
        <v>273</v>
      </c>
      <c r="E64" s="321">
        <v>21.293565891472866</v>
      </c>
    </row>
    <row r="65" spans="2:6">
      <c r="B65" s="515"/>
      <c r="C65" s="353" t="s">
        <v>638</v>
      </c>
      <c r="D65" s="320" t="s">
        <v>273</v>
      </c>
      <c r="E65" s="321">
        <v>21.293565891472866</v>
      </c>
    </row>
    <row r="66" spans="2:6">
      <c r="B66" s="515" t="s">
        <v>583</v>
      </c>
      <c r="C66" s="353" t="s">
        <v>639</v>
      </c>
      <c r="D66" s="320" t="s">
        <v>273</v>
      </c>
      <c r="E66" s="321">
        <v>21.293565891472898</v>
      </c>
    </row>
    <row r="67" spans="2:6">
      <c r="B67" s="515"/>
      <c r="C67" s="353" t="s">
        <v>640</v>
      </c>
      <c r="D67" s="320" t="s">
        <v>273</v>
      </c>
      <c r="E67" s="321">
        <v>21.293565891472898</v>
      </c>
    </row>
    <row r="68" spans="2:6">
      <c r="B68" s="515"/>
      <c r="C68" s="353" t="s">
        <v>641</v>
      </c>
      <c r="D68" s="320" t="s">
        <v>273</v>
      </c>
      <c r="E68" s="321">
        <v>21.293565891472898</v>
      </c>
    </row>
    <row r="69" spans="2:6">
      <c r="B69" s="515"/>
      <c r="C69" s="353" t="s">
        <v>662</v>
      </c>
      <c r="D69" s="320" t="s">
        <v>273</v>
      </c>
      <c r="E69" s="321">
        <v>21.293565891472898</v>
      </c>
    </row>
    <row r="70" spans="2:6">
      <c r="B70" s="515"/>
      <c r="C70" s="353" t="s">
        <v>661</v>
      </c>
      <c r="D70" s="320" t="s">
        <v>273</v>
      </c>
      <c r="E70" s="321">
        <v>21.293565891472898</v>
      </c>
    </row>
    <row r="71" spans="2:6">
      <c r="B71" s="515"/>
      <c r="C71" s="353" t="s">
        <v>663</v>
      </c>
      <c r="D71" s="320" t="s">
        <v>273</v>
      </c>
      <c r="E71" s="321">
        <v>21.293565891472898</v>
      </c>
    </row>
    <row r="72" spans="2:6">
      <c r="B72" s="515"/>
      <c r="C72" s="353" t="s">
        <v>664</v>
      </c>
      <c r="D72" s="320" t="s">
        <v>273</v>
      </c>
      <c r="E72" s="321">
        <v>21.293565891472898</v>
      </c>
    </row>
    <row r="73" spans="2:6" ht="16.95" customHeight="1">
      <c r="B73" s="515"/>
      <c r="C73" s="353" t="s">
        <v>665</v>
      </c>
      <c r="D73" s="320" t="s">
        <v>273</v>
      </c>
      <c r="E73" s="321">
        <v>21.293565891472898</v>
      </c>
    </row>
    <row r="74" spans="2:6">
      <c r="B74" s="515"/>
      <c r="C74" s="353" t="s">
        <v>666</v>
      </c>
      <c r="D74" s="320" t="s">
        <v>273</v>
      </c>
      <c r="E74" s="321">
        <v>21.293565891472898</v>
      </c>
    </row>
    <row r="75" spans="2:6">
      <c r="B75" s="515" t="s">
        <v>272</v>
      </c>
      <c r="C75" s="311" t="s">
        <v>631</v>
      </c>
      <c r="D75" s="320" t="s">
        <v>273</v>
      </c>
      <c r="E75" s="321">
        <v>21.293565891472898</v>
      </c>
    </row>
    <row r="76" spans="2:6">
      <c r="B76" s="515"/>
      <c r="C76" s="311" t="s">
        <v>630</v>
      </c>
      <c r="D76" s="320" t="s">
        <v>273</v>
      </c>
      <c r="E76" s="321">
        <v>21.293565891472898</v>
      </c>
    </row>
    <row r="77" spans="2:6">
      <c r="B77" s="515"/>
      <c r="C77" s="311" t="s">
        <v>629</v>
      </c>
      <c r="D77" s="320" t="s">
        <v>273</v>
      </c>
      <c r="E77" s="321">
        <v>21.293565891472898</v>
      </c>
    </row>
    <row r="78" spans="2:6">
      <c r="B78" s="322" t="s">
        <v>670</v>
      </c>
      <c r="C78" s="311" t="s">
        <v>667</v>
      </c>
      <c r="D78" s="320" t="s">
        <v>273</v>
      </c>
      <c r="E78" s="321">
        <v>21.293565891472898</v>
      </c>
      <c r="F78" s="20"/>
    </row>
    <row r="79" spans="2:6">
      <c r="B79" s="322" t="s">
        <v>584</v>
      </c>
      <c r="C79" s="311" t="s">
        <v>668</v>
      </c>
      <c r="D79" s="320" t="s">
        <v>273</v>
      </c>
      <c r="E79" s="321">
        <v>21.293565891472898</v>
      </c>
      <c r="F79" s="20"/>
    </row>
    <row r="80" spans="2:6">
      <c r="B80" s="323"/>
      <c r="C80" s="324"/>
      <c r="D80" s="324"/>
      <c r="E80" s="324"/>
      <c r="F80" s="20"/>
    </row>
    <row r="81" spans="2:6" ht="16.95" customHeight="1">
      <c r="B81" s="324"/>
      <c r="C81" s="324"/>
      <c r="D81" s="324"/>
      <c r="E81" s="324"/>
      <c r="F81" s="20"/>
    </row>
    <row r="82" spans="2:6">
      <c r="B82" s="323"/>
      <c r="C82" s="323"/>
      <c r="D82" s="324"/>
      <c r="E82" s="324"/>
      <c r="F82" s="20"/>
    </row>
    <row r="83" spans="2:6">
      <c r="D83" s="297"/>
      <c r="E83" s="297"/>
      <c r="F83" s="20"/>
    </row>
    <row r="84" spans="2:6">
      <c r="D84" s="297"/>
      <c r="E84" s="297"/>
      <c r="F84" s="20"/>
    </row>
    <row r="85" spans="2:6">
      <c r="B85" s="297"/>
      <c r="C85" s="297"/>
      <c r="D85" s="297"/>
      <c r="E85" s="297"/>
      <c r="F85" s="20"/>
    </row>
    <row r="86" spans="2:6">
      <c r="B86" s="297"/>
      <c r="C86" s="297"/>
      <c r="D86" s="297"/>
      <c r="E86" s="297"/>
      <c r="F86" s="20"/>
    </row>
    <row r="87" spans="2:6">
      <c r="B87" s="297"/>
      <c r="C87" s="297"/>
      <c r="D87" s="297"/>
      <c r="E87" s="297"/>
      <c r="F87" s="20"/>
    </row>
    <row r="88" spans="2:6">
      <c r="B88" s="297"/>
      <c r="C88" s="297"/>
      <c r="D88" s="297"/>
      <c r="E88" s="297"/>
      <c r="F88" s="20"/>
    </row>
    <row r="89" spans="2:6">
      <c r="B89" s="297"/>
      <c r="C89" s="297"/>
      <c r="D89" s="297"/>
      <c r="E89" s="297"/>
      <c r="F89" s="20"/>
    </row>
  </sheetData>
  <mergeCells count="17">
    <mergeCell ref="B9:E9"/>
    <mergeCell ref="B59:B61"/>
    <mergeCell ref="B62:B65"/>
    <mergeCell ref="B16:B18"/>
    <mergeCell ref="B52:B54"/>
    <mergeCell ref="B11:E11"/>
    <mergeCell ref="C43:G43"/>
    <mergeCell ref="B19:B21"/>
    <mergeCell ref="B22:B25"/>
    <mergeCell ref="B26:B34"/>
    <mergeCell ref="B35:B37"/>
    <mergeCell ref="C14:C15"/>
    <mergeCell ref="B41:C41"/>
    <mergeCell ref="C44:G44"/>
    <mergeCell ref="C45:G45"/>
    <mergeCell ref="B66:B74"/>
    <mergeCell ref="B75:B77"/>
  </mergeCells>
  <hyperlinks>
    <hyperlink ref="I7" location="Inicio!A1" display="Início" xr:uid="{D20BAF31-49DC-E34E-A412-B912536678CE}"/>
  </hyperlinks>
  <pageMargins left="0.7" right="0.7" top="0.75" bottom="0.75" header="0.3" footer="0.3"/>
  <ignoredErrors>
    <ignoredError sqref="G19:G20" unlockedFormula="1"/>
  </ignoredErrors>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A8FD53-E846-B845-8827-721D7C60B03F}">
  <sheetPr>
    <tabColor rgb="FF0070C0"/>
  </sheetPr>
  <dimension ref="B6:L89"/>
  <sheetViews>
    <sheetView showGridLines="0" topLeftCell="A10" zoomScaleNormal="100" workbookViewId="0">
      <selection activeCell="B8" sqref="B8"/>
    </sheetView>
  </sheetViews>
  <sheetFormatPr defaultColWidth="11.5546875" defaultRowHeight="14.4"/>
  <cols>
    <col min="2" max="2" width="22" customWidth="1"/>
    <col min="3" max="3" width="35.6640625" customWidth="1"/>
    <col min="4" max="4" width="15" bestFit="1" customWidth="1"/>
    <col min="5" max="5" width="13" customWidth="1"/>
    <col min="7" max="7" width="12" customWidth="1"/>
    <col min="8" max="8" width="13.6640625" customWidth="1"/>
    <col min="9" max="9" width="11.33203125" customWidth="1"/>
    <col min="10" max="10" width="14.33203125" customWidth="1"/>
    <col min="11" max="11" width="11.6640625" customWidth="1"/>
  </cols>
  <sheetData>
    <row r="6" spans="2:12" ht="16.2">
      <c r="D6" s="298"/>
      <c r="E6" s="298"/>
    </row>
    <row r="7" spans="2:12" ht="23.4">
      <c r="B7" s="105" t="s">
        <v>681</v>
      </c>
      <c r="C7" s="105"/>
      <c r="D7" s="299"/>
      <c r="E7" s="299"/>
      <c r="H7" s="298"/>
      <c r="I7" s="192" t="s">
        <v>299</v>
      </c>
      <c r="J7" s="298"/>
      <c r="K7" s="298"/>
      <c r="L7" s="278"/>
    </row>
    <row r="8" spans="2:12">
      <c r="B8" s="299"/>
      <c r="C8" s="299"/>
      <c r="D8" s="299"/>
      <c r="E8" s="299"/>
      <c r="H8" s="299"/>
      <c r="I8" s="299"/>
      <c r="J8" s="299"/>
      <c r="K8" s="299"/>
      <c r="L8" s="299"/>
    </row>
    <row r="9" spans="2:12">
      <c r="B9" s="516" t="s">
        <v>593</v>
      </c>
      <c r="C9" s="516"/>
      <c r="D9" s="516"/>
      <c r="E9" s="516"/>
      <c r="G9" s="299"/>
      <c r="H9" s="299"/>
      <c r="I9" s="299"/>
      <c r="J9" s="299"/>
      <c r="K9" s="299"/>
      <c r="L9" s="299"/>
    </row>
    <row r="10" spans="2:12">
      <c r="B10" s="299"/>
      <c r="G10" s="299"/>
      <c r="H10" s="299"/>
      <c r="I10" s="299"/>
      <c r="J10" s="299"/>
      <c r="K10" s="299"/>
      <c r="L10" s="299"/>
    </row>
    <row r="11" spans="2:12" ht="15" customHeight="1">
      <c r="B11" s="519" t="s">
        <v>597</v>
      </c>
      <c r="C11" s="519"/>
      <c r="D11" s="519"/>
      <c r="E11" s="519"/>
      <c r="F11" s="299"/>
      <c r="G11" s="299"/>
      <c r="H11" s="299"/>
      <c r="I11" s="300"/>
      <c r="J11" s="300"/>
      <c r="K11" s="300"/>
      <c r="L11" s="301"/>
    </row>
    <row r="12" spans="2:12">
      <c r="B12" s="299"/>
      <c r="F12" s="302"/>
      <c r="G12" s="302"/>
    </row>
    <row r="13" spans="2:12" ht="15" customHeight="1">
      <c r="B13" s="299"/>
      <c r="C13" s="303"/>
      <c r="D13" s="304"/>
      <c r="E13" s="304"/>
      <c r="F13" s="302"/>
      <c r="G13" s="302"/>
    </row>
    <row r="14" spans="2:12" ht="43.2">
      <c r="B14" s="299"/>
      <c r="C14" s="521" t="s">
        <v>590</v>
      </c>
      <c r="D14" s="305" t="s">
        <v>589</v>
      </c>
      <c r="E14" s="327" t="s">
        <v>603</v>
      </c>
      <c r="F14" s="299"/>
      <c r="G14" s="306" t="s">
        <v>591</v>
      </c>
      <c r="H14" s="328" t="s">
        <v>602</v>
      </c>
      <c r="I14" s="327" t="s">
        <v>605</v>
      </c>
    </row>
    <row r="15" spans="2:12">
      <c r="B15" s="299"/>
      <c r="C15" s="521"/>
      <c r="D15" s="308" t="s">
        <v>273</v>
      </c>
      <c r="E15" s="308" t="s">
        <v>608</v>
      </c>
      <c r="F15" s="299"/>
      <c r="G15" s="308" t="s">
        <v>607</v>
      </c>
      <c r="H15" s="329" t="s">
        <v>601</v>
      </c>
      <c r="I15" s="308" t="s">
        <v>606</v>
      </c>
    </row>
    <row r="16" spans="2:12">
      <c r="B16" s="517" t="s">
        <v>594</v>
      </c>
      <c r="C16" s="357" t="s">
        <v>586</v>
      </c>
      <c r="D16" s="351"/>
      <c r="E16" s="351"/>
      <c r="F16" s="299"/>
      <c r="G16" s="317">
        <v>0.33200000000000002</v>
      </c>
      <c r="H16" s="317">
        <f>Energia!$P$37*(1+Energia!$F$11)</f>
        <v>7.0224532499999992E-2</v>
      </c>
      <c r="I16" s="330">
        <f>IF(D16="",0,(E16*H16)-(D16*G16))</f>
        <v>0</v>
      </c>
      <c r="L16" s="430"/>
    </row>
    <row r="17" spans="2:9">
      <c r="B17" s="517"/>
      <c r="C17" s="357" t="s">
        <v>587</v>
      </c>
      <c r="D17" s="351"/>
      <c r="E17" s="351"/>
      <c r="F17" s="299"/>
      <c r="G17" s="317">
        <v>0.33200000000000002</v>
      </c>
      <c r="H17" s="317">
        <f>Energia!$P$37*(1+Energia!$F$11)</f>
        <v>7.0224532499999992E-2</v>
      </c>
      <c r="I17" s="330">
        <f t="shared" ref="I17:I39" si="0">IF(D17="",0,(E17*H17)-(D17*G17))</f>
        <v>0</v>
      </c>
    </row>
    <row r="18" spans="2:9">
      <c r="B18" s="517"/>
      <c r="C18" s="357" t="s">
        <v>588</v>
      </c>
      <c r="D18" s="351"/>
      <c r="E18" s="351"/>
      <c r="F18" s="299"/>
      <c r="G18" s="317">
        <v>0.81</v>
      </c>
      <c r="H18" s="317">
        <f>Energia!$P$37*(1+Energia!$F$11)</f>
        <v>7.0224532499999992E-2</v>
      </c>
      <c r="I18" s="330">
        <f t="shared" si="0"/>
        <v>0</v>
      </c>
    </row>
    <row r="19" spans="2:9">
      <c r="B19" s="520" t="s">
        <v>600</v>
      </c>
      <c r="C19" s="357" t="s">
        <v>643</v>
      </c>
      <c r="D19" s="351"/>
      <c r="E19" s="351"/>
      <c r="F19" s="299"/>
      <c r="G19" s="317">
        <f t="shared" ref="G19:G39" si="1">E59/1000</f>
        <v>2.1293565891472865E-2</v>
      </c>
      <c r="H19" s="317">
        <f>Energia!$P$37*(1+Energia!$F$11)</f>
        <v>7.0224532499999992E-2</v>
      </c>
      <c r="I19" s="330">
        <f t="shared" si="0"/>
        <v>0</v>
      </c>
    </row>
    <row r="20" spans="2:9">
      <c r="B20" s="520"/>
      <c r="C20" s="357" t="s">
        <v>642</v>
      </c>
      <c r="D20" s="351"/>
      <c r="E20" s="351"/>
      <c r="F20" s="299"/>
      <c r="G20" s="317">
        <f t="shared" si="1"/>
        <v>2.1293565891472865E-2</v>
      </c>
      <c r="H20" s="317">
        <f>Energia!$P$37*(1+Energia!$F$11)</f>
        <v>7.0224532499999992E-2</v>
      </c>
      <c r="I20" s="330">
        <f t="shared" si="0"/>
        <v>0</v>
      </c>
    </row>
    <row r="21" spans="2:9">
      <c r="B21" s="520"/>
      <c r="C21" s="357" t="s">
        <v>644</v>
      </c>
      <c r="D21" s="351"/>
      <c r="E21" s="351"/>
      <c r="F21" s="299"/>
      <c r="G21" s="317">
        <f t="shared" si="1"/>
        <v>2.1293565891472865E-2</v>
      </c>
      <c r="H21" s="317">
        <f>Energia!$P$37*(1+Energia!$F$11)</f>
        <v>7.0224532499999992E-2</v>
      </c>
      <c r="I21" s="330">
        <f t="shared" si="0"/>
        <v>0</v>
      </c>
    </row>
    <row r="22" spans="2:9">
      <c r="B22" s="520" t="s">
        <v>538</v>
      </c>
      <c r="C22" s="357" t="s">
        <v>660</v>
      </c>
      <c r="D22" s="351"/>
      <c r="E22" s="351"/>
      <c r="F22" s="299"/>
      <c r="G22" s="317">
        <f t="shared" si="1"/>
        <v>2.1293565891472865E-2</v>
      </c>
      <c r="H22" s="317">
        <f>Energia!$P$37*(1+Energia!$F$11)</f>
        <v>7.0224532499999992E-2</v>
      </c>
      <c r="I22" s="330">
        <f t="shared" si="0"/>
        <v>0</v>
      </c>
    </row>
    <row r="23" spans="2:9">
      <c r="B23" s="520"/>
      <c r="C23" s="357" t="s">
        <v>637</v>
      </c>
      <c r="D23" s="351"/>
      <c r="E23" s="351"/>
      <c r="F23" s="299"/>
      <c r="G23" s="317">
        <f t="shared" si="1"/>
        <v>2.1293565891472865E-2</v>
      </c>
      <c r="H23" s="317">
        <f>Energia!$P$37*(1+Energia!$F$11)</f>
        <v>7.0224532499999992E-2</v>
      </c>
      <c r="I23" s="330">
        <f t="shared" si="0"/>
        <v>0</v>
      </c>
    </row>
    <row r="24" spans="2:9">
      <c r="B24" s="520"/>
      <c r="C24" s="357" t="s">
        <v>653</v>
      </c>
      <c r="D24" s="351"/>
      <c r="E24" s="351"/>
      <c r="F24" s="299"/>
      <c r="G24" s="317">
        <f t="shared" si="1"/>
        <v>2.1293565891472865E-2</v>
      </c>
      <c r="H24" s="317">
        <f>Energia!$P$37*(1+Energia!$F$11)</f>
        <v>7.0224532499999992E-2</v>
      </c>
      <c r="I24" s="330">
        <f t="shared" si="0"/>
        <v>0</v>
      </c>
    </row>
    <row r="25" spans="2:9">
      <c r="B25" s="520"/>
      <c r="C25" s="357" t="s">
        <v>638</v>
      </c>
      <c r="D25" s="351"/>
      <c r="E25" s="351"/>
      <c r="F25" s="299"/>
      <c r="G25" s="317">
        <f t="shared" si="1"/>
        <v>2.1293565891472865E-2</v>
      </c>
      <c r="H25" s="317">
        <f>Energia!$P$37*(1+Energia!$F$11)</f>
        <v>7.0224532499999992E-2</v>
      </c>
      <c r="I25" s="330">
        <f t="shared" si="0"/>
        <v>0</v>
      </c>
    </row>
    <row r="26" spans="2:9">
      <c r="B26" s="520" t="s">
        <v>595</v>
      </c>
      <c r="C26" s="357" t="s">
        <v>639</v>
      </c>
      <c r="D26" s="351"/>
      <c r="E26" s="351"/>
      <c r="F26" s="299"/>
      <c r="G26" s="317">
        <f t="shared" si="1"/>
        <v>2.1293565891472899E-2</v>
      </c>
      <c r="H26" s="317">
        <f>Energia!$P$37*(1+Energia!$F$11)</f>
        <v>7.0224532499999992E-2</v>
      </c>
      <c r="I26" s="330">
        <f t="shared" si="0"/>
        <v>0</v>
      </c>
    </row>
    <row r="27" spans="2:9">
      <c r="B27" s="520"/>
      <c r="C27" s="357" t="s">
        <v>640</v>
      </c>
      <c r="D27" s="351"/>
      <c r="E27" s="351"/>
      <c r="F27" s="299"/>
      <c r="G27" s="317">
        <f t="shared" si="1"/>
        <v>2.1293565891472899E-2</v>
      </c>
      <c r="H27" s="317">
        <f>Energia!$P$37*(1+Energia!$F$11)</f>
        <v>7.0224532499999992E-2</v>
      </c>
      <c r="I27" s="330">
        <f t="shared" si="0"/>
        <v>0</v>
      </c>
    </row>
    <row r="28" spans="2:9">
      <c r="B28" s="520"/>
      <c r="C28" s="357" t="s">
        <v>641</v>
      </c>
      <c r="D28" s="351"/>
      <c r="E28" s="351"/>
      <c r="F28" s="299"/>
      <c r="G28" s="317">
        <f t="shared" si="1"/>
        <v>2.1293565891472899E-2</v>
      </c>
      <c r="H28" s="317">
        <f>Energia!$P$37*(1+Energia!$F$11)</f>
        <v>7.0224532499999992E-2</v>
      </c>
      <c r="I28" s="330">
        <f t="shared" si="0"/>
        <v>0</v>
      </c>
    </row>
    <row r="29" spans="2:9">
      <c r="B29" s="520"/>
      <c r="C29" s="357" t="s">
        <v>662</v>
      </c>
      <c r="D29" s="351"/>
      <c r="E29" s="351"/>
      <c r="F29" s="299"/>
      <c r="G29" s="317">
        <f t="shared" si="1"/>
        <v>2.1293565891472899E-2</v>
      </c>
      <c r="H29" s="317">
        <f>Energia!$P$37*(1+Energia!$F$11)</f>
        <v>7.0224532499999992E-2</v>
      </c>
      <c r="I29" s="330">
        <f t="shared" si="0"/>
        <v>0</v>
      </c>
    </row>
    <row r="30" spans="2:9">
      <c r="B30" s="520"/>
      <c r="C30" s="357" t="s">
        <v>661</v>
      </c>
      <c r="D30" s="351"/>
      <c r="E30" s="351"/>
      <c r="F30" s="299"/>
      <c r="G30" s="317">
        <f t="shared" si="1"/>
        <v>2.1293565891472899E-2</v>
      </c>
      <c r="H30" s="317">
        <f>Energia!$P$37*(1+Energia!$F$11)</f>
        <v>7.0224532499999992E-2</v>
      </c>
      <c r="I30" s="330">
        <f t="shared" si="0"/>
        <v>0</v>
      </c>
    </row>
    <row r="31" spans="2:9">
      <c r="B31" s="520"/>
      <c r="C31" s="357" t="s">
        <v>663</v>
      </c>
      <c r="D31" s="351"/>
      <c r="E31" s="351"/>
      <c r="F31" s="299"/>
      <c r="G31" s="317">
        <f t="shared" si="1"/>
        <v>2.1293565891472899E-2</v>
      </c>
      <c r="H31" s="317">
        <f>Energia!$P$37*(1+Energia!$F$11)</f>
        <v>7.0224532499999992E-2</v>
      </c>
      <c r="I31" s="330">
        <f t="shared" si="0"/>
        <v>0</v>
      </c>
    </row>
    <row r="32" spans="2:9">
      <c r="B32" s="520"/>
      <c r="C32" s="357" t="s">
        <v>664</v>
      </c>
      <c r="D32" s="351"/>
      <c r="E32" s="351"/>
      <c r="F32" s="299"/>
      <c r="G32" s="317">
        <f t="shared" si="1"/>
        <v>2.1293565891472899E-2</v>
      </c>
      <c r="H32" s="317">
        <f>Energia!$P$37*(1+Energia!$F$11)</f>
        <v>7.0224532499999992E-2</v>
      </c>
      <c r="I32" s="330">
        <f t="shared" si="0"/>
        <v>0</v>
      </c>
    </row>
    <row r="33" spans="2:9">
      <c r="B33" s="520"/>
      <c r="C33" s="357" t="s">
        <v>665</v>
      </c>
      <c r="D33" s="351"/>
      <c r="E33" s="351"/>
      <c r="F33" s="299"/>
      <c r="G33" s="317">
        <f t="shared" si="1"/>
        <v>2.1293565891472899E-2</v>
      </c>
      <c r="H33" s="317">
        <f>Energia!$P$37*(1+Energia!$F$11)</f>
        <v>7.0224532499999992E-2</v>
      </c>
      <c r="I33" s="330">
        <f t="shared" si="0"/>
        <v>0</v>
      </c>
    </row>
    <row r="34" spans="2:9">
      <c r="B34" s="520"/>
      <c r="C34" s="357" t="s">
        <v>666</v>
      </c>
      <c r="D34" s="351"/>
      <c r="E34" s="351"/>
      <c r="F34" s="299"/>
      <c r="G34" s="317">
        <f t="shared" si="1"/>
        <v>2.1293565891472899E-2</v>
      </c>
      <c r="H34" s="317">
        <f>Energia!$P$37*(1+Energia!$F$11)</f>
        <v>7.0224532499999992E-2</v>
      </c>
      <c r="I34" s="330">
        <f t="shared" si="0"/>
        <v>0</v>
      </c>
    </row>
    <row r="35" spans="2:9">
      <c r="B35" s="520" t="s">
        <v>272</v>
      </c>
      <c r="C35" s="311" t="s">
        <v>631</v>
      </c>
      <c r="D35" s="351"/>
      <c r="E35" s="351"/>
      <c r="F35" s="299"/>
      <c r="G35" s="317">
        <f t="shared" si="1"/>
        <v>2.1293565891472899E-2</v>
      </c>
      <c r="H35" s="317">
        <f>Energia!$P$37*(1+Energia!$F$11)</f>
        <v>7.0224532499999992E-2</v>
      </c>
      <c r="I35" s="330">
        <f t="shared" si="0"/>
        <v>0</v>
      </c>
    </row>
    <row r="36" spans="2:9">
      <c r="B36" s="520"/>
      <c r="C36" s="311" t="s">
        <v>630</v>
      </c>
      <c r="D36" s="351"/>
      <c r="E36" s="351"/>
      <c r="F36" s="299"/>
      <c r="G36" s="317">
        <f t="shared" si="1"/>
        <v>2.1293565891472899E-2</v>
      </c>
      <c r="H36" s="317">
        <f>Energia!$P$37*(1+Energia!$F$11)</f>
        <v>7.0224532499999992E-2</v>
      </c>
      <c r="I36" s="330">
        <f t="shared" si="0"/>
        <v>0</v>
      </c>
    </row>
    <row r="37" spans="2:9">
      <c r="B37" s="520"/>
      <c r="C37" s="311" t="s">
        <v>629</v>
      </c>
      <c r="D37" s="351"/>
      <c r="E37" s="351"/>
      <c r="F37" s="299"/>
      <c r="G37" s="317">
        <f t="shared" si="1"/>
        <v>2.1293565891472899E-2</v>
      </c>
      <c r="H37" s="317">
        <f>Energia!$P$37*(1+Energia!$F$11)</f>
        <v>7.0224532499999992E-2</v>
      </c>
      <c r="I37" s="330">
        <f t="shared" si="0"/>
        <v>0</v>
      </c>
    </row>
    <row r="38" spans="2:9">
      <c r="B38" s="358" t="s">
        <v>670</v>
      </c>
      <c r="C38" s="311" t="s">
        <v>667</v>
      </c>
      <c r="D38" s="351"/>
      <c r="E38" s="351"/>
      <c r="F38" s="299"/>
      <c r="G38" s="317">
        <f t="shared" si="1"/>
        <v>2.1293565891472899E-2</v>
      </c>
      <c r="H38" s="317">
        <f>Energia!$P$37*(1+Energia!$F$11)</f>
        <v>7.0224532499999992E-2</v>
      </c>
      <c r="I38" s="330">
        <f t="shared" si="0"/>
        <v>0</v>
      </c>
    </row>
    <row r="39" spans="2:9">
      <c r="B39" s="358" t="s">
        <v>584</v>
      </c>
      <c r="C39" s="311" t="s">
        <v>668</v>
      </c>
      <c r="D39" s="351"/>
      <c r="E39" s="351"/>
      <c r="F39" s="299"/>
      <c r="G39" s="317">
        <f t="shared" si="1"/>
        <v>2.1293565891472899E-2</v>
      </c>
      <c r="H39" s="317">
        <f>Energia!$P$37*(1+Energia!$F$11)</f>
        <v>7.0224532499999992E-2</v>
      </c>
      <c r="I39" s="330">
        <f t="shared" si="0"/>
        <v>0</v>
      </c>
    </row>
    <row r="40" spans="2:9">
      <c r="F40" s="309"/>
      <c r="G40" s="309"/>
      <c r="H40" s="309"/>
      <c r="I40" s="309"/>
    </row>
    <row r="41" spans="2:9">
      <c r="B41" s="512" t="s">
        <v>16</v>
      </c>
      <c r="C41" s="512"/>
      <c r="D41" s="352">
        <f>SUM(D16:D39)</f>
        <v>0</v>
      </c>
      <c r="E41" s="352">
        <f>SUM(E16:E39)</f>
        <v>0</v>
      </c>
      <c r="F41" s="309"/>
      <c r="G41" s="309"/>
      <c r="H41" s="309"/>
      <c r="I41" s="309"/>
    </row>
    <row r="42" spans="2:9" ht="15" thickBot="1">
      <c r="B42" s="299"/>
      <c r="C42" s="299"/>
      <c r="D42" s="299"/>
      <c r="E42" s="299"/>
      <c r="F42" s="299"/>
      <c r="G42" s="299"/>
      <c r="H42" s="299"/>
      <c r="I42" s="299"/>
    </row>
    <row r="43" spans="2:9" ht="15" thickBot="1">
      <c r="B43" s="299"/>
      <c r="C43" s="513" t="s">
        <v>609</v>
      </c>
      <c r="D43" s="514"/>
      <c r="E43" s="514"/>
      <c r="F43" s="514"/>
      <c r="G43" s="514"/>
      <c r="H43" s="310"/>
      <c r="I43" s="331">
        <f>IF(SUM(I16:I39)=0,0,SUM(I16:I39))</f>
        <v>0</v>
      </c>
    </row>
    <row r="44" spans="2:9" ht="15" thickBot="1">
      <c r="C44" s="513" t="s">
        <v>619</v>
      </c>
      <c r="D44" s="514"/>
      <c r="E44" s="514"/>
      <c r="F44" s="514"/>
      <c r="G44" s="514"/>
      <c r="H44" s="310"/>
      <c r="I44" s="331">
        <f>IF(D41=0,0,(I43/D41))</f>
        <v>0</v>
      </c>
    </row>
    <row r="45" spans="2:9" ht="15" thickBot="1">
      <c r="C45" s="513" t="s">
        <v>620</v>
      </c>
      <c r="D45" s="514"/>
      <c r="E45" s="514"/>
      <c r="F45" s="514"/>
      <c r="G45" s="514"/>
      <c r="H45" s="310"/>
      <c r="I45" s="331">
        <f>IF(E41=0,0,(I44/E41))</f>
        <v>0</v>
      </c>
    </row>
    <row r="47" spans="2:9">
      <c r="B47" t="s">
        <v>669</v>
      </c>
    </row>
    <row r="49" spans="2:5">
      <c r="E49" s="332" t="s">
        <v>585</v>
      </c>
    </row>
    <row r="50" spans="2:5">
      <c r="B50" s="6"/>
      <c r="C50" s="6"/>
      <c r="D50" s="6"/>
      <c r="E50" s="314" t="s">
        <v>596</v>
      </c>
    </row>
    <row r="51" spans="2:5">
      <c r="B51" s="6"/>
      <c r="C51" s="6"/>
      <c r="D51" s="325" t="s">
        <v>23</v>
      </c>
      <c r="E51" s="315" t="s">
        <v>607</v>
      </c>
    </row>
    <row r="52" spans="2:5">
      <c r="B52" s="518" t="s">
        <v>594</v>
      </c>
      <c r="C52" s="316" t="s">
        <v>586</v>
      </c>
      <c r="D52" s="325" t="s">
        <v>273</v>
      </c>
      <c r="E52" s="317">
        <v>0.33200000000000002</v>
      </c>
    </row>
    <row r="53" spans="2:5">
      <c r="B53" s="518"/>
      <c r="C53" s="316" t="s">
        <v>587</v>
      </c>
      <c r="D53" s="325" t="s">
        <v>273</v>
      </c>
      <c r="E53" s="317">
        <v>0.33200000000000002</v>
      </c>
    </row>
    <row r="54" spans="2:5">
      <c r="B54" s="518"/>
      <c r="C54" s="316" t="s">
        <v>588</v>
      </c>
      <c r="D54" s="325" t="s">
        <v>273</v>
      </c>
      <c r="E54" s="317">
        <v>0.81</v>
      </c>
    </row>
    <row r="56" spans="2:5">
      <c r="B56" t="s">
        <v>579</v>
      </c>
    </row>
    <row r="57" spans="2:5">
      <c r="E57" s="326" t="s">
        <v>585</v>
      </c>
    </row>
    <row r="58" spans="2:5" ht="16.2">
      <c r="B58" s="318" t="s">
        <v>582</v>
      </c>
      <c r="C58" s="318" t="s">
        <v>269</v>
      </c>
      <c r="D58" s="319" t="s">
        <v>23</v>
      </c>
      <c r="E58" s="315" t="s">
        <v>610</v>
      </c>
    </row>
    <row r="59" spans="2:5">
      <c r="B59" s="515" t="s">
        <v>600</v>
      </c>
      <c r="C59" s="357" t="s">
        <v>643</v>
      </c>
      <c r="D59" s="320" t="s">
        <v>273</v>
      </c>
      <c r="E59" s="321">
        <v>21.293565891472866</v>
      </c>
    </row>
    <row r="60" spans="2:5">
      <c r="B60" s="515"/>
      <c r="C60" s="357" t="s">
        <v>642</v>
      </c>
      <c r="D60" s="320" t="s">
        <v>273</v>
      </c>
      <c r="E60" s="321">
        <v>21.293565891472866</v>
      </c>
    </row>
    <row r="61" spans="2:5">
      <c r="B61" s="515"/>
      <c r="C61" s="357" t="s">
        <v>644</v>
      </c>
      <c r="D61" s="320" t="s">
        <v>273</v>
      </c>
      <c r="E61" s="321">
        <v>21.293565891472866</v>
      </c>
    </row>
    <row r="62" spans="2:5">
      <c r="B62" s="515" t="s">
        <v>538</v>
      </c>
      <c r="C62" s="357" t="s">
        <v>660</v>
      </c>
      <c r="D62" s="320" t="s">
        <v>273</v>
      </c>
      <c r="E62" s="321">
        <v>21.293565891472866</v>
      </c>
    </row>
    <row r="63" spans="2:5">
      <c r="B63" s="515"/>
      <c r="C63" s="357" t="s">
        <v>637</v>
      </c>
      <c r="D63" s="320" t="s">
        <v>273</v>
      </c>
      <c r="E63" s="321">
        <v>21.293565891472866</v>
      </c>
    </row>
    <row r="64" spans="2:5" ht="16.95" customHeight="1">
      <c r="B64" s="515"/>
      <c r="C64" s="357" t="s">
        <v>653</v>
      </c>
      <c r="D64" s="320" t="s">
        <v>273</v>
      </c>
      <c r="E64" s="321">
        <v>21.293565891472866</v>
      </c>
    </row>
    <row r="65" spans="2:6">
      <c r="B65" s="515"/>
      <c r="C65" s="357" t="s">
        <v>638</v>
      </c>
      <c r="D65" s="320" t="s">
        <v>273</v>
      </c>
      <c r="E65" s="321">
        <v>21.293565891472866</v>
      </c>
    </row>
    <row r="66" spans="2:6">
      <c r="B66" s="515" t="s">
        <v>583</v>
      </c>
      <c r="C66" s="357" t="s">
        <v>639</v>
      </c>
      <c r="D66" s="320" t="s">
        <v>273</v>
      </c>
      <c r="E66" s="321">
        <v>21.293565891472898</v>
      </c>
    </row>
    <row r="67" spans="2:6">
      <c r="B67" s="515"/>
      <c r="C67" s="357" t="s">
        <v>640</v>
      </c>
      <c r="D67" s="320" t="s">
        <v>273</v>
      </c>
      <c r="E67" s="321">
        <v>21.293565891472898</v>
      </c>
    </row>
    <row r="68" spans="2:6">
      <c r="B68" s="515"/>
      <c r="C68" s="357" t="s">
        <v>641</v>
      </c>
      <c r="D68" s="320" t="s">
        <v>273</v>
      </c>
      <c r="E68" s="321">
        <v>21.293565891472898</v>
      </c>
    </row>
    <row r="69" spans="2:6">
      <c r="B69" s="515"/>
      <c r="C69" s="357" t="s">
        <v>662</v>
      </c>
      <c r="D69" s="320" t="s">
        <v>273</v>
      </c>
      <c r="E69" s="321">
        <v>21.293565891472898</v>
      </c>
    </row>
    <row r="70" spans="2:6">
      <c r="B70" s="515"/>
      <c r="C70" s="357" t="s">
        <v>661</v>
      </c>
      <c r="D70" s="320" t="s">
        <v>273</v>
      </c>
      <c r="E70" s="321">
        <v>21.293565891472898</v>
      </c>
    </row>
    <row r="71" spans="2:6">
      <c r="B71" s="515"/>
      <c r="C71" s="357" t="s">
        <v>663</v>
      </c>
      <c r="D71" s="320" t="s">
        <v>273</v>
      </c>
      <c r="E71" s="321">
        <v>21.293565891472898</v>
      </c>
    </row>
    <row r="72" spans="2:6">
      <c r="B72" s="515"/>
      <c r="C72" s="357" t="s">
        <v>664</v>
      </c>
      <c r="D72" s="320" t="s">
        <v>273</v>
      </c>
      <c r="E72" s="321">
        <v>21.293565891472898</v>
      </c>
    </row>
    <row r="73" spans="2:6" ht="16.95" customHeight="1">
      <c r="B73" s="515"/>
      <c r="C73" s="357" t="s">
        <v>665</v>
      </c>
      <c r="D73" s="320" t="s">
        <v>273</v>
      </c>
      <c r="E73" s="321">
        <v>21.293565891472898</v>
      </c>
    </row>
    <row r="74" spans="2:6">
      <c r="B74" s="515"/>
      <c r="C74" s="357" t="s">
        <v>666</v>
      </c>
      <c r="D74" s="320" t="s">
        <v>273</v>
      </c>
      <c r="E74" s="321">
        <v>21.293565891472898</v>
      </c>
    </row>
    <row r="75" spans="2:6">
      <c r="B75" s="515" t="s">
        <v>272</v>
      </c>
      <c r="C75" s="311" t="s">
        <v>631</v>
      </c>
      <c r="D75" s="320" t="s">
        <v>273</v>
      </c>
      <c r="E75" s="321">
        <v>21.293565891472898</v>
      </c>
    </row>
    <row r="76" spans="2:6">
      <c r="B76" s="515"/>
      <c r="C76" s="311" t="s">
        <v>630</v>
      </c>
      <c r="D76" s="320" t="s">
        <v>273</v>
      </c>
      <c r="E76" s="321">
        <v>21.293565891472898</v>
      </c>
    </row>
    <row r="77" spans="2:6">
      <c r="B77" s="515"/>
      <c r="C77" s="311" t="s">
        <v>629</v>
      </c>
      <c r="D77" s="320" t="s">
        <v>273</v>
      </c>
      <c r="E77" s="321">
        <v>21.293565891472898</v>
      </c>
    </row>
    <row r="78" spans="2:6">
      <c r="B78" s="356" t="s">
        <v>670</v>
      </c>
      <c r="C78" s="311" t="s">
        <v>667</v>
      </c>
      <c r="D78" s="320" t="s">
        <v>273</v>
      </c>
      <c r="E78" s="321">
        <v>21.293565891472898</v>
      </c>
      <c r="F78" s="20"/>
    </row>
    <row r="79" spans="2:6">
      <c r="B79" s="356" t="s">
        <v>584</v>
      </c>
      <c r="C79" s="311" t="s">
        <v>668</v>
      </c>
      <c r="D79" s="320" t="s">
        <v>273</v>
      </c>
      <c r="E79" s="321">
        <v>21.293565891472898</v>
      </c>
      <c r="F79" s="20"/>
    </row>
    <row r="80" spans="2:6">
      <c r="B80" s="323"/>
      <c r="C80" s="324"/>
      <c r="D80" s="324"/>
      <c r="E80" s="324"/>
      <c r="F80" s="20"/>
    </row>
    <row r="81" spans="2:6" ht="16.95" customHeight="1">
      <c r="B81" s="324"/>
      <c r="C81" s="324"/>
      <c r="D81" s="324"/>
      <c r="E81" s="324"/>
      <c r="F81" s="20"/>
    </row>
    <row r="82" spans="2:6">
      <c r="B82" s="323"/>
      <c r="C82" s="323"/>
      <c r="D82" s="324"/>
      <c r="E82" s="324"/>
      <c r="F82" s="20"/>
    </row>
    <row r="83" spans="2:6">
      <c r="D83" s="297"/>
      <c r="E83" s="297"/>
      <c r="F83" s="20"/>
    </row>
    <row r="84" spans="2:6">
      <c r="D84" s="297"/>
      <c r="E84" s="297"/>
      <c r="F84" s="20"/>
    </row>
    <row r="85" spans="2:6">
      <c r="B85" s="297"/>
      <c r="C85" s="297"/>
      <c r="D85" s="297"/>
      <c r="E85" s="297"/>
      <c r="F85" s="20"/>
    </row>
    <row r="86" spans="2:6">
      <c r="B86" s="297"/>
      <c r="C86" s="297"/>
      <c r="D86" s="297"/>
      <c r="E86" s="297"/>
      <c r="F86" s="20"/>
    </row>
    <row r="87" spans="2:6">
      <c r="B87" s="297"/>
      <c r="C87" s="297"/>
      <c r="D87" s="297"/>
      <c r="E87" s="297"/>
      <c r="F87" s="20"/>
    </row>
    <row r="88" spans="2:6">
      <c r="B88" s="297"/>
      <c r="C88" s="297"/>
      <c r="D88" s="297"/>
      <c r="E88" s="297"/>
      <c r="F88" s="20"/>
    </row>
    <row r="89" spans="2:6">
      <c r="B89" s="297"/>
      <c r="C89" s="297"/>
      <c r="D89" s="297"/>
      <c r="E89" s="297"/>
      <c r="F89" s="20"/>
    </row>
  </sheetData>
  <mergeCells count="17">
    <mergeCell ref="C45:G45"/>
    <mergeCell ref="B9:E9"/>
    <mergeCell ref="B11:E11"/>
    <mergeCell ref="C14:C15"/>
    <mergeCell ref="B16:B18"/>
    <mergeCell ref="B19:B21"/>
    <mergeCell ref="B22:B25"/>
    <mergeCell ref="B26:B34"/>
    <mergeCell ref="B35:B37"/>
    <mergeCell ref="B41:C41"/>
    <mergeCell ref="C43:G43"/>
    <mergeCell ref="C44:G44"/>
    <mergeCell ref="B52:B54"/>
    <mergeCell ref="B59:B61"/>
    <mergeCell ref="B62:B65"/>
    <mergeCell ref="B66:B74"/>
    <mergeCell ref="B75:B77"/>
  </mergeCells>
  <hyperlinks>
    <hyperlink ref="I7" location="Inicio!A1" display="Início" xr:uid="{5B3A5738-EE59-AB43-AE22-53B69F0B930C}"/>
  </hyperlinks>
  <pageMargins left="0.7" right="0.7" top="0.75" bottom="0.75" header="0.3" footer="0.3"/>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70C0"/>
  </sheetPr>
  <dimension ref="B6:AM167"/>
  <sheetViews>
    <sheetView showGridLines="0" zoomScaleNormal="100" zoomScalePageLayoutView="200" workbookViewId="0">
      <selection activeCell="D7" sqref="D7"/>
    </sheetView>
  </sheetViews>
  <sheetFormatPr defaultColWidth="8.77734375" defaultRowHeight="14.4"/>
  <cols>
    <col min="2" max="2" width="30.77734375" bestFit="1" customWidth="1"/>
    <col min="3" max="3" width="25.44140625" style="20" customWidth="1"/>
    <col min="4" max="4" width="43.6640625" style="20" customWidth="1"/>
    <col min="5" max="5" width="15" style="20" bestFit="1" customWidth="1"/>
    <col min="6" max="6" width="29.6640625" style="20" customWidth="1"/>
    <col min="7" max="7" width="19.109375" style="20" customWidth="1"/>
    <col min="8" max="8" width="10.109375" style="20" customWidth="1"/>
    <col min="9" max="9" width="10.44140625" style="20" customWidth="1"/>
    <col min="10" max="10" width="11.33203125" style="20" customWidth="1"/>
    <col min="11" max="13" width="8.77734375" style="20"/>
    <col min="14" max="14" width="49.6640625" style="20" customWidth="1"/>
    <col min="15" max="39" width="8.77734375" style="20"/>
  </cols>
  <sheetData>
    <row r="6" spans="2:39" ht="23.4">
      <c r="B6" s="105" t="s">
        <v>682</v>
      </c>
      <c r="I6" s="192" t="s">
        <v>299</v>
      </c>
      <c r="O6"/>
      <c r="P6"/>
      <c r="Q6"/>
      <c r="R6"/>
      <c r="S6"/>
      <c r="T6"/>
      <c r="U6"/>
      <c r="V6"/>
      <c r="W6"/>
      <c r="X6"/>
      <c r="Y6"/>
      <c r="Z6"/>
      <c r="AA6"/>
      <c r="AB6"/>
      <c r="AC6"/>
      <c r="AD6"/>
      <c r="AE6"/>
      <c r="AF6"/>
      <c r="AG6"/>
      <c r="AH6"/>
      <c r="AI6"/>
      <c r="AJ6"/>
      <c r="AK6"/>
      <c r="AL6"/>
      <c r="AM6"/>
    </row>
    <row r="7" spans="2:39" s="20" customFormat="1" ht="15.6">
      <c r="C7" s="175" t="s">
        <v>209</v>
      </c>
      <c r="D7" s="534">
        <v>1</v>
      </c>
      <c r="E7" s="14" t="s">
        <v>210</v>
      </c>
    </row>
    <row r="8" spans="2:39" s="20" customFormat="1" ht="15.6">
      <c r="B8" s="84" t="s">
        <v>309</v>
      </c>
      <c r="C8" s="183" t="s">
        <v>291</v>
      </c>
      <c r="D8" s="15">
        <v>0.9</v>
      </c>
      <c r="E8" s="14" t="s">
        <v>126</v>
      </c>
      <c r="F8" s="21"/>
      <c r="G8" s="22"/>
      <c r="H8" s="13"/>
      <c r="I8" s="13"/>
      <c r="K8" s="23"/>
      <c r="L8" s="24"/>
      <c r="M8" s="24"/>
      <c r="N8" s="24"/>
    </row>
    <row r="9" spans="2:39" s="20" customFormat="1" ht="15.6">
      <c r="C9" s="183" t="s">
        <v>127</v>
      </c>
      <c r="D9" s="15">
        <v>0</v>
      </c>
      <c r="E9" s="14" t="s">
        <v>128</v>
      </c>
      <c r="F9" s="21"/>
      <c r="G9" s="22"/>
      <c r="H9" s="13"/>
      <c r="I9" s="13"/>
      <c r="K9" s="23"/>
      <c r="L9" s="24"/>
      <c r="M9" s="24"/>
      <c r="N9" s="24"/>
    </row>
    <row r="10" spans="2:39" s="20" customFormat="1" ht="15.6">
      <c r="C10" s="183" t="s">
        <v>129</v>
      </c>
      <c r="D10" s="16">
        <f>16/12</f>
        <v>1.3333333333333333</v>
      </c>
      <c r="E10" s="14" t="s">
        <v>130</v>
      </c>
      <c r="F10" s="21"/>
      <c r="G10" s="22"/>
      <c r="H10" s="13"/>
      <c r="I10" s="13"/>
      <c r="K10" s="23"/>
      <c r="L10" s="24"/>
      <c r="M10" s="24"/>
      <c r="N10" s="24"/>
    </row>
    <row r="11" spans="2:39" s="20" customFormat="1" ht="15.6">
      <c r="C11" s="183" t="s">
        <v>131</v>
      </c>
      <c r="D11" s="15">
        <v>0.5</v>
      </c>
      <c r="E11" s="14" t="s">
        <v>132</v>
      </c>
      <c r="F11" s="21"/>
      <c r="G11" s="22"/>
      <c r="H11" s="13"/>
      <c r="I11" s="13"/>
      <c r="K11" s="23"/>
      <c r="L11" s="24"/>
      <c r="M11" s="24"/>
      <c r="N11" s="24"/>
    </row>
    <row r="12" spans="2:39" s="20" customFormat="1" ht="16.2">
      <c r="C12" s="183" t="s">
        <v>292</v>
      </c>
      <c r="D12" s="17">
        <v>0.5</v>
      </c>
      <c r="E12" s="14" t="s">
        <v>133</v>
      </c>
      <c r="F12" s="21"/>
      <c r="G12" s="22"/>
      <c r="H12" s="13"/>
      <c r="I12" s="13"/>
      <c r="K12" s="23"/>
      <c r="L12" s="24"/>
      <c r="M12" s="24"/>
      <c r="N12" s="24"/>
    </row>
    <row r="13" spans="2:39" s="20" customFormat="1" ht="15.6">
      <c r="C13" s="183" t="s">
        <v>134</v>
      </c>
      <c r="D13" s="15">
        <v>1</v>
      </c>
      <c r="E13" s="14" t="s">
        <v>128</v>
      </c>
      <c r="F13" s="21"/>
      <c r="G13" s="22"/>
      <c r="H13" s="13"/>
      <c r="I13" s="13"/>
      <c r="K13" s="23"/>
      <c r="L13" s="24"/>
      <c r="M13" s="24"/>
      <c r="N13" s="24"/>
    </row>
    <row r="14" spans="2:39" s="20" customFormat="1" ht="16.2">
      <c r="C14" s="183" t="s">
        <v>293</v>
      </c>
      <c r="D14" s="16">
        <f>E96</f>
        <v>0.10650000000000001</v>
      </c>
      <c r="E14" s="14" t="s">
        <v>135</v>
      </c>
      <c r="F14" s="21"/>
      <c r="G14" s="22"/>
      <c r="H14" s="13"/>
      <c r="I14" s="13"/>
      <c r="K14" s="23"/>
      <c r="L14" s="24"/>
      <c r="M14" s="24"/>
      <c r="N14" s="24"/>
    </row>
    <row r="15" spans="2:39" s="20" customFormat="1" ht="15.6">
      <c r="C15" s="183" t="s">
        <v>137</v>
      </c>
      <c r="D15" s="80">
        <f>D7*D8*(1-D9)*D10*D11*D12*D13*D14</f>
        <v>3.1949999999999999E-2</v>
      </c>
      <c r="E15" s="14" t="s">
        <v>211</v>
      </c>
      <c r="F15" s="41"/>
      <c r="G15" s="41"/>
      <c r="H15" s="13"/>
      <c r="I15" s="13"/>
      <c r="K15" s="42"/>
      <c r="L15" s="42"/>
      <c r="M15" s="42"/>
      <c r="N15" s="42"/>
    </row>
    <row r="16" spans="2:39" s="20" customFormat="1" ht="15.6">
      <c r="C16" s="183" t="s">
        <v>138</v>
      </c>
      <c r="D16" s="80">
        <f>D15*21</f>
        <v>0.67094999999999994</v>
      </c>
      <c r="E16" s="14" t="s">
        <v>275</v>
      </c>
      <c r="F16" s="41"/>
      <c r="G16" s="41"/>
      <c r="H16" s="13"/>
      <c r="I16" s="13"/>
      <c r="K16" s="42"/>
      <c r="L16" s="42"/>
      <c r="M16" s="42"/>
      <c r="N16" s="42"/>
    </row>
    <row r="17" spans="2:14" s="20" customFormat="1" ht="15.6">
      <c r="C17" s="183" t="s">
        <v>138</v>
      </c>
      <c r="D17" s="80">
        <f>((D7*E65*(E100-F100))+(D7*E66*(E101-F101))+(D7*E67*(E102-F102))+(D7*E68*(E103-F103))+(D7*E69*(E104-F104))+(D7*E70*(E105-F105))+(D7*E71*(E106-F106))+(D7*E72*(E107-F107))+(D7*E73*(E108-F108))+(D7*E74*(E109-F109))+(D7*E75*(E110-F110))+(D7*E76*(E111-F111))+(D7*E77*(E112-F112))+(D7*E78*(E113-F113))+(D7*E79*(E114-F114))+(D7*E80*(E115-F115))+(D7*E81*(E116-F116))+(D7*E82*(E117-F117))+(D7*E83*(E118-F118))+(D7*E84*(E119-F119))+(D7*E85*(E120-F120))+(D7*E86*(E121-F121))+(D7*E87*(E122-F122))+(D7*E88*(E123-F123))+(D7*E89*(E124-F124))+(D7*E90*(E125-F125))+(D7*E91*(E126-F126))+(D7*E92*(E127-F127))+(D7*E93*(E128-F128))+(D7*E94*(E129-F129)))/1000</f>
        <v>1.9737869126009906</v>
      </c>
      <c r="E17" s="14" t="s">
        <v>274</v>
      </c>
      <c r="F17" s="41"/>
      <c r="G17" s="41"/>
      <c r="H17" s="13"/>
      <c r="I17" s="13"/>
      <c r="K17" s="42"/>
      <c r="L17" s="42"/>
      <c r="M17" s="42"/>
      <c r="N17" s="42"/>
    </row>
    <row r="18" spans="2:14" s="20" customFormat="1" ht="15.6">
      <c r="C18" s="183" t="s">
        <v>276</v>
      </c>
      <c r="D18" s="172">
        <f>D17+D16</f>
        <v>2.6447369126009903</v>
      </c>
      <c r="E18" s="14"/>
      <c r="F18" s="41"/>
      <c r="G18" s="41"/>
      <c r="H18" s="13"/>
      <c r="I18" s="13"/>
      <c r="K18" s="42"/>
      <c r="L18" s="42"/>
      <c r="M18" s="42"/>
      <c r="N18" s="42"/>
    </row>
    <row r="19" spans="2:14" s="20" customFormat="1"/>
    <row r="20" spans="2:14" s="20" customFormat="1" ht="15.6">
      <c r="B20" s="186" t="s">
        <v>11</v>
      </c>
      <c r="C20" s="25" t="s">
        <v>107</v>
      </c>
      <c r="D20" s="26"/>
      <c r="E20" s="11"/>
      <c r="F20" s="23"/>
      <c r="G20" s="24"/>
      <c r="H20" s="24"/>
      <c r="I20" s="24"/>
      <c r="K20" s="24"/>
      <c r="L20" s="24"/>
      <c r="M20" s="24"/>
      <c r="N20" s="24"/>
    </row>
    <row r="21" spans="2:14" s="20" customFormat="1" ht="18">
      <c r="C21" s="25" t="s">
        <v>108</v>
      </c>
      <c r="D21" s="26"/>
      <c r="E21" s="11"/>
      <c r="F21" s="23"/>
      <c r="G21" s="24"/>
      <c r="H21" s="24"/>
      <c r="I21" s="24"/>
      <c r="K21" s="24"/>
      <c r="L21" s="24"/>
      <c r="M21" s="24"/>
      <c r="N21" s="24"/>
    </row>
    <row r="22" spans="2:14" s="20" customFormat="1" ht="15.6">
      <c r="C22" s="27"/>
      <c r="D22" s="26"/>
      <c r="E22" s="11"/>
      <c r="F22" s="23"/>
      <c r="G22" s="24"/>
      <c r="H22" s="24"/>
      <c r="I22" s="24"/>
      <c r="K22" s="24"/>
      <c r="L22" s="24"/>
      <c r="M22" s="24"/>
      <c r="N22" s="24"/>
    </row>
    <row r="23" spans="2:14" s="20" customFormat="1" ht="15.6">
      <c r="C23" s="27"/>
      <c r="D23" s="26"/>
      <c r="E23" s="11"/>
      <c r="F23" s="23"/>
      <c r="G23" s="24"/>
      <c r="H23" s="24"/>
      <c r="I23" s="24"/>
      <c r="K23" s="24"/>
      <c r="L23" s="24"/>
      <c r="M23" s="24"/>
      <c r="N23" s="24"/>
    </row>
    <row r="24" spans="2:14" s="20" customFormat="1" ht="15.6">
      <c r="C24" s="27"/>
      <c r="D24" s="26"/>
      <c r="E24" s="11"/>
      <c r="F24" s="23"/>
      <c r="G24" s="24"/>
      <c r="H24" s="24"/>
      <c r="I24" s="24"/>
      <c r="K24" s="24"/>
      <c r="L24" s="24"/>
      <c r="M24" s="24"/>
      <c r="N24" s="24"/>
    </row>
    <row r="25" spans="2:14" s="20" customFormat="1" ht="15.6">
      <c r="C25" s="27" t="s">
        <v>109</v>
      </c>
      <c r="D25" s="26"/>
      <c r="E25" s="11"/>
      <c r="F25" s="23"/>
      <c r="G25" s="24"/>
      <c r="H25" s="24"/>
      <c r="I25" s="24"/>
      <c r="K25" s="24"/>
      <c r="L25" s="24"/>
      <c r="M25" s="24"/>
      <c r="N25" s="24"/>
    </row>
    <row r="26" spans="2:14" s="20" customFormat="1" ht="15.6">
      <c r="C26" s="27"/>
      <c r="D26" s="26"/>
      <c r="E26" s="11"/>
      <c r="F26" s="23"/>
      <c r="G26" s="24"/>
      <c r="H26" s="24"/>
      <c r="I26" s="24"/>
      <c r="K26" s="24"/>
      <c r="L26" s="24"/>
      <c r="M26" s="24"/>
      <c r="N26" s="24"/>
    </row>
    <row r="27" spans="2:14" s="20" customFormat="1" ht="16.2">
      <c r="C27" s="12" t="s">
        <v>110</v>
      </c>
      <c r="D27" s="26"/>
      <c r="E27" s="11"/>
      <c r="F27" s="23"/>
      <c r="G27" s="24"/>
      <c r="H27" s="24"/>
      <c r="I27" s="24"/>
      <c r="K27" s="24"/>
      <c r="L27" s="24"/>
      <c r="M27" s="24"/>
      <c r="N27" s="24"/>
    </row>
    <row r="28" spans="2:14" s="20" customFormat="1" ht="15.6">
      <c r="C28" s="12" t="s">
        <v>111</v>
      </c>
      <c r="D28" s="26"/>
      <c r="E28" s="11"/>
      <c r="F28" s="23"/>
      <c r="G28" s="24"/>
      <c r="H28" s="24"/>
      <c r="I28" s="24"/>
      <c r="K28" s="24"/>
      <c r="L28" s="24"/>
      <c r="M28" s="24"/>
      <c r="N28" s="24"/>
    </row>
    <row r="29" spans="2:14" s="20" customFormat="1" ht="15.6">
      <c r="C29" s="12" t="s">
        <v>112</v>
      </c>
      <c r="D29" s="26"/>
      <c r="E29" s="11"/>
      <c r="F29" s="23"/>
      <c r="G29" s="24"/>
      <c r="H29" s="24"/>
      <c r="I29" s="24"/>
      <c r="K29" s="24"/>
      <c r="L29" s="24"/>
      <c r="M29" s="24"/>
      <c r="N29" s="24"/>
    </row>
    <row r="30" spans="2:14" s="20" customFormat="1" ht="16.2">
      <c r="C30" s="12" t="s">
        <v>113</v>
      </c>
      <c r="D30" s="26"/>
      <c r="E30" s="11"/>
      <c r="F30" s="23"/>
      <c r="G30" s="24"/>
      <c r="H30" s="24"/>
      <c r="I30" s="24"/>
      <c r="K30" s="24"/>
      <c r="L30" s="24"/>
      <c r="M30" s="24"/>
      <c r="N30" s="24"/>
    </row>
    <row r="31" spans="2:14" s="20" customFormat="1" ht="15.6">
      <c r="C31" s="12" t="s">
        <v>114</v>
      </c>
      <c r="D31" s="26"/>
      <c r="E31" s="11"/>
      <c r="F31" s="23"/>
      <c r="G31" s="24"/>
      <c r="H31" s="24"/>
      <c r="I31" s="24"/>
      <c r="K31" s="24"/>
      <c r="L31" s="24"/>
      <c r="M31" s="24"/>
      <c r="N31" s="24"/>
    </row>
    <row r="32" spans="2:14" s="20" customFormat="1" ht="15.6">
      <c r="C32" s="12" t="s">
        <v>115</v>
      </c>
      <c r="D32" s="26"/>
      <c r="E32" s="11"/>
      <c r="F32" s="23"/>
      <c r="G32" s="24"/>
      <c r="H32" s="24"/>
      <c r="I32" s="24"/>
      <c r="K32" s="24"/>
      <c r="L32" s="24"/>
      <c r="M32" s="24"/>
      <c r="N32" s="24"/>
    </row>
    <row r="33" spans="2:14" s="20" customFormat="1" ht="16.2">
      <c r="C33" s="12" t="s">
        <v>116</v>
      </c>
      <c r="D33" s="26"/>
      <c r="E33" s="11"/>
      <c r="F33" s="23"/>
      <c r="G33" s="24"/>
      <c r="H33" s="24"/>
      <c r="I33" s="24"/>
      <c r="K33" s="24"/>
      <c r="L33" s="24"/>
      <c r="M33" s="24"/>
      <c r="N33" s="24"/>
    </row>
    <row r="34" spans="2:14" s="20" customFormat="1" ht="15.6">
      <c r="C34" s="12" t="s">
        <v>117</v>
      </c>
      <c r="D34" s="26"/>
      <c r="E34" s="11"/>
      <c r="F34" s="23"/>
      <c r="G34" s="24"/>
      <c r="H34" s="24"/>
      <c r="I34" s="24"/>
      <c r="K34" s="24"/>
      <c r="L34" s="24"/>
      <c r="M34" s="24"/>
      <c r="N34" s="24"/>
    </row>
    <row r="35" spans="2:14" s="20" customFormat="1" ht="15.6">
      <c r="C35" s="12" t="s">
        <v>123</v>
      </c>
      <c r="D35" s="26"/>
      <c r="E35" s="11"/>
      <c r="F35" s="23"/>
      <c r="G35" s="24"/>
      <c r="H35" s="24"/>
      <c r="I35" s="24"/>
      <c r="K35" s="24"/>
      <c r="L35" s="24"/>
      <c r="M35" s="24"/>
      <c r="N35" s="24"/>
    </row>
    <row r="36" spans="2:14" s="20" customFormat="1" ht="15.6">
      <c r="C36" s="12" t="s">
        <v>121</v>
      </c>
      <c r="D36" s="26"/>
      <c r="E36" s="11"/>
      <c r="F36" s="23"/>
      <c r="G36" s="24"/>
      <c r="H36" s="24"/>
      <c r="I36" s="24"/>
      <c r="K36" s="24"/>
      <c r="L36" s="24"/>
      <c r="M36" s="24"/>
      <c r="N36" s="24"/>
    </row>
    <row r="37" spans="2:14" s="20" customFormat="1" ht="16.2">
      <c r="C37" s="12" t="s">
        <v>118</v>
      </c>
      <c r="D37" s="26"/>
      <c r="E37" s="11"/>
      <c r="F37" s="23"/>
      <c r="G37" s="24"/>
      <c r="H37" s="24"/>
      <c r="I37" s="24"/>
      <c r="K37" s="24"/>
      <c r="L37" s="24"/>
      <c r="M37" s="24"/>
      <c r="N37" s="24"/>
    </row>
    <row r="38" spans="2:14" s="20" customFormat="1" ht="16.2">
      <c r="C38" s="12" t="s">
        <v>119</v>
      </c>
      <c r="D38" s="26"/>
      <c r="E38" s="11"/>
      <c r="F38" s="23"/>
      <c r="G38" s="24"/>
      <c r="H38" s="24"/>
      <c r="I38" s="24"/>
      <c r="K38" s="24"/>
      <c r="L38" s="24"/>
      <c r="M38" s="24"/>
      <c r="N38" s="24"/>
    </row>
    <row r="39" spans="2:14" s="20" customFormat="1" ht="15.6">
      <c r="C39" s="12" t="s">
        <v>122</v>
      </c>
      <c r="D39" s="26"/>
      <c r="E39" s="11"/>
      <c r="F39" s="23"/>
      <c r="G39" s="24"/>
      <c r="H39" s="24"/>
      <c r="I39" s="24"/>
      <c r="K39" s="24"/>
      <c r="L39" s="24"/>
      <c r="M39" s="24"/>
      <c r="N39" s="24"/>
    </row>
    <row r="40" spans="2:14" s="20" customFormat="1" ht="16.2">
      <c r="C40" s="12" t="s">
        <v>120</v>
      </c>
      <c r="D40" s="26"/>
      <c r="E40" s="11"/>
      <c r="F40" s="23"/>
      <c r="G40" s="24"/>
      <c r="H40" s="24"/>
      <c r="I40" s="24"/>
      <c r="K40" s="24"/>
      <c r="L40" s="24"/>
      <c r="M40" s="24"/>
      <c r="N40" s="24"/>
    </row>
    <row r="41" spans="2:14">
      <c r="B41" s="20"/>
    </row>
    <row r="42" spans="2:14" s="20" customFormat="1" ht="15.6">
      <c r="C42" s="27"/>
      <c r="D42" s="26"/>
      <c r="E42" s="11"/>
      <c r="F42" s="28"/>
      <c r="G42" s="29"/>
      <c r="H42" s="29"/>
      <c r="I42" s="29"/>
      <c r="K42" s="29"/>
      <c r="L42" s="29"/>
      <c r="M42" s="29"/>
      <c r="N42" s="24"/>
    </row>
    <row r="43" spans="2:14" s="20" customFormat="1" ht="18">
      <c r="B43" s="84" t="s">
        <v>12</v>
      </c>
      <c r="C43" s="30" t="s">
        <v>124</v>
      </c>
      <c r="D43" s="31"/>
      <c r="E43" s="18"/>
      <c r="F43" s="32"/>
      <c r="G43" s="33"/>
      <c r="H43" s="33"/>
      <c r="I43" s="428"/>
      <c r="K43" s="427"/>
      <c r="L43" s="427"/>
      <c r="M43" s="427"/>
      <c r="N43" s="427"/>
    </row>
    <row r="44" spans="2:14" s="20" customFormat="1" ht="15.6">
      <c r="C44" s="34" t="s">
        <v>125</v>
      </c>
      <c r="D44" s="35"/>
      <c r="E44" s="19"/>
      <c r="F44" s="36"/>
      <c r="G44" s="37"/>
      <c r="H44" s="37"/>
      <c r="I44" s="429"/>
      <c r="K44" s="427"/>
      <c r="L44" s="427"/>
      <c r="M44" s="427"/>
      <c r="N44" s="427"/>
    </row>
    <row r="45" spans="2:14" s="20" customFormat="1" ht="15.6">
      <c r="C45" s="27"/>
      <c r="D45" s="26"/>
      <c r="E45" s="11"/>
      <c r="F45" s="38"/>
      <c r="G45" s="39"/>
      <c r="H45" s="39"/>
      <c r="I45" s="39"/>
      <c r="K45" s="39"/>
      <c r="L45" s="39"/>
      <c r="M45" s="39"/>
      <c r="N45" s="24"/>
    </row>
    <row r="46" spans="2:14" s="20" customFormat="1" ht="15.6">
      <c r="C46" s="27"/>
      <c r="D46" s="26"/>
      <c r="E46" s="11"/>
      <c r="F46" s="23"/>
      <c r="G46" s="24"/>
      <c r="H46" s="24"/>
      <c r="I46" s="24"/>
      <c r="K46" s="24"/>
      <c r="L46" s="24"/>
      <c r="M46" s="24"/>
      <c r="N46" s="24"/>
    </row>
    <row r="47" spans="2:14" s="20" customFormat="1" ht="15.6">
      <c r="C47" s="27"/>
      <c r="D47" s="26"/>
      <c r="E47" s="11"/>
      <c r="F47" s="23"/>
      <c r="G47" s="24"/>
      <c r="H47" s="29"/>
      <c r="I47" s="29"/>
      <c r="K47" s="24"/>
      <c r="L47" s="24"/>
      <c r="M47" s="24"/>
      <c r="N47" s="24"/>
    </row>
    <row r="48" spans="2:14" s="20" customFormat="1" ht="15.6">
      <c r="C48" s="27"/>
      <c r="D48" s="26"/>
      <c r="E48" s="11"/>
      <c r="F48" s="23"/>
      <c r="G48" s="40"/>
      <c r="H48" s="13"/>
      <c r="I48" s="13"/>
      <c r="K48" s="23"/>
      <c r="L48" s="24"/>
      <c r="M48" s="24"/>
      <c r="N48" s="24"/>
    </row>
    <row r="49" spans="3:6" s="20" customFormat="1"/>
    <row r="50" spans="3:6" s="20" customFormat="1"/>
    <row r="51" spans="3:6" s="20" customFormat="1">
      <c r="C51" s="70"/>
      <c r="D51" s="71"/>
      <c r="E51" s="72"/>
    </row>
    <row r="52" spans="3:6" s="20" customFormat="1">
      <c r="C52" s="73" t="s">
        <v>161</v>
      </c>
      <c r="D52" s="71"/>
      <c r="E52" s="72"/>
    </row>
    <row r="53" spans="3:6" s="20" customFormat="1">
      <c r="C53" s="73" t="s">
        <v>162</v>
      </c>
      <c r="D53" s="71"/>
      <c r="E53" s="72"/>
    </row>
    <row r="54" spans="3:6" s="20" customFormat="1">
      <c r="C54" s="73" t="s">
        <v>163</v>
      </c>
      <c r="D54" s="71"/>
      <c r="E54" s="72"/>
    </row>
    <row r="55" spans="3:6" s="20" customFormat="1" ht="15.6">
      <c r="C55" s="73" t="s">
        <v>164</v>
      </c>
      <c r="D55" s="71"/>
      <c r="E55" s="72"/>
    </row>
    <row r="56" spans="3:6" s="20" customFormat="1">
      <c r="C56" s="73" t="s">
        <v>615</v>
      </c>
      <c r="D56" s="71"/>
      <c r="E56" s="72"/>
    </row>
    <row r="57" spans="3:6" s="20" customFormat="1">
      <c r="C57" s="71"/>
      <c r="D57" s="71"/>
      <c r="E57" s="71"/>
    </row>
    <row r="58" spans="3:6" s="20" customFormat="1">
      <c r="C58" s="361" t="s">
        <v>165</v>
      </c>
      <c r="D58" s="365" t="s">
        <v>24</v>
      </c>
      <c r="E58" s="366" t="s">
        <v>703</v>
      </c>
      <c r="F58" s="366" t="s">
        <v>704</v>
      </c>
    </row>
    <row r="59" spans="3:6" s="20" customFormat="1">
      <c r="C59" s="63" t="s">
        <v>647</v>
      </c>
      <c r="D59" s="364" t="s">
        <v>646</v>
      </c>
      <c r="E59" s="392">
        <f t="shared" ref="E59:E94" si="0">F59/$D$7</f>
        <v>0.05</v>
      </c>
      <c r="F59" s="393">
        <v>0.05</v>
      </c>
    </row>
    <row r="60" spans="3:6" s="20" customFormat="1">
      <c r="C60" s="63" t="s">
        <v>648</v>
      </c>
      <c r="D60" s="364" t="s">
        <v>646</v>
      </c>
      <c r="E60" s="392">
        <f t="shared" si="0"/>
        <v>0.05</v>
      </c>
      <c r="F60" s="394">
        <v>0.05</v>
      </c>
    </row>
    <row r="61" spans="3:6" s="20" customFormat="1">
      <c r="C61" s="63" t="s">
        <v>649</v>
      </c>
      <c r="D61" s="364" t="s">
        <v>646</v>
      </c>
      <c r="E61" s="392">
        <f t="shared" si="0"/>
        <v>0.05</v>
      </c>
      <c r="F61" s="394">
        <v>0.05</v>
      </c>
    </row>
    <row r="62" spans="3:6" s="20" customFormat="1">
      <c r="C62" s="63" t="s">
        <v>650</v>
      </c>
      <c r="D62" s="364" t="s">
        <v>646</v>
      </c>
      <c r="E62" s="392">
        <f t="shared" si="0"/>
        <v>0.05</v>
      </c>
      <c r="F62" s="394">
        <v>0.05</v>
      </c>
    </row>
    <row r="63" spans="3:6" s="20" customFormat="1">
      <c r="C63" s="63" t="s">
        <v>651</v>
      </c>
      <c r="D63" s="364" t="s">
        <v>646</v>
      </c>
      <c r="E63" s="392">
        <f t="shared" si="0"/>
        <v>0.05</v>
      </c>
      <c r="F63" s="394">
        <v>0.05</v>
      </c>
    </row>
    <row r="64" spans="3:6" s="20" customFormat="1">
      <c r="C64" s="368" t="s">
        <v>652</v>
      </c>
      <c r="D64" s="364" t="s">
        <v>646</v>
      </c>
      <c r="E64" s="392">
        <f t="shared" si="0"/>
        <v>0.05</v>
      </c>
      <c r="F64" s="395">
        <v>0.05</v>
      </c>
    </row>
    <row r="65" spans="3:6" s="20" customFormat="1">
      <c r="C65" s="63" t="s">
        <v>631</v>
      </c>
      <c r="D65" s="364" t="s">
        <v>646</v>
      </c>
      <c r="E65" s="392">
        <f t="shared" si="0"/>
        <v>0.02</v>
      </c>
      <c r="F65" s="396">
        <v>0.02</v>
      </c>
    </row>
    <row r="66" spans="3:6" s="20" customFormat="1">
      <c r="C66" s="63" t="s">
        <v>630</v>
      </c>
      <c r="D66" s="364" t="s">
        <v>646</v>
      </c>
      <c r="E66" s="392">
        <f t="shared" si="0"/>
        <v>0.02</v>
      </c>
      <c r="F66" s="394">
        <v>0.02</v>
      </c>
    </row>
    <row r="67" spans="3:6" s="20" customFormat="1">
      <c r="C67" s="362" t="s">
        <v>629</v>
      </c>
      <c r="D67" s="367" t="s">
        <v>646</v>
      </c>
      <c r="E67" s="392">
        <f t="shared" si="0"/>
        <v>0.02</v>
      </c>
      <c r="F67" s="395">
        <v>0.02</v>
      </c>
    </row>
    <row r="68" spans="3:6" s="20" customFormat="1">
      <c r="C68" s="63" t="s">
        <v>645</v>
      </c>
      <c r="D68" s="364" t="s">
        <v>646</v>
      </c>
      <c r="E68" s="392">
        <f t="shared" si="0"/>
        <v>0.05</v>
      </c>
      <c r="F68" s="393">
        <v>0.05</v>
      </c>
    </row>
    <row r="69" spans="3:6" s="20" customFormat="1">
      <c r="C69" s="63" t="s">
        <v>643</v>
      </c>
      <c r="D69" s="364" t="s">
        <v>646</v>
      </c>
      <c r="E69" s="392">
        <f t="shared" si="0"/>
        <v>0.05</v>
      </c>
      <c r="F69" s="394">
        <v>0.05</v>
      </c>
    </row>
    <row r="70" spans="3:6" s="20" customFormat="1">
      <c r="C70" s="63" t="s">
        <v>642</v>
      </c>
      <c r="D70" s="364" t="s">
        <v>646</v>
      </c>
      <c r="E70" s="392">
        <f t="shared" si="0"/>
        <v>2.5999999999999999E-2</v>
      </c>
      <c r="F70" s="394">
        <v>2.5999999999999999E-2</v>
      </c>
    </row>
    <row r="71" spans="3:6" s="20" customFormat="1">
      <c r="C71" s="63" t="s">
        <v>644</v>
      </c>
      <c r="D71" s="364" t="s">
        <v>646</v>
      </c>
      <c r="E71" s="392">
        <f t="shared" si="0"/>
        <v>0.02</v>
      </c>
      <c r="F71" s="394">
        <v>0.02</v>
      </c>
    </row>
    <row r="72" spans="3:6" s="20" customFormat="1">
      <c r="C72" s="63" t="s">
        <v>633</v>
      </c>
      <c r="D72" s="364" t="s">
        <v>646</v>
      </c>
      <c r="E72" s="392">
        <f t="shared" si="0"/>
        <v>0.02</v>
      </c>
      <c r="F72" s="394">
        <v>0.02</v>
      </c>
    </row>
    <row r="73" spans="3:6" s="20" customFormat="1">
      <c r="C73" s="63" t="s">
        <v>634</v>
      </c>
      <c r="D73" s="364" t="s">
        <v>646</v>
      </c>
      <c r="E73" s="392">
        <f t="shared" si="0"/>
        <v>0.02</v>
      </c>
      <c r="F73" s="394">
        <v>0.02</v>
      </c>
    </row>
    <row r="74" spans="3:6" s="20" customFormat="1">
      <c r="C74" s="63" t="s">
        <v>635</v>
      </c>
      <c r="D74" s="364" t="s">
        <v>646</v>
      </c>
      <c r="E74" s="392">
        <f t="shared" si="0"/>
        <v>0.02</v>
      </c>
      <c r="F74" s="394">
        <v>0.02</v>
      </c>
    </row>
    <row r="75" spans="3:6" s="20" customFormat="1">
      <c r="C75" s="63" t="s">
        <v>636</v>
      </c>
      <c r="D75" s="364" t="s">
        <v>646</v>
      </c>
      <c r="E75" s="392">
        <f t="shared" si="0"/>
        <v>0.02</v>
      </c>
      <c r="F75" s="394">
        <v>0.02</v>
      </c>
    </row>
    <row r="76" spans="3:6" s="20" customFormat="1">
      <c r="C76" s="63" t="s">
        <v>637</v>
      </c>
      <c r="D76" s="364" t="s">
        <v>646</v>
      </c>
      <c r="E76" s="392">
        <f t="shared" si="0"/>
        <v>0.02</v>
      </c>
      <c r="F76" s="394">
        <v>0.02</v>
      </c>
    </row>
    <row r="77" spans="3:6" s="20" customFormat="1">
      <c r="C77" s="63" t="s">
        <v>653</v>
      </c>
      <c r="D77" s="364" t="s">
        <v>646</v>
      </c>
      <c r="E77" s="392">
        <f t="shared" si="0"/>
        <v>0.02</v>
      </c>
      <c r="F77" s="394">
        <v>0.02</v>
      </c>
    </row>
    <row r="78" spans="3:6" s="20" customFormat="1">
      <c r="C78" s="63" t="s">
        <v>638</v>
      </c>
      <c r="D78" s="364" t="s">
        <v>646</v>
      </c>
      <c r="E78" s="392">
        <f t="shared" si="0"/>
        <v>0.02</v>
      </c>
      <c r="F78" s="394">
        <v>0.02</v>
      </c>
    </row>
    <row r="79" spans="3:6" s="20" customFormat="1">
      <c r="C79" s="63" t="s">
        <v>654</v>
      </c>
      <c r="D79" s="364" t="s">
        <v>646</v>
      </c>
      <c r="E79" s="392">
        <f t="shared" si="0"/>
        <v>0.02</v>
      </c>
      <c r="F79" s="394">
        <v>0.02</v>
      </c>
    </row>
    <row r="80" spans="3:6" s="20" customFormat="1">
      <c r="C80" s="63" t="s">
        <v>655</v>
      </c>
      <c r="D80" s="364" t="s">
        <v>646</v>
      </c>
      <c r="E80" s="392">
        <f t="shared" si="0"/>
        <v>0.02</v>
      </c>
      <c r="F80" s="394">
        <v>0.02</v>
      </c>
    </row>
    <row r="81" spans="3:6" s="20" customFormat="1">
      <c r="C81" s="63" t="s">
        <v>656</v>
      </c>
      <c r="D81" s="364" t="s">
        <v>646</v>
      </c>
      <c r="E81" s="392">
        <f t="shared" si="0"/>
        <v>0.02</v>
      </c>
      <c r="F81" s="394">
        <v>0.02</v>
      </c>
    </row>
    <row r="82" spans="3:6" s="20" customFormat="1">
      <c r="C82" s="63" t="s">
        <v>657</v>
      </c>
      <c r="D82" s="364" t="s">
        <v>646</v>
      </c>
      <c r="E82" s="392">
        <f t="shared" si="0"/>
        <v>0.02</v>
      </c>
      <c r="F82" s="394">
        <v>0.02</v>
      </c>
    </row>
    <row r="83" spans="3:6" s="20" customFormat="1">
      <c r="C83" s="63" t="s">
        <v>658</v>
      </c>
      <c r="D83" s="364" t="s">
        <v>646</v>
      </c>
      <c r="E83" s="392">
        <f t="shared" si="0"/>
        <v>0.02</v>
      </c>
      <c r="F83" s="394">
        <v>0.02</v>
      </c>
    </row>
    <row r="84" spans="3:6" s="20" customFormat="1">
      <c r="C84" s="63" t="s">
        <v>659</v>
      </c>
      <c r="D84" s="364" t="s">
        <v>646</v>
      </c>
      <c r="E84" s="392">
        <f t="shared" si="0"/>
        <v>0.02</v>
      </c>
      <c r="F84" s="394">
        <v>0.02</v>
      </c>
    </row>
    <row r="85" spans="3:6" s="20" customFormat="1">
      <c r="C85" s="63" t="s">
        <v>639</v>
      </c>
      <c r="D85" s="364" t="s">
        <v>646</v>
      </c>
      <c r="E85" s="392">
        <f t="shared" si="0"/>
        <v>0.02</v>
      </c>
      <c r="F85" s="394">
        <v>0.02</v>
      </c>
    </row>
    <row r="86" spans="3:6" s="20" customFormat="1">
      <c r="C86" s="63" t="s">
        <v>640</v>
      </c>
      <c r="D86" s="364" t="s">
        <v>646</v>
      </c>
      <c r="E86" s="392">
        <f t="shared" si="0"/>
        <v>0.02</v>
      </c>
      <c r="F86" s="394">
        <v>0.02</v>
      </c>
    </row>
    <row r="87" spans="3:6" s="20" customFormat="1">
      <c r="C87" s="63" t="s">
        <v>641</v>
      </c>
      <c r="D87" s="364" t="s">
        <v>646</v>
      </c>
      <c r="E87" s="392">
        <f t="shared" si="0"/>
        <v>0.02</v>
      </c>
      <c r="F87" s="394">
        <v>0.02</v>
      </c>
    </row>
    <row r="88" spans="3:6" s="20" customFormat="1">
      <c r="C88" s="63" t="s">
        <v>623</v>
      </c>
      <c r="D88" s="364" t="s">
        <v>646</v>
      </c>
      <c r="E88" s="392">
        <f t="shared" si="0"/>
        <v>0.02</v>
      </c>
      <c r="F88" s="394">
        <v>0.02</v>
      </c>
    </row>
    <row r="89" spans="3:6" s="20" customFormat="1">
      <c r="C89" s="63" t="s">
        <v>624</v>
      </c>
      <c r="D89" s="364" t="s">
        <v>646</v>
      </c>
      <c r="E89" s="392">
        <f t="shared" si="0"/>
        <v>0.02</v>
      </c>
      <c r="F89" s="394">
        <v>0.02</v>
      </c>
    </row>
    <row r="90" spans="3:6" s="20" customFormat="1">
      <c r="C90" s="63" t="s">
        <v>625</v>
      </c>
      <c r="D90" s="364" t="s">
        <v>646</v>
      </c>
      <c r="E90" s="392">
        <f t="shared" si="0"/>
        <v>0.02</v>
      </c>
      <c r="F90" s="394">
        <v>0.02</v>
      </c>
    </row>
    <row r="91" spans="3:6" s="20" customFormat="1">
      <c r="C91" s="63" t="s">
        <v>626</v>
      </c>
      <c r="D91" s="364" t="s">
        <v>646</v>
      </c>
      <c r="E91" s="392">
        <f t="shared" si="0"/>
        <v>0.02</v>
      </c>
      <c r="F91" s="394">
        <v>0.02</v>
      </c>
    </row>
    <row r="92" spans="3:6" s="20" customFormat="1">
      <c r="C92" s="63" t="s">
        <v>627</v>
      </c>
      <c r="D92" s="364" t="s">
        <v>646</v>
      </c>
      <c r="E92" s="392">
        <f t="shared" si="0"/>
        <v>0.02</v>
      </c>
      <c r="F92" s="394">
        <v>0.02</v>
      </c>
    </row>
    <row r="93" spans="3:6" s="20" customFormat="1">
      <c r="C93" s="63" t="s">
        <v>628</v>
      </c>
      <c r="D93" s="364" t="s">
        <v>646</v>
      </c>
      <c r="E93" s="392">
        <f t="shared" si="0"/>
        <v>0.02</v>
      </c>
      <c r="F93" s="394">
        <v>0.02</v>
      </c>
    </row>
    <row r="94" spans="3:6" s="20" customFormat="1">
      <c r="C94" s="63" t="s">
        <v>271</v>
      </c>
      <c r="D94" s="363" t="s">
        <v>646</v>
      </c>
      <c r="E94" s="392">
        <f t="shared" si="0"/>
        <v>0.02</v>
      </c>
      <c r="F94" s="394">
        <v>0.02</v>
      </c>
    </row>
    <row r="95" spans="3:6" s="20" customFormat="1">
      <c r="C95" s="360" t="s">
        <v>180</v>
      </c>
      <c r="D95" s="363" t="s">
        <v>181</v>
      </c>
      <c r="E95" s="397">
        <f>IF(SUM(E59:E94)&gt;1, "Erro! &gt;100%", 1-(SUM(E59:E94)))</f>
        <v>3.3999999999999586E-2</v>
      </c>
    </row>
    <row r="96" spans="3:6" s="20" customFormat="1">
      <c r="C96" s="67" t="s">
        <v>182</v>
      </c>
      <c r="D96" s="68" t="s">
        <v>183</v>
      </c>
      <c r="E96" s="69">
        <f>(((E65+E66+E67)*0.4)+(E59*0.24)+(E60*0.15)+(E61*0.43)+(E62*0.2)+(E63*0.24)+(E64*0.39))</f>
        <v>0.10650000000000001</v>
      </c>
    </row>
    <row r="97" spans="2:6">
      <c r="B97" s="20"/>
    </row>
    <row r="98" spans="2:6">
      <c r="B98" s="20" t="s">
        <v>616</v>
      </c>
      <c r="C98" s="20" t="s">
        <v>580</v>
      </c>
      <c r="D98" s="335"/>
      <c r="E98" s="336" t="s">
        <v>537</v>
      </c>
      <c r="F98" s="349" t="s">
        <v>270</v>
      </c>
    </row>
    <row r="99" spans="2:6" ht="16.2">
      <c r="B99" s="337" t="s">
        <v>582</v>
      </c>
      <c r="C99" s="337" t="s">
        <v>269</v>
      </c>
      <c r="D99" s="338" t="s">
        <v>23</v>
      </c>
      <c r="E99" s="348" t="s">
        <v>611</v>
      </c>
      <c r="F99" s="350" t="s">
        <v>611</v>
      </c>
    </row>
    <row r="100" spans="2:6">
      <c r="B100" s="406" t="s">
        <v>272</v>
      </c>
      <c r="C100" s="339" t="s">
        <v>631</v>
      </c>
      <c r="D100" s="339" t="s">
        <v>273</v>
      </c>
      <c r="E100" s="343">
        <v>821.23388921466801</v>
      </c>
      <c r="F100" s="343">
        <v>718.53527585893062</v>
      </c>
    </row>
    <row r="101" spans="2:6">
      <c r="B101" s="406"/>
      <c r="C101" s="339" t="s">
        <v>630</v>
      </c>
      <c r="D101" s="339" t="s">
        <v>273</v>
      </c>
      <c r="E101" s="343">
        <v>881.18936143085875</v>
      </c>
      <c r="F101" s="343">
        <v>731.27672749000294</v>
      </c>
    </row>
    <row r="102" spans="2:6">
      <c r="B102" s="406"/>
      <c r="C102" s="339" t="s">
        <v>629</v>
      </c>
      <c r="D102" s="339" t="s">
        <v>273</v>
      </c>
      <c r="E102" s="343">
        <v>919.39628000000005</v>
      </c>
      <c r="F102" s="343">
        <v>739.39628000000005</v>
      </c>
    </row>
    <row r="103" spans="2:6">
      <c r="B103" s="406" t="s">
        <v>632</v>
      </c>
      <c r="C103" s="339" t="s">
        <v>645</v>
      </c>
      <c r="D103" s="339" t="s">
        <v>273</v>
      </c>
      <c r="E103" s="340">
        <v>4363.33</v>
      </c>
      <c r="F103" s="342">
        <f t="shared" ref="F103:F109" si="1">$E$158*1000</f>
        <v>3207.7260562264778</v>
      </c>
    </row>
    <row r="104" spans="2:6">
      <c r="B104" s="406"/>
      <c r="C104" s="339" t="s">
        <v>643</v>
      </c>
      <c r="D104" s="339" t="s">
        <v>273</v>
      </c>
      <c r="E104" s="340">
        <v>3267</v>
      </c>
      <c r="F104" s="342">
        <f t="shared" si="1"/>
        <v>3207.7260562264778</v>
      </c>
    </row>
    <row r="105" spans="2:6">
      <c r="B105" s="406"/>
      <c r="C105" s="339" t="s">
        <v>642</v>
      </c>
      <c r="D105" s="339" t="s">
        <v>273</v>
      </c>
      <c r="E105" s="340">
        <v>24865.48</v>
      </c>
      <c r="F105" s="342">
        <f t="shared" si="1"/>
        <v>3207.7260562264778</v>
      </c>
    </row>
    <row r="106" spans="2:6">
      <c r="B106" s="406"/>
      <c r="C106" s="339" t="s">
        <v>644</v>
      </c>
      <c r="D106" s="339" t="s">
        <v>273</v>
      </c>
      <c r="E106" s="340">
        <v>5647.95</v>
      </c>
      <c r="F106" s="342">
        <f t="shared" si="1"/>
        <v>3207.7260562264778</v>
      </c>
    </row>
    <row r="107" spans="2:6">
      <c r="B107" s="406"/>
      <c r="C107" s="339" t="s">
        <v>633</v>
      </c>
      <c r="D107" s="339" t="s">
        <v>273</v>
      </c>
      <c r="E107" s="340">
        <v>4633.4799999999996</v>
      </c>
      <c r="F107" s="342">
        <f t="shared" si="1"/>
        <v>3207.7260562264778</v>
      </c>
    </row>
    <row r="108" spans="2:6">
      <c r="B108" s="406"/>
      <c r="C108" s="339" t="s">
        <v>634</v>
      </c>
      <c r="D108" s="339" t="s">
        <v>273</v>
      </c>
      <c r="E108" s="340">
        <v>6308</v>
      </c>
      <c r="F108" s="342">
        <f t="shared" si="1"/>
        <v>3207.7260562264778</v>
      </c>
    </row>
    <row r="109" spans="2:6">
      <c r="B109" s="406"/>
      <c r="C109" s="339" t="s">
        <v>635</v>
      </c>
      <c r="D109" s="339" t="s">
        <v>273</v>
      </c>
      <c r="E109" s="340">
        <v>28380</v>
      </c>
      <c r="F109" s="342">
        <f t="shared" si="1"/>
        <v>3207.7260562264778</v>
      </c>
    </row>
    <row r="110" spans="2:6">
      <c r="B110" s="407" t="s">
        <v>538</v>
      </c>
      <c r="C110" s="339" t="s">
        <v>636</v>
      </c>
      <c r="D110" s="339" t="s">
        <v>273</v>
      </c>
      <c r="E110" s="341">
        <v>9122.6364000000012</v>
      </c>
      <c r="F110" s="342">
        <v>999.39628000000005</v>
      </c>
    </row>
    <row r="111" spans="2:6">
      <c r="B111" s="408"/>
      <c r="C111" s="339" t="s">
        <v>637</v>
      </c>
      <c r="D111" s="339" t="s">
        <v>273</v>
      </c>
      <c r="E111" s="341">
        <v>5268.5564000000004</v>
      </c>
      <c r="F111" s="341">
        <v>1473.7899568</v>
      </c>
    </row>
    <row r="112" spans="2:6">
      <c r="B112" s="408"/>
      <c r="C112" s="339" t="s">
        <v>653</v>
      </c>
      <c r="D112" s="339" t="s">
        <v>273</v>
      </c>
      <c r="E112" s="341">
        <v>3682.6829001536098</v>
      </c>
      <c r="F112" s="341">
        <v>1633.1778227342547</v>
      </c>
    </row>
    <row r="113" spans="2:6">
      <c r="B113" s="408"/>
      <c r="C113" s="339" t="s">
        <v>638</v>
      </c>
      <c r="D113" s="339" t="s">
        <v>273</v>
      </c>
      <c r="E113" s="341">
        <v>3100.6363999999999</v>
      </c>
      <c r="F113" s="341">
        <v>1740.6363999999999</v>
      </c>
    </row>
    <row r="114" spans="2:6">
      <c r="B114" s="408"/>
      <c r="C114" s="339" t="s">
        <v>654</v>
      </c>
      <c r="D114" s="339" t="s">
        <v>273</v>
      </c>
      <c r="E114" s="341">
        <f t="shared" ref="E114:E119" si="2">$E$112</f>
        <v>3682.6829001536098</v>
      </c>
      <c r="F114" s="341">
        <f>1000*G143</f>
        <v>1180</v>
      </c>
    </row>
    <row r="115" spans="2:6">
      <c r="B115" s="408"/>
      <c r="C115" s="339" t="s">
        <v>655</v>
      </c>
      <c r="D115" s="339" t="s">
        <v>273</v>
      </c>
      <c r="E115" s="341">
        <f t="shared" si="2"/>
        <v>3682.6829001536098</v>
      </c>
      <c r="F115" s="341">
        <f>1000*F144</f>
        <v>1130</v>
      </c>
    </row>
    <row r="116" spans="2:6">
      <c r="B116" s="408"/>
      <c r="C116" s="339" t="s">
        <v>656</v>
      </c>
      <c r="D116" s="339" t="s">
        <v>273</v>
      </c>
      <c r="E116" s="341">
        <f t="shared" si="2"/>
        <v>3682.6829001536098</v>
      </c>
      <c r="F116" s="341">
        <f>1000*I145</f>
        <v>1900</v>
      </c>
    </row>
    <row r="117" spans="2:6">
      <c r="B117" s="408"/>
      <c r="C117" s="339" t="s">
        <v>657</v>
      </c>
      <c r="D117" s="339" t="s">
        <v>273</v>
      </c>
      <c r="E117" s="341">
        <f t="shared" si="2"/>
        <v>3682.6829001536098</v>
      </c>
      <c r="F117" s="341">
        <f t="shared" ref="F117:F119" si="3">1000*I146</f>
        <v>2150</v>
      </c>
    </row>
    <row r="118" spans="2:6">
      <c r="B118" s="408"/>
      <c r="C118" s="339" t="s">
        <v>658</v>
      </c>
      <c r="D118" s="339" t="s">
        <v>273</v>
      </c>
      <c r="E118" s="341">
        <f t="shared" si="2"/>
        <v>3682.6829001536098</v>
      </c>
      <c r="F118" s="341">
        <f t="shared" si="3"/>
        <v>1800</v>
      </c>
    </row>
    <row r="119" spans="2:6">
      <c r="B119" s="409"/>
      <c r="C119" s="339" t="s">
        <v>659</v>
      </c>
      <c r="D119" s="339" t="s">
        <v>273</v>
      </c>
      <c r="E119" s="341">
        <f t="shared" si="2"/>
        <v>3682.6829001536098</v>
      </c>
      <c r="F119" s="341">
        <f t="shared" si="3"/>
        <v>1610</v>
      </c>
    </row>
    <row r="120" spans="2:6">
      <c r="B120" s="406" t="s">
        <v>583</v>
      </c>
      <c r="C120" s="339" t="s">
        <v>639</v>
      </c>
      <c r="D120" s="339" t="s">
        <v>273</v>
      </c>
      <c r="E120" s="341">
        <v>3116.2915638696181</v>
      </c>
      <c r="F120" s="341">
        <v>2326.530279895238</v>
      </c>
    </row>
    <row r="121" spans="2:6">
      <c r="B121" s="406"/>
      <c r="C121" s="339" t="s">
        <v>640</v>
      </c>
      <c r="D121" s="339" t="s">
        <v>273</v>
      </c>
      <c r="E121" s="341">
        <v>2574.1647528352833</v>
      </c>
      <c r="F121" s="341">
        <v>1894.6286272087464</v>
      </c>
    </row>
    <row r="122" spans="2:6">
      <c r="B122" s="406"/>
      <c r="C122" s="339" t="s">
        <v>641</v>
      </c>
      <c r="D122" s="339" t="s">
        <v>273</v>
      </c>
      <c r="E122" s="341">
        <v>3276.7069334313005</v>
      </c>
      <c r="F122" s="341">
        <v>2748.8329795793861</v>
      </c>
    </row>
    <row r="123" spans="2:6">
      <c r="B123" s="406"/>
      <c r="C123" s="339" t="s">
        <v>623</v>
      </c>
      <c r="D123" s="339" t="s">
        <v>273</v>
      </c>
      <c r="E123" s="341">
        <v>3269.8388922118374</v>
      </c>
      <c r="F123" s="341">
        <v>2350.6163417001762</v>
      </c>
    </row>
    <row r="124" spans="2:6">
      <c r="B124" s="406"/>
      <c r="C124" s="339" t="s">
        <v>624</v>
      </c>
      <c r="D124" s="339" t="s">
        <v>273</v>
      </c>
      <c r="E124" s="341">
        <v>2600.6363999999999</v>
      </c>
      <c r="F124" s="341">
        <v>1797.2226780767996</v>
      </c>
    </row>
    <row r="125" spans="2:6">
      <c r="B125" s="406"/>
      <c r="C125" s="339" t="s">
        <v>625</v>
      </c>
      <c r="D125" s="339" t="s">
        <v>273</v>
      </c>
      <c r="E125" s="341">
        <v>4032.3924975609766</v>
      </c>
      <c r="F125" s="341">
        <v>3125.2715672888985</v>
      </c>
    </row>
    <row r="126" spans="2:6">
      <c r="B126" s="406"/>
      <c r="C126" s="339" t="s">
        <v>626</v>
      </c>
      <c r="D126" s="339" t="s">
        <v>273</v>
      </c>
      <c r="E126" s="341">
        <v>3104.7269923344943</v>
      </c>
      <c r="F126" s="341">
        <v>2541.3132704112945</v>
      </c>
    </row>
    <row r="127" spans="2:6">
      <c r="B127" s="406"/>
      <c r="C127" s="339" t="s">
        <v>627</v>
      </c>
      <c r="D127" s="339" t="s">
        <v>273</v>
      </c>
      <c r="E127" s="341">
        <v>3777.9489000000003</v>
      </c>
      <c r="F127" s="341">
        <v>3198.9573171428574</v>
      </c>
    </row>
    <row r="128" spans="2:6">
      <c r="B128" s="406"/>
      <c r="C128" s="339" t="s">
        <v>628</v>
      </c>
      <c r="D128" s="339" t="s">
        <v>273</v>
      </c>
      <c r="E128" s="341">
        <v>3413.0841611940295</v>
      </c>
      <c r="F128" s="341">
        <v>2489.6704392708298</v>
      </c>
    </row>
    <row r="129" spans="2:11">
      <c r="B129" s="339" t="s">
        <v>584</v>
      </c>
      <c r="C129" s="339" t="s">
        <v>271</v>
      </c>
      <c r="D129" s="339" t="s">
        <v>273</v>
      </c>
      <c r="E129" s="341">
        <v>1402.7666666666664</v>
      </c>
      <c r="F129" s="341">
        <v>823.18953918534748</v>
      </c>
    </row>
    <row r="130" spans="2:11">
      <c r="B130" s="20"/>
    </row>
    <row r="131" spans="2:11">
      <c r="B131" s="20"/>
    </row>
    <row r="132" spans="2:11" ht="15" customHeight="1">
      <c r="B132" s="20" t="s">
        <v>617</v>
      </c>
      <c r="C132" s="296"/>
      <c r="D132" s="296"/>
      <c r="E132" s="296"/>
      <c r="F132" s="296"/>
      <c r="G132" s="296"/>
      <c r="H132" s="296"/>
      <c r="I132" s="296"/>
      <c r="K132" s="296"/>
    </row>
    <row r="133" spans="2:11" ht="15" customHeight="1">
      <c r="B133" s="20"/>
      <c r="C133" s="296"/>
      <c r="D133" s="296"/>
      <c r="E133" s="296"/>
      <c r="F133" s="296"/>
      <c r="G133" s="296"/>
      <c r="H133" s="296"/>
      <c r="I133" s="296"/>
      <c r="K133" s="296"/>
    </row>
    <row r="134" spans="2:11" ht="15" customHeight="1">
      <c r="B134" s="347" t="s">
        <v>612</v>
      </c>
      <c r="C134" s="296"/>
      <c r="D134" s="296"/>
      <c r="E134" s="296"/>
      <c r="F134" s="296"/>
      <c r="G134" s="296"/>
      <c r="H134" s="296"/>
      <c r="I134" s="296"/>
      <c r="K134" s="296"/>
    </row>
    <row r="135" spans="2:11" ht="28.8">
      <c r="B135" s="20"/>
      <c r="C135" s="280" t="s">
        <v>614</v>
      </c>
      <c r="D135" s="281" t="s">
        <v>548</v>
      </c>
      <c r="E135" s="281" t="s">
        <v>549</v>
      </c>
      <c r="F135" s="281" t="s">
        <v>550</v>
      </c>
      <c r="G135" s="281" t="s">
        <v>551</v>
      </c>
      <c r="H135" s="281" t="s">
        <v>552</v>
      </c>
      <c r="I135" s="281" t="s">
        <v>553</v>
      </c>
      <c r="K135" s="296"/>
    </row>
    <row r="136" spans="2:11" ht="15" customHeight="1">
      <c r="B136" s="20"/>
      <c r="C136" s="280" t="s">
        <v>613</v>
      </c>
      <c r="D136" s="405" t="s">
        <v>554</v>
      </c>
      <c r="E136" s="405" t="s">
        <v>555</v>
      </c>
      <c r="F136" s="405" t="s">
        <v>556</v>
      </c>
      <c r="G136" s="405" t="s">
        <v>557</v>
      </c>
      <c r="H136" s="405" t="s">
        <v>558</v>
      </c>
      <c r="I136" s="282" t="s">
        <v>559</v>
      </c>
      <c r="K136" s="296"/>
    </row>
    <row r="137" spans="2:11" ht="15" customHeight="1">
      <c r="B137" s="296"/>
      <c r="C137" s="296"/>
      <c r="D137" s="296"/>
      <c r="E137" s="296"/>
      <c r="F137" s="296"/>
      <c r="G137" s="296"/>
      <c r="H137" s="296"/>
      <c r="I137" s="296"/>
      <c r="K137" s="296"/>
    </row>
    <row r="138" spans="2:11" ht="16.05" customHeight="1">
      <c r="B138" s="413" t="s">
        <v>560</v>
      </c>
      <c r="C138" s="283" t="s">
        <v>560</v>
      </c>
      <c r="D138" s="284">
        <v>1.4870000000000001</v>
      </c>
      <c r="E138" s="285"/>
      <c r="F138" s="289">
        <v>1.57</v>
      </c>
      <c r="G138" s="285"/>
      <c r="H138" s="285"/>
      <c r="I138" s="287">
        <v>0.97</v>
      </c>
      <c r="K138" s="296"/>
    </row>
    <row r="139" spans="2:11" ht="16.05" customHeight="1">
      <c r="B139" s="414"/>
      <c r="C139" s="283" t="s">
        <v>561</v>
      </c>
      <c r="D139" s="285"/>
      <c r="E139" s="285"/>
      <c r="F139" s="346"/>
      <c r="G139" s="286">
        <v>1</v>
      </c>
      <c r="H139" s="285"/>
      <c r="I139" s="288"/>
      <c r="K139" s="296"/>
    </row>
    <row r="140" spans="2:11" ht="16.05" customHeight="1">
      <c r="B140" s="279"/>
      <c r="C140" s="292"/>
      <c r="D140" s="290"/>
      <c r="E140" s="290"/>
      <c r="F140" s="293"/>
      <c r="G140" s="290"/>
      <c r="H140" s="290"/>
      <c r="I140" s="290"/>
      <c r="K140" s="296"/>
    </row>
    <row r="141" spans="2:11" ht="16.05" customHeight="1">
      <c r="B141" s="413" t="s">
        <v>562</v>
      </c>
      <c r="C141" s="283" t="s">
        <v>563</v>
      </c>
      <c r="D141" s="284">
        <v>9.0739999999999998</v>
      </c>
      <c r="E141" s="285"/>
      <c r="F141" s="289">
        <v>7.11</v>
      </c>
      <c r="G141" s="286">
        <v>11.1</v>
      </c>
      <c r="H141" s="285"/>
      <c r="I141" s="287">
        <v>3.54</v>
      </c>
      <c r="K141" s="296"/>
    </row>
    <row r="142" spans="2:11" ht="16.05" customHeight="1">
      <c r="B142" s="415"/>
      <c r="C142" s="283" t="s">
        <v>564</v>
      </c>
      <c r="D142" s="285"/>
      <c r="E142" s="289">
        <v>14.958365148794948</v>
      </c>
      <c r="F142" s="285"/>
      <c r="G142" s="285"/>
      <c r="H142" s="285"/>
      <c r="I142" s="288"/>
      <c r="K142" s="296"/>
    </row>
    <row r="143" spans="2:11" ht="16.05" customHeight="1">
      <c r="B143" s="415"/>
      <c r="C143" s="283" t="s">
        <v>565</v>
      </c>
      <c r="D143" s="285"/>
      <c r="E143" s="291"/>
      <c r="F143" s="285"/>
      <c r="G143" s="286">
        <v>1.18</v>
      </c>
      <c r="H143" s="285"/>
      <c r="I143" s="287">
        <v>0.81</v>
      </c>
      <c r="K143" s="296"/>
    </row>
    <row r="144" spans="2:11" ht="16.05" customHeight="1">
      <c r="B144" s="415"/>
      <c r="C144" s="283" t="s">
        <v>566</v>
      </c>
      <c r="D144" s="285"/>
      <c r="E144" s="289">
        <v>5.4233718888777558</v>
      </c>
      <c r="F144" s="289">
        <v>1.1299999999999999</v>
      </c>
      <c r="G144" s="285"/>
      <c r="H144" s="285"/>
      <c r="I144" s="288"/>
      <c r="K144" s="296"/>
    </row>
    <row r="145" spans="2:11" ht="16.05" customHeight="1">
      <c r="B145" s="415"/>
      <c r="C145" s="283" t="s">
        <v>567</v>
      </c>
      <c r="D145" s="285"/>
      <c r="E145" s="291"/>
      <c r="F145" s="291"/>
      <c r="G145" s="285"/>
      <c r="H145" s="285"/>
      <c r="I145" s="287">
        <v>1.9</v>
      </c>
      <c r="K145" s="296"/>
    </row>
    <row r="146" spans="2:11" ht="16.05" customHeight="1">
      <c r="B146" s="415"/>
      <c r="C146" s="283" t="s">
        <v>568</v>
      </c>
      <c r="D146" s="285"/>
      <c r="E146" s="291"/>
      <c r="F146" s="291"/>
      <c r="G146" s="285"/>
      <c r="H146" s="285"/>
      <c r="I146" s="287">
        <v>2.15</v>
      </c>
      <c r="K146" s="296"/>
    </row>
    <row r="147" spans="2:11" ht="16.05" customHeight="1">
      <c r="B147" s="415"/>
      <c r="C147" s="283" t="s">
        <v>569</v>
      </c>
      <c r="D147" s="285"/>
      <c r="E147" s="291"/>
      <c r="F147" s="291"/>
      <c r="G147" s="285"/>
      <c r="H147" s="285"/>
      <c r="I147" s="287">
        <v>1.8</v>
      </c>
      <c r="K147" s="296"/>
    </row>
    <row r="148" spans="2:11" ht="16.05" customHeight="1">
      <c r="B148" s="414"/>
      <c r="C148" s="283" t="s">
        <v>570</v>
      </c>
      <c r="D148" s="285"/>
      <c r="E148" s="285"/>
      <c r="F148" s="289">
        <v>0.68</v>
      </c>
      <c r="G148" s="285"/>
      <c r="H148" s="285"/>
      <c r="I148" s="287">
        <v>1.61</v>
      </c>
      <c r="K148" s="296"/>
    </row>
    <row r="149" spans="2:11" ht="16.05" customHeight="1">
      <c r="B149" s="279"/>
      <c r="C149" s="295"/>
      <c r="D149" s="290"/>
      <c r="E149" s="290"/>
      <c r="F149" s="290"/>
      <c r="G149" s="290"/>
      <c r="H149" s="290"/>
      <c r="I149" s="290"/>
      <c r="K149" s="296"/>
    </row>
    <row r="150" spans="2:11" ht="16.05" customHeight="1">
      <c r="B150" s="345" t="s">
        <v>571</v>
      </c>
      <c r="C150" s="283" t="s">
        <v>571</v>
      </c>
      <c r="D150" s="285"/>
      <c r="E150" s="285"/>
      <c r="F150" s="285"/>
      <c r="G150" s="286">
        <v>1.8</v>
      </c>
      <c r="H150" s="285"/>
      <c r="I150" s="288"/>
      <c r="K150" s="296"/>
    </row>
    <row r="151" spans="2:11" ht="16.05" customHeight="1">
      <c r="B151" s="344"/>
      <c r="C151" s="295"/>
      <c r="D151" s="290"/>
      <c r="E151" s="290"/>
      <c r="F151" s="290"/>
      <c r="G151" s="290"/>
      <c r="H151" s="290"/>
      <c r="I151" s="290"/>
      <c r="K151" s="296"/>
    </row>
    <row r="152" spans="2:11" ht="16.05" customHeight="1">
      <c r="B152" s="410" t="s">
        <v>572</v>
      </c>
      <c r="C152" s="283" t="s">
        <v>573</v>
      </c>
      <c r="D152" s="285"/>
      <c r="E152" s="285"/>
      <c r="F152" s="285"/>
      <c r="G152" s="286">
        <v>1.04</v>
      </c>
      <c r="H152" s="285"/>
      <c r="I152" s="288"/>
      <c r="K152" s="296"/>
    </row>
    <row r="153" spans="2:11" ht="15" customHeight="1">
      <c r="B153" s="411"/>
      <c r="C153" s="283" t="s">
        <v>574</v>
      </c>
      <c r="D153" s="285"/>
      <c r="E153" s="285"/>
      <c r="F153" s="285"/>
      <c r="G153" s="286">
        <v>0.46</v>
      </c>
      <c r="H153" s="285"/>
      <c r="I153" s="288"/>
      <c r="K153" s="296"/>
    </row>
    <row r="154" spans="2:11" ht="15" customHeight="1">
      <c r="B154" s="412"/>
      <c r="C154" s="283" t="s">
        <v>575</v>
      </c>
      <c r="D154" s="285"/>
      <c r="E154" s="285"/>
      <c r="F154" s="285"/>
      <c r="G154" s="286">
        <v>1.06</v>
      </c>
      <c r="H154" s="285"/>
      <c r="I154" s="288"/>
      <c r="K154" s="296"/>
    </row>
    <row r="155" spans="2:11" ht="16.05" customHeight="1">
      <c r="B155" s="279"/>
      <c r="C155" s="292"/>
      <c r="D155" s="290"/>
      <c r="E155" s="290"/>
      <c r="F155" s="290"/>
      <c r="G155" s="294"/>
      <c r="H155" s="290"/>
      <c r="I155" s="290"/>
      <c r="K155" s="296"/>
    </row>
    <row r="156" spans="2:11" ht="16.05" customHeight="1">
      <c r="B156" s="345" t="s">
        <v>576</v>
      </c>
      <c r="C156" s="283" t="s">
        <v>576</v>
      </c>
      <c r="D156" s="285"/>
      <c r="E156" s="289">
        <v>2.4912236725332777</v>
      </c>
      <c r="F156" s="285"/>
      <c r="G156" s="285"/>
      <c r="H156" s="285"/>
      <c r="I156" s="288"/>
      <c r="K156" s="296"/>
    </row>
    <row r="157" spans="2:11" ht="16.2">
      <c r="B157" s="279"/>
      <c r="C157" s="292"/>
      <c r="D157" s="290"/>
      <c r="E157" s="290"/>
      <c r="F157" s="290"/>
      <c r="G157" s="294"/>
      <c r="H157" s="290"/>
      <c r="I157" s="290"/>
      <c r="K157" s="296"/>
    </row>
    <row r="158" spans="2:11" ht="16.05" customHeight="1">
      <c r="B158" s="345" t="s">
        <v>577</v>
      </c>
      <c r="C158" s="283" t="s">
        <v>578</v>
      </c>
      <c r="D158" s="285"/>
      <c r="E158" s="289">
        <v>3.2077260562264778</v>
      </c>
      <c r="F158" s="285"/>
      <c r="G158" s="285"/>
      <c r="H158" s="285"/>
      <c r="I158" s="288"/>
      <c r="K158" s="296"/>
    </row>
    <row r="159" spans="2:11" ht="16.05" customHeight="1">
      <c r="C159" s="296"/>
      <c r="D159" s="296"/>
      <c r="E159" s="296"/>
      <c r="F159" s="296"/>
      <c r="G159" s="296"/>
      <c r="H159" s="296"/>
      <c r="I159" s="296"/>
      <c r="J159" s="296"/>
      <c r="K159" s="296"/>
    </row>
    <row r="160" spans="2:11" ht="16.05" customHeight="1">
      <c r="C160" s="296"/>
      <c r="D160" s="296"/>
      <c r="E160" s="296"/>
      <c r="F160" s="296"/>
      <c r="G160" s="296"/>
      <c r="H160" s="296"/>
      <c r="I160" s="296"/>
      <c r="J160" s="296"/>
      <c r="K160" s="296"/>
    </row>
    <row r="161" spans="3:11" ht="16.05" customHeight="1">
      <c r="C161" s="296"/>
      <c r="D161" s="296"/>
      <c r="E161" s="296"/>
      <c r="F161" s="296"/>
      <c r="G161" s="296"/>
      <c r="H161" s="296"/>
      <c r="I161" s="296"/>
      <c r="J161" s="296"/>
      <c r="K161" s="296"/>
    </row>
    <row r="162" spans="3:11" ht="16.05" customHeight="1">
      <c r="C162" s="296"/>
      <c r="D162" s="296"/>
      <c r="E162" s="296"/>
      <c r="F162" s="296"/>
      <c r="G162" s="296"/>
      <c r="H162" s="296"/>
      <c r="I162" s="296"/>
      <c r="J162" s="296"/>
      <c r="K162" s="296"/>
    </row>
    <row r="163" spans="3:11" ht="16.05" customHeight="1">
      <c r="C163" s="296"/>
      <c r="D163" s="296"/>
      <c r="E163" s="296"/>
      <c r="F163" s="296"/>
      <c r="G163" s="296"/>
      <c r="H163" s="296"/>
      <c r="I163" s="296"/>
      <c r="J163" s="296"/>
      <c r="K163" s="296"/>
    </row>
    <row r="164" spans="3:11" ht="16.05" customHeight="1">
      <c r="C164" s="296"/>
      <c r="D164" s="296"/>
      <c r="E164" s="296"/>
      <c r="F164" s="296"/>
      <c r="G164" s="296"/>
      <c r="H164" s="296"/>
      <c r="I164" s="296"/>
      <c r="J164" s="296"/>
      <c r="K164" s="296"/>
    </row>
    <row r="165" spans="3:11" ht="16.05" customHeight="1">
      <c r="C165" s="296"/>
      <c r="D165" s="296"/>
      <c r="E165" s="296"/>
      <c r="F165" s="296"/>
      <c r="G165" s="296"/>
      <c r="H165" s="296"/>
      <c r="I165" s="296"/>
      <c r="J165" s="296"/>
      <c r="K165" s="296"/>
    </row>
    <row r="166" spans="3:11" ht="16.05" customHeight="1">
      <c r="C166" s="296"/>
      <c r="D166" s="296"/>
      <c r="E166" s="296"/>
      <c r="F166" s="296"/>
      <c r="G166" s="296"/>
      <c r="H166" s="296"/>
      <c r="I166" s="296"/>
      <c r="J166" s="296"/>
      <c r="K166" s="296"/>
    </row>
    <row r="167" spans="3:11" ht="16.05" customHeight="1">
      <c r="C167" s="296"/>
      <c r="D167" s="296"/>
      <c r="E167" s="296"/>
      <c r="F167" s="296"/>
      <c r="G167" s="296"/>
      <c r="H167" s="296"/>
      <c r="I167" s="296"/>
      <c r="J167" s="296"/>
      <c r="K167" s="296"/>
    </row>
  </sheetData>
  <conditionalFormatting sqref="E95">
    <cfRule type="cellIs" dxfId="1" priority="2" stopIfTrue="1" operator="equal">
      <formula>"Erro! &gt;100%"</formula>
    </cfRule>
  </conditionalFormatting>
  <dataValidations count="1">
    <dataValidation type="decimal" operator="lessThanOrEqual" allowBlank="1" showInputMessage="1" showErrorMessage="1" errorTitle="Entre com um número válido!" error="Entre com uma porcentagem entre 0 e 100%." sqref="E59:F94" xr:uid="{3B39E486-D90B-1A46-8988-ED319B7304E0}">
      <formula1>1</formula1>
    </dataValidation>
  </dataValidations>
  <hyperlinks>
    <hyperlink ref="B20" location="Referencias!A1" display="Referências" xr:uid="{00000000-0004-0000-0E00-000000000000}"/>
    <hyperlink ref="I6" location="Inicio!A1" display="Início" xr:uid="{00000000-0004-0000-0E00-000001000000}"/>
  </hyperlinks>
  <pageMargins left="0.75" right="0.75" top="1" bottom="1" header="0.5" footer="0.5"/>
  <pageSetup paperSize="9" orientation="portrait" horizontalDpi="4294967292" verticalDpi="4294967292"/>
  <drawing r:id="rId1"/>
  <legacyDrawing r:id="rId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68616-75F2-E54F-8823-829C87B8B669}">
  <sheetPr>
    <tabColor rgb="FF0070C0"/>
  </sheetPr>
  <dimension ref="B6:AM167"/>
  <sheetViews>
    <sheetView showGridLines="0" zoomScaleNormal="100" zoomScalePageLayoutView="200" workbookViewId="0">
      <selection activeCell="B6" sqref="B6"/>
    </sheetView>
  </sheetViews>
  <sheetFormatPr defaultColWidth="8.77734375" defaultRowHeight="14.4"/>
  <cols>
    <col min="2" max="2" width="31.33203125" customWidth="1"/>
    <col min="3" max="3" width="25.44140625" style="20" customWidth="1"/>
    <col min="4" max="4" width="43.6640625" style="20" customWidth="1"/>
    <col min="5" max="5" width="15" style="20" bestFit="1" customWidth="1"/>
    <col min="6" max="6" width="29.6640625" style="20" customWidth="1"/>
    <col min="7" max="7" width="20.109375" style="20" customWidth="1"/>
    <col min="8" max="8" width="10.109375" style="20" customWidth="1"/>
    <col min="9" max="9" width="10.44140625" style="20" customWidth="1"/>
    <col min="10" max="10" width="11.33203125" style="20" customWidth="1"/>
    <col min="11" max="13" width="8.77734375" style="20"/>
    <col min="14" max="14" width="49.6640625" style="20" customWidth="1"/>
    <col min="15" max="39" width="8.77734375" style="20"/>
  </cols>
  <sheetData>
    <row r="6" spans="2:39" ht="23.4">
      <c r="B6" s="105" t="s">
        <v>683</v>
      </c>
      <c r="I6" s="192" t="s">
        <v>299</v>
      </c>
      <c r="O6"/>
      <c r="P6"/>
      <c r="Q6"/>
      <c r="R6"/>
      <c r="S6"/>
      <c r="T6"/>
      <c r="U6"/>
      <c r="V6"/>
      <c r="W6"/>
      <c r="X6"/>
      <c r="Y6"/>
      <c r="Z6"/>
      <c r="AA6"/>
      <c r="AB6"/>
      <c r="AC6"/>
      <c r="AD6"/>
      <c r="AE6"/>
      <c r="AF6"/>
      <c r="AG6"/>
      <c r="AH6"/>
      <c r="AI6"/>
      <c r="AJ6"/>
      <c r="AK6"/>
      <c r="AL6"/>
      <c r="AM6"/>
    </row>
    <row r="7" spans="2:39" s="20" customFormat="1" ht="15.6">
      <c r="C7" s="175" t="s">
        <v>209</v>
      </c>
      <c r="D7" s="78">
        <v>1</v>
      </c>
      <c r="E7" s="14" t="s">
        <v>210</v>
      </c>
    </row>
    <row r="8" spans="2:39" s="20" customFormat="1" ht="15.6">
      <c r="B8" s="84" t="s">
        <v>309</v>
      </c>
      <c r="C8" s="183" t="s">
        <v>291</v>
      </c>
      <c r="D8" s="15">
        <v>0.9</v>
      </c>
      <c r="E8" s="14" t="s">
        <v>126</v>
      </c>
      <c r="F8" s="21"/>
      <c r="G8" s="22"/>
      <c r="H8" s="13"/>
      <c r="I8" s="13"/>
      <c r="K8" s="23"/>
      <c r="L8" s="24"/>
      <c r="M8" s="24"/>
      <c r="N8" s="24"/>
    </row>
    <row r="9" spans="2:39" s="20" customFormat="1" ht="15.6">
      <c r="C9" s="183" t="s">
        <v>127</v>
      </c>
      <c r="D9" s="15">
        <v>0</v>
      </c>
      <c r="E9" s="14" t="s">
        <v>128</v>
      </c>
      <c r="F9" s="21"/>
      <c r="G9" s="22"/>
      <c r="H9" s="13"/>
      <c r="I9" s="13"/>
      <c r="K9" s="23"/>
      <c r="L9" s="24"/>
      <c r="M9" s="24"/>
      <c r="N9" s="24"/>
    </row>
    <row r="10" spans="2:39" s="20" customFormat="1" ht="15.6">
      <c r="C10" s="183" t="s">
        <v>129</v>
      </c>
      <c r="D10" s="16">
        <f>16/12</f>
        <v>1.3333333333333333</v>
      </c>
      <c r="E10" s="14" t="s">
        <v>130</v>
      </c>
      <c r="F10" s="21"/>
      <c r="G10" s="22"/>
      <c r="H10" s="13"/>
      <c r="I10" s="13"/>
      <c r="K10" s="23"/>
      <c r="L10" s="24"/>
      <c r="M10" s="24"/>
      <c r="N10" s="24"/>
    </row>
    <row r="11" spans="2:39" s="20" customFormat="1" ht="15.6">
      <c r="C11" s="183" t="s">
        <v>131</v>
      </c>
      <c r="D11" s="15">
        <v>0.5</v>
      </c>
      <c r="E11" s="14" t="s">
        <v>132</v>
      </c>
      <c r="F11" s="21"/>
      <c r="G11" s="22"/>
      <c r="H11" s="13"/>
      <c r="I11" s="13"/>
      <c r="K11" s="23"/>
      <c r="L11" s="24"/>
      <c r="M11" s="24"/>
      <c r="N11" s="24"/>
    </row>
    <row r="12" spans="2:39" s="20" customFormat="1" ht="16.2">
      <c r="C12" s="183" t="s">
        <v>292</v>
      </c>
      <c r="D12" s="17">
        <v>0.5</v>
      </c>
      <c r="E12" s="14" t="s">
        <v>133</v>
      </c>
      <c r="F12" s="21"/>
      <c r="G12" s="22"/>
      <c r="H12" s="13"/>
      <c r="I12" s="13"/>
      <c r="K12" s="23"/>
      <c r="L12" s="24"/>
      <c r="M12" s="24"/>
      <c r="N12" s="24"/>
    </row>
    <row r="13" spans="2:39" s="20" customFormat="1" ht="15.6">
      <c r="C13" s="183" t="s">
        <v>134</v>
      </c>
      <c r="D13" s="15">
        <v>1</v>
      </c>
      <c r="E13" s="14" t="s">
        <v>128</v>
      </c>
      <c r="F13" s="21"/>
      <c r="G13" s="22"/>
      <c r="H13" s="13"/>
      <c r="I13" s="13"/>
      <c r="K13" s="23"/>
      <c r="L13" s="24"/>
      <c r="M13" s="24"/>
      <c r="N13" s="24"/>
    </row>
    <row r="14" spans="2:39" s="20" customFormat="1" ht="16.2">
      <c r="C14" s="183" t="s">
        <v>293</v>
      </c>
      <c r="D14" s="16">
        <f>E96</f>
        <v>0.10650000000000001</v>
      </c>
      <c r="E14" s="14" t="s">
        <v>135</v>
      </c>
      <c r="F14" s="21"/>
      <c r="G14" s="22"/>
      <c r="H14" s="13"/>
      <c r="I14" s="13"/>
      <c r="K14" s="23"/>
      <c r="L14" s="24"/>
      <c r="M14" s="24"/>
      <c r="N14" s="24"/>
    </row>
    <row r="15" spans="2:39" s="20" customFormat="1" ht="15.6">
      <c r="C15" s="183" t="s">
        <v>137</v>
      </c>
      <c r="D15" s="80">
        <f>D7*D8*(1-D9)*D10*D11*D12*D13*D14</f>
        <v>3.1949999999999999E-2</v>
      </c>
      <c r="E15" s="14" t="s">
        <v>211</v>
      </c>
      <c r="F15" s="41"/>
      <c r="G15" s="41"/>
      <c r="H15" s="13"/>
      <c r="I15" s="13"/>
      <c r="K15" s="42"/>
      <c r="L15" s="42"/>
      <c r="M15" s="42"/>
      <c r="N15" s="42"/>
    </row>
    <row r="16" spans="2:39" s="20" customFormat="1" ht="15.6">
      <c r="C16" s="183" t="s">
        <v>138</v>
      </c>
      <c r="D16" s="80">
        <f>D15*21</f>
        <v>0.67094999999999994</v>
      </c>
      <c r="E16" s="14" t="s">
        <v>275</v>
      </c>
      <c r="F16" s="41"/>
      <c r="G16" s="41"/>
      <c r="H16" s="13"/>
      <c r="I16" s="13"/>
      <c r="K16" s="42"/>
      <c r="L16" s="42"/>
      <c r="M16" s="42"/>
      <c r="N16" s="42"/>
    </row>
    <row r="17" spans="2:14" s="20" customFormat="1" ht="15.6">
      <c r="C17" s="183" t="s">
        <v>138</v>
      </c>
      <c r="D17" s="80">
        <f>((D7*E65*(E100-F100))+(D7*E66*(E101-F101))+(D7*E67*(E102-F102))+(D7*E68*(E103-F103))+(D7*E69*(E104-F104))+(D7*E70*(E105-F105))+(D7*E71*(E106-F106))+(D7*E72*(E107-F107))+(D7*E73*(E108-F108))+(D7*E74*(E109-F109))+(D7*E75*(E110-F110))+(D7*E76*(E111-F111))+(D7*E77*(E112-F112))+(D7*E78*(E113-F113))+(D7*E79*(E114-F114))+(D7*E80*(E115-F115))+(D7*E81*(E116-F116))+(D7*E82*(E117-F117))+(D7*E83*(E118-F118))+(D7*E84*(E119-F119))+(D7*E85*(E120-F120))+(D7*E86*(E121-F121))+(D7*E87*(E122-F122))+(D7*E88*(E123-F123))+(D7*E89*(E124-F124))+(D7*E90*(E125-F125))+(D7*E91*(E126-F126))+(D7*E92*(E127-F127))+(D7*E93*(E128-F128))+(D7*E94*(E129-F129)))/1000</f>
        <v>1.9737869126009906</v>
      </c>
      <c r="E17" s="14" t="s">
        <v>274</v>
      </c>
      <c r="F17" s="41"/>
      <c r="G17" s="41"/>
      <c r="H17" s="13"/>
      <c r="I17" s="13"/>
      <c r="K17" s="42"/>
      <c r="L17" s="42"/>
      <c r="M17" s="42"/>
      <c r="N17" s="42"/>
    </row>
    <row r="18" spans="2:14" s="20" customFormat="1" ht="15.6">
      <c r="C18" s="183" t="s">
        <v>276</v>
      </c>
      <c r="D18" s="172">
        <f>D17+D16</f>
        <v>2.6447369126009903</v>
      </c>
      <c r="E18" s="14"/>
      <c r="F18" s="41"/>
      <c r="G18" s="41"/>
      <c r="H18" s="13"/>
      <c r="I18" s="13"/>
      <c r="K18" s="42"/>
      <c r="L18" s="42"/>
      <c r="M18" s="42"/>
      <c r="N18" s="42"/>
    </row>
    <row r="19" spans="2:14" s="20" customFormat="1"/>
    <row r="20" spans="2:14" s="20" customFormat="1" ht="15.6">
      <c r="B20" s="186" t="s">
        <v>11</v>
      </c>
      <c r="C20" s="25" t="s">
        <v>107</v>
      </c>
      <c r="D20" s="26"/>
      <c r="E20" s="11"/>
      <c r="F20" s="23"/>
      <c r="G20" s="24"/>
      <c r="H20" s="24"/>
      <c r="I20" s="24"/>
      <c r="K20" s="24"/>
      <c r="L20" s="24"/>
      <c r="M20" s="24"/>
      <c r="N20" s="24"/>
    </row>
    <row r="21" spans="2:14" s="20" customFormat="1" ht="18">
      <c r="C21" s="25" t="s">
        <v>108</v>
      </c>
      <c r="D21" s="26"/>
      <c r="E21" s="11"/>
      <c r="F21" s="23"/>
      <c r="G21" s="24"/>
      <c r="H21" s="24"/>
      <c r="I21" s="24"/>
      <c r="K21" s="24"/>
      <c r="L21" s="24"/>
      <c r="M21" s="24"/>
      <c r="N21" s="24"/>
    </row>
    <row r="22" spans="2:14" s="20" customFormat="1" ht="15.6">
      <c r="C22" s="27"/>
      <c r="D22" s="26"/>
      <c r="E22" s="11"/>
      <c r="F22" s="23"/>
      <c r="G22" s="24"/>
      <c r="H22" s="24"/>
      <c r="I22" s="24"/>
      <c r="K22" s="24"/>
      <c r="L22" s="24"/>
      <c r="M22" s="24"/>
      <c r="N22" s="24"/>
    </row>
    <row r="23" spans="2:14" s="20" customFormat="1" ht="15.6">
      <c r="C23" s="27"/>
      <c r="D23" s="26"/>
      <c r="E23" s="11"/>
      <c r="F23" s="23"/>
      <c r="G23" s="24"/>
      <c r="H23" s="24"/>
      <c r="I23" s="24"/>
      <c r="K23" s="24"/>
      <c r="L23" s="24"/>
      <c r="M23" s="24"/>
      <c r="N23" s="24"/>
    </row>
    <row r="24" spans="2:14" s="20" customFormat="1" ht="15.6">
      <c r="C24" s="27"/>
      <c r="D24" s="26"/>
      <c r="E24" s="11"/>
      <c r="F24" s="23"/>
      <c r="G24" s="24"/>
      <c r="H24" s="24"/>
      <c r="I24" s="24"/>
      <c r="K24" s="24"/>
      <c r="L24" s="24"/>
      <c r="M24" s="24"/>
      <c r="N24" s="24"/>
    </row>
    <row r="25" spans="2:14" s="20" customFormat="1" ht="15.6">
      <c r="C25" s="27" t="s">
        <v>109</v>
      </c>
      <c r="D25" s="26"/>
      <c r="E25" s="11"/>
      <c r="F25" s="23"/>
      <c r="G25" s="24"/>
      <c r="H25" s="24"/>
      <c r="I25" s="24"/>
      <c r="K25" s="24"/>
      <c r="L25" s="24"/>
      <c r="M25" s="24"/>
      <c r="N25" s="24"/>
    </row>
    <row r="26" spans="2:14" s="20" customFormat="1" ht="15.6">
      <c r="C26" s="27"/>
      <c r="D26" s="26"/>
      <c r="E26" s="11"/>
      <c r="F26" s="23"/>
      <c r="G26" s="24"/>
      <c r="H26" s="24"/>
      <c r="I26" s="24"/>
      <c r="K26" s="24"/>
      <c r="L26" s="24"/>
      <c r="M26" s="24"/>
      <c r="N26" s="24"/>
    </row>
    <row r="27" spans="2:14" s="20" customFormat="1" ht="16.2">
      <c r="C27" s="12" t="s">
        <v>110</v>
      </c>
      <c r="D27" s="26"/>
      <c r="E27" s="11"/>
      <c r="F27" s="23"/>
      <c r="G27" s="24"/>
      <c r="H27" s="24"/>
      <c r="I27" s="24"/>
      <c r="K27" s="24"/>
      <c r="L27" s="24"/>
      <c r="M27" s="24"/>
      <c r="N27" s="24"/>
    </row>
    <row r="28" spans="2:14" s="20" customFormat="1" ht="15.6">
      <c r="C28" s="12" t="s">
        <v>111</v>
      </c>
      <c r="D28" s="26"/>
      <c r="E28" s="11"/>
      <c r="F28" s="23"/>
      <c r="G28" s="24"/>
      <c r="H28" s="24"/>
      <c r="I28" s="24"/>
      <c r="K28" s="24"/>
      <c r="L28" s="24"/>
      <c r="M28" s="24"/>
      <c r="N28" s="24"/>
    </row>
    <row r="29" spans="2:14" s="20" customFormat="1" ht="15.6">
      <c r="C29" s="12" t="s">
        <v>112</v>
      </c>
      <c r="D29" s="26"/>
      <c r="E29" s="11"/>
      <c r="F29" s="23"/>
      <c r="G29" s="24"/>
      <c r="H29" s="24"/>
      <c r="I29" s="24"/>
      <c r="K29" s="24"/>
      <c r="L29" s="24"/>
      <c r="M29" s="24"/>
      <c r="N29" s="24"/>
    </row>
    <row r="30" spans="2:14" s="20" customFormat="1" ht="16.2">
      <c r="C30" s="12" t="s">
        <v>113</v>
      </c>
      <c r="D30" s="26"/>
      <c r="E30" s="11"/>
      <c r="F30" s="23"/>
      <c r="G30" s="24"/>
      <c r="H30" s="24"/>
      <c r="I30" s="24"/>
      <c r="K30" s="24"/>
      <c r="L30" s="24"/>
      <c r="M30" s="24"/>
      <c r="N30" s="24"/>
    </row>
    <row r="31" spans="2:14" s="20" customFormat="1" ht="15.6">
      <c r="C31" s="12" t="s">
        <v>114</v>
      </c>
      <c r="D31" s="26"/>
      <c r="E31" s="11"/>
      <c r="F31" s="23"/>
      <c r="G31" s="24"/>
      <c r="H31" s="24"/>
      <c r="I31" s="24"/>
      <c r="K31" s="24"/>
      <c r="L31" s="24"/>
      <c r="M31" s="24"/>
      <c r="N31" s="24"/>
    </row>
    <row r="32" spans="2:14" s="20" customFormat="1" ht="15.6">
      <c r="C32" s="12" t="s">
        <v>115</v>
      </c>
      <c r="D32" s="26"/>
      <c r="E32" s="11"/>
      <c r="F32" s="23"/>
      <c r="G32" s="24"/>
      <c r="H32" s="24"/>
      <c r="I32" s="24"/>
      <c r="K32" s="24"/>
      <c r="L32" s="24"/>
      <c r="M32" s="24"/>
      <c r="N32" s="24"/>
    </row>
    <row r="33" spans="2:14" s="20" customFormat="1" ht="16.2">
      <c r="C33" s="12" t="s">
        <v>116</v>
      </c>
      <c r="D33" s="26"/>
      <c r="E33" s="11"/>
      <c r="F33" s="23"/>
      <c r="G33" s="24"/>
      <c r="H33" s="24"/>
      <c r="I33" s="24"/>
      <c r="K33" s="24"/>
      <c r="L33" s="24"/>
      <c r="M33" s="24"/>
      <c r="N33" s="24"/>
    </row>
    <row r="34" spans="2:14" s="20" customFormat="1" ht="15.6">
      <c r="C34" s="12" t="s">
        <v>117</v>
      </c>
      <c r="D34" s="26"/>
      <c r="E34" s="11"/>
      <c r="F34" s="23"/>
      <c r="G34" s="24"/>
      <c r="H34" s="24"/>
      <c r="I34" s="24"/>
      <c r="K34" s="24"/>
      <c r="L34" s="24"/>
      <c r="M34" s="24"/>
      <c r="N34" s="24"/>
    </row>
    <row r="35" spans="2:14" s="20" customFormat="1" ht="15.6">
      <c r="C35" s="12" t="s">
        <v>123</v>
      </c>
      <c r="D35" s="26"/>
      <c r="E35" s="11"/>
      <c r="F35" s="23"/>
      <c r="G35" s="24"/>
      <c r="H35" s="24"/>
      <c r="I35" s="24"/>
      <c r="K35" s="24"/>
      <c r="L35" s="24"/>
      <c r="M35" s="24"/>
      <c r="N35" s="24"/>
    </row>
    <row r="36" spans="2:14" s="20" customFormat="1" ht="15.6">
      <c r="C36" s="12" t="s">
        <v>121</v>
      </c>
      <c r="D36" s="26"/>
      <c r="E36" s="11"/>
      <c r="F36" s="23"/>
      <c r="G36" s="24"/>
      <c r="H36" s="24"/>
      <c r="I36" s="24"/>
      <c r="K36" s="24"/>
      <c r="L36" s="24"/>
      <c r="M36" s="24"/>
      <c r="N36" s="24"/>
    </row>
    <row r="37" spans="2:14" s="20" customFormat="1" ht="16.2">
      <c r="C37" s="12" t="s">
        <v>118</v>
      </c>
      <c r="D37" s="26"/>
      <c r="E37" s="11"/>
      <c r="F37" s="23"/>
      <c r="G37" s="24"/>
      <c r="H37" s="24"/>
      <c r="I37" s="24"/>
      <c r="K37" s="24"/>
      <c r="L37" s="24"/>
      <c r="M37" s="24"/>
      <c r="N37" s="24"/>
    </row>
    <row r="38" spans="2:14" s="20" customFormat="1" ht="16.2">
      <c r="C38" s="12" t="s">
        <v>119</v>
      </c>
      <c r="D38" s="26"/>
      <c r="E38" s="11"/>
      <c r="F38" s="23"/>
      <c r="G38" s="24"/>
      <c r="H38" s="24"/>
      <c r="I38" s="24"/>
      <c r="K38" s="24"/>
      <c r="L38" s="24"/>
      <c r="M38" s="24"/>
      <c r="N38" s="24"/>
    </row>
    <row r="39" spans="2:14" s="20" customFormat="1" ht="15.6">
      <c r="C39" s="12" t="s">
        <v>122</v>
      </c>
      <c r="D39" s="26"/>
      <c r="E39" s="11"/>
      <c r="F39" s="23"/>
      <c r="G39" s="24"/>
      <c r="H39" s="24"/>
      <c r="I39" s="24"/>
      <c r="K39" s="24"/>
      <c r="L39" s="24"/>
      <c r="M39" s="24"/>
      <c r="N39" s="24"/>
    </row>
    <row r="40" spans="2:14" s="20" customFormat="1" ht="16.2">
      <c r="C40" s="12" t="s">
        <v>120</v>
      </c>
      <c r="D40" s="26"/>
      <c r="E40" s="11"/>
      <c r="F40" s="23"/>
      <c r="G40" s="24"/>
      <c r="H40" s="24"/>
      <c r="I40" s="24"/>
      <c r="K40" s="24"/>
      <c r="L40" s="24"/>
      <c r="M40" s="24"/>
      <c r="N40" s="24"/>
    </row>
    <row r="41" spans="2:14">
      <c r="B41" s="20"/>
    </row>
    <row r="42" spans="2:14" s="20" customFormat="1" ht="15.6">
      <c r="C42" s="27"/>
      <c r="D42" s="26"/>
      <c r="E42" s="11"/>
      <c r="F42" s="28"/>
      <c r="G42" s="29"/>
      <c r="H42" s="29"/>
      <c r="I42" s="29"/>
      <c r="K42" s="29"/>
      <c r="L42" s="29"/>
      <c r="M42" s="29"/>
      <c r="N42" s="426"/>
    </row>
    <row r="43" spans="2:14" s="20" customFormat="1" ht="18">
      <c r="B43" s="84" t="s">
        <v>12</v>
      </c>
      <c r="C43" s="30" t="s">
        <v>124</v>
      </c>
      <c r="D43" s="31"/>
      <c r="E43" s="18"/>
      <c r="F43" s="32"/>
      <c r="G43" s="33"/>
      <c r="H43" s="33"/>
      <c r="I43" s="428"/>
      <c r="K43" s="427"/>
      <c r="L43" s="427"/>
      <c r="M43" s="427"/>
      <c r="N43" s="427"/>
    </row>
    <row r="44" spans="2:14" s="20" customFormat="1" ht="15.6">
      <c r="C44" s="34" t="s">
        <v>125</v>
      </c>
      <c r="D44" s="35"/>
      <c r="E44" s="19"/>
      <c r="F44" s="36"/>
      <c r="G44" s="37"/>
      <c r="H44" s="37"/>
      <c r="I44" s="429"/>
      <c r="K44" s="427"/>
      <c r="L44" s="427"/>
      <c r="M44" s="427"/>
      <c r="N44" s="427"/>
    </row>
    <row r="45" spans="2:14" s="20" customFormat="1" ht="15.6">
      <c r="C45" s="27"/>
      <c r="D45" s="26"/>
      <c r="E45" s="11"/>
      <c r="F45" s="38"/>
      <c r="G45" s="39"/>
      <c r="H45" s="39"/>
      <c r="I45" s="39"/>
      <c r="K45" s="39"/>
      <c r="L45" s="39"/>
      <c r="M45" s="39"/>
      <c r="N45" s="39"/>
    </row>
    <row r="46" spans="2:14" s="20" customFormat="1" ht="15.6">
      <c r="C46" s="27"/>
      <c r="D46" s="26"/>
      <c r="E46" s="11"/>
      <c r="F46" s="23"/>
      <c r="G46" s="24"/>
      <c r="H46" s="24"/>
      <c r="I46" s="24"/>
      <c r="K46" s="24"/>
      <c r="L46" s="24"/>
      <c r="M46" s="24"/>
      <c r="N46" s="24"/>
    </row>
    <row r="47" spans="2:14" s="20" customFormat="1" ht="15.6">
      <c r="C47" s="27"/>
      <c r="D47" s="26"/>
      <c r="E47" s="11"/>
      <c r="F47" s="23"/>
      <c r="G47" s="24"/>
      <c r="H47" s="29"/>
      <c r="I47" s="29"/>
      <c r="K47" s="24"/>
      <c r="L47" s="24"/>
      <c r="M47" s="24"/>
      <c r="N47" s="24"/>
    </row>
    <row r="48" spans="2:14" s="20" customFormat="1" ht="15.6">
      <c r="C48" s="27"/>
      <c r="D48" s="26"/>
      <c r="E48" s="11"/>
      <c r="F48" s="23"/>
      <c r="G48" s="40"/>
      <c r="H48" s="13"/>
      <c r="I48" s="13"/>
      <c r="K48" s="23"/>
      <c r="L48" s="24"/>
      <c r="M48" s="24"/>
      <c r="N48" s="24"/>
    </row>
    <row r="49" spans="3:6" s="20" customFormat="1"/>
    <row r="50" spans="3:6" s="20" customFormat="1"/>
    <row r="51" spans="3:6" s="20" customFormat="1">
      <c r="C51" s="70"/>
      <c r="D51" s="71"/>
      <c r="E51" s="72"/>
    </row>
    <row r="52" spans="3:6" s="20" customFormat="1">
      <c r="C52" s="73" t="s">
        <v>161</v>
      </c>
      <c r="D52" s="71"/>
      <c r="E52" s="72"/>
    </row>
    <row r="53" spans="3:6" s="20" customFormat="1">
      <c r="C53" s="73" t="s">
        <v>162</v>
      </c>
      <c r="D53" s="71"/>
      <c r="E53" s="72"/>
    </row>
    <row r="54" spans="3:6" s="20" customFormat="1">
      <c r="C54" s="73" t="s">
        <v>163</v>
      </c>
      <c r="D54" s="71"/>
      <c r="E54" s="72"/>
    </row>
    <row r="55" spans="3:6" s="20" customFormat="1" ht="15.6">
      <c r="C55" s="73" t="s">
        <v>164</v>
      </c>
      <c r="D55" s="71"/>
      <c r="E55" s="72"/>
    </row>
    <row r="56" spans="3:6" s="20" customFormat="1">
      <c r="C56" s="73" t="s">
        <v>615</v>
      </c>
      <c r="D56" s="71"/>
      <c r="E56" s="72"/>
    </row>
    <row r="57" spans="3:6" s="20" customFormat="1">
      <c r="C57" s="71"/>
      <c r="D57" s="71"/>
      <c r="E57" s="71"/>
    </row>
    <row r="58" spans="3:6" s="20" customFormat="1">
      <c r="C58" s="361" t="s">
        <v>165</v>
      </c>
      <c r="D58" s="365" t="s">
        <v>24</v>
      </c>
      <c r="E58" s="398" t="s">
        <v>703</v>
      </c>
      <c r="F58" s="399" t="s">
        <v>704</v>
      </c>
    </row>
    <row r="59" spans="3:6" s="20" customFormat="1">
      <c r="C59" s="63" t="s">
        <v>647</v>
      </c>
      <c r="D59" s="364" t="s">
        <v>646</v>
      </c>
      <c r="E59" s="392">
        <f t="shared" ref="E59:E94" si="0">F59/$D$7</f>
        <v>0.05</v>
      </c>
      <c r="F59" s="400">
        <v>0.05</v>
      </c>
    </row>
    <row r="60" spans="3:6" s="20" customFormat="1">
      <c r="C60" s="63" t="s">
        <v>648</v>
      </c>
      <c r="D60" s="364" t="s">
        <v>646</v>
      </c>
      <c r="E60" s="392">
        <f t="shared" si="0"/>
        <v>0.05</v>
      </c>
      <c r="F60" s="401">
        <v>0.05</v>
      </c>
    </row>
    <row r="61" spans="3:6" s="20" customFormat="1">
      <c r="C61" s="63" t="s">
        <v>649</v>
      </c>
      <c r="D61" s="364" t="s">
        <v>646</v>
      </c>
      <c r="E61" s="392">
        <f t="shared" si="0"/>
        <v>0.05</v>
      </c>
      <c r="F61" s="401">
        <v>0.05</v>
      </c>
    </row>
    <row r="62" spans="3:6" s="20" customFormat="1">
      <c r="C62" s="63" t="s">
        <v>650</v>
      </c>
      <c r="D62" s="364" t="s">
        <v>646</v>
      </c>
      <c r="E62" s="392">
        <f t="shared" si="0"/>
        <v>0.05</v>
      </c>
      <c r="F62" s="401">
        <v>0.05</v>
      </c>
    </row>
    <row r="63" spans="3:6" s="20" customFormat="1">
      <c r="C63" s="63" t="s">
        <v>651</v>
      </c>
      <c r="D63" s="364" t="s">
        <v>646</v>
      </c>
      <c r="E63" s="392">
        <f t="shared" si="0"/>
        <v>0.05</v>
      </c>
      <c r="F63" s="401">
        <v>0.05</v>
      </c>
    </row>
    <row r="64" spans="3:6" s="20" customFormat="1">
      <c r="C64" s="368" t="s">
        <v>652</v>
      </c>
      <c r="D64" s="364" t="s">
        <v>646</v>
      </c>
      <c r="E64" s="392">
        <f t="shared" si="0"/>
        <v>0.05</v>
      </c>
      <c r="F64" s="402">
        <v>0.05</v>
      </c>
    </row>
    <row r="65" spans="3:6" s="20" customFormat="1">
      <c r="C65" s="63" t="s">
        <v>631</v>
      </c>
      <c r="D65" s="364" t="s">
        <v>646</v>
      </c>
      <c r="E65" s="392">
        <f t="shared" si="0"/>
        <v>0.02</v>
      </c>
      <c r="F65" s="403">
        <v>0.02</v>
      </c>
    </row>
    <row r="66" spans="3:6" s="20" customFormat="1">
      <c r="C66" s="63" t="s">
        <v>630</v>
      </c>
      <c r="D66" s="364" t="s">
        <v>646</v>
      </c>
      <c r="E66" s="392">
        <f t="shared" si="0"/>
        <v>0.02</v>
      </c>
      <c r="F66" s="401">
        <v>0.02</v>
      </c>
    </row>
    <row r="67" spans="3:6" s="20" customFormat="1">
      <c r="C67" s="362" t="s">
        <v>629</v>
      </c>
      <c r="D67" s="367" t="s">
        <v>646</v>
      </c>
      <c r="E67" s="392">
        <f t="shared" si="0"/>
        <v>0.02</v>
      </c>
      <c r="F67" s="402">
        <v>0.02</v>
      </c>
    </row>
    <row r="68" spans="3:6" s="20" customFormat="1">
      <c r="C68" s="63" t="s">
        <v>645</v>
      </c>
      <c r="D68" s="364" t="s">
        <v>646</v>
      </c>
      <c r="E68" s="392">
        <f t="shared" si="0"/>
        <v>0.05</v>
      </c>
      <c r="F68" s="400">
        <v>0.05</v>
      </c>
    </row>
    <row r="69" spans="3:6" s="20" customFormat="1">
      <c r="C69" s="63" t="s">
        <v>643</v>
      </c>
      <c r="D69" s="364" t="s">
        <v>646</v>
      </c>
      <c r="E69" s="392">
        <f t="shared" si="0"/>
        <v>0.05</v>
      </c>
      <c r="F69" s="401">
        <v>0.05</v>
      </c>
    </row>
    <row r="70" spans="3:6" s="20" customFormat="1">
      <c r="C70" s="63" t="s">
        <v>642</v>
      </c>
      <c r="D70" s="364" t="s">
        <v>646</v>
      </c>
      <c r="E70" s="392">
        <f t="shared" si="0"/>
        <v>2.5999999999999999E-2</v>
      </c>
      <c r="F70" s="401">
        <v>2.5999999999999999E-2</v>
      </c>
    </row>
    <row r="71" spans="3:6" s="20" customFormat="1">
      <c r="C71" s="63" t="s">
        <v>644</v>
      </c>
      <c r="D71" s="364" t="s">
        <v>646</v>
      </c>
      <c r="E71" s="392">
        <f t="shared" si="0"/>
        <v>0.02</v>
      </c>
      <c r="F71" s="401">
        <v>0.02</v>
      </c>
    </row>
    <row r="72" spans="3:6" s="20" customFormat="1">
      <c r="C72" s="63" t="s">
        <v>633</v>
      </c>
      <c r="D72" s="364" t="s">
        <v>646</v>
      </c>
      <c r="E72" s="392">
        <f t="shared" si="0"/>
        <v>0.02</v>
      </c>
      <c r="F72" s="401">
        <v>0.02</v>
      </c>
    </row>
    <row r="73" spans="3:6" s="20" customFormat="1">
      <c r="C73" s="63" t="s">
        <v>634</v>
      </c>
      <c r="D73" s="364" t="s">
        <v>646</v>
      </c>
      <c r="E73" s="392">
        <f t="shared" si="0"/>
        <v>0.02</v>
      </c>
      <c r="F73" s="401">
        <v>0.02</v>
      </c>
    </row>
    <row r="74" spans="3:6" s="20" customFormat="1">
      <c r="C74" s="63" t="s">
        <v>635</v>
      </c>
      <c r="D74" s="364" t="s">
        <v>646</v>
      </c>
      <c r="E74" s="392">
        <f t="shared" si="0"/>
        <v>0.02</v>
      </c>
      <c r="F74" s="401">
        <v>0.02</v>
      </c>
    </row>
    <row r="75" spans="3:6" s="20" customFormat="1">
      <c r="C75" s="63" t="s">
        <v>636</v>
      </c>
      <c r="D75" s="364" t="s">
        <v>646</v>
      </c>
      <c r="E75" s="392">
        <f t="shared" si="0"/>
        <v>0.02</v>
      </c>
      <c r="F75" s="401">
        <v>0.02</v>
      </c>
    </row>
    <row r="76" spans="3:6" s="20" customFormat="1">
      <c r="C76" s="63" t="s">
        <v>637</v>
      </c>
      <c r="D76" s="364" t="s">
        <v>646</v>
      </c>
      <c r="E76" s="392">
        <f t="shared" si="0"/>
        <v>0.02</v>
      </c>
      <c r="F76" s="401">
        <v>0.02</v>
      </c>
    </row>
    <row r="77" spans="3:6" s="20" customFormat="1">
      <c r="C77" s="63" t="s">
        <v>653</v>
      </c>
      <c r="D77" s="364" t="s">
        <v>646</v>
      </c>
      <c r="E77" s="392">
        <f t="shared" si="0"/>
        <v>0.02</v>
      </c>
      <c r="F77" s="401">
        <v>0.02</v>
      </c>
    </row>
    <row r="78" spans="3:6" s="20" customFormat="1">
      <c r="C78" s="63" t="s">
        <v>638</v>
      </c>
      <c r="D78" s="364" t="s">
        <v>646</v>
      </c>
      <c r="E78" s="392">
        <f t="shared" si="0"/>
        <v>0.02</v>
      </c>
      <c r="F78" s="401">
        <v>0.02</v>
      </c>
    </row>
    <row r="79" spans="3:6" s="20" customFormat="1">
      <c r="C79" s="63" t="s">
        <v>654</v>
      </c>
      <c r="D79" s="364" t="s">
        <v>646</v>
      </c>
      <c r="E79" s="392">
        <f t="shared" si="0"/>
        <v>0.02</v>
      </c>
      <c r="F79" s="401">
        <v>0.02</v>
      </c>
    </row>
    <row r="80" spans="3:6" s="20" customFormat="1">
      <c r="C80" s="63" t="s">
        <v>655</v>
      </c>
      <c r="D80" s="364" t="s">
        <v>646</v>
      </c>
      <c r="E80" s="392">
        <f t="shared" si="0"/>
        <v>0.02</v>
      </c>
      <c r="F80" s="401">
        <v>0.02</v>
      </c>
    </row>
    <row r="81" spans="3:6" s="20" customFormat="1">
      <c r="C81" s="63" t="s">
        <v>656</v>
      </c>
      <c r="D81" s="364" t="s">
        <v>646</v>
      </c>
      <c r="E81" s="392">
        <f t="shared" si="0"/>
        <v>0.02</v>
      </c>
      <c r="F81" s="401">
        <v>0.02</v>
      </c>
    </row>
    <row r="82" spans="3:6" s="20" customFormat="1">
      <c r="C82" s="63" t="s">
        <v>657</v>
      </c>
      <c r="D82" s="364" t="s">
        <v>646</v>
      </c>
      <c r="E82" s="392">
        <f t="shared" si="0"/>
        <v>0.02</v>
      </c>
      <c r="F82" s="401">
        <v>0.02</v>
      </c>
    </row>
    <row r="83" spans="3:6" s="20" customFormat="1">
      <c r="C83" s="63" t="s">
        <v>658</v>
      </c>
      <c r="D83" s="364" t="s">
        <v>646</v>
      </c>
      <c r="E83" s="392">
        <f t="shared" si="0"/>
        <v>0.02</v>
      </c>
      <c r="F83" s="401">
        <v>0.02</v>
      </c>
    </row>
    <row r="84" spans="3:6" s="20" customFormat="1">
      <c r="C84" s="63" t="s">
        <v>659</v>
      </c>
      <c r="D84" s="364" t="s">
        <v>646</v>
      </c>
      <c r="E84" s="392">
        <f t="shared" si="0"/>
        <v>0.02</v>
      </c>
      <c r="F84" s="401">
        <v>0.02</v>
      </c>
    </row>
    <row r="85" spans="3:6" s="20" customFormat="1">
      <c r="C85" s="63" t="s">
        <v>639</v>
      </c>
      <c r="D85" s="364" t="s">
        <v>646</v>
      </c>
      <c r="E85" s="392">
        <f t="shared" si="0"/>
        <v>0.02</v>
      </c>
      <c r="F85" s="401">
        <v>0.02</v>
      </c>
    </row>
    <row r="86" spans="3:6" s="20" customFormat="1">
      <c r="C86" s="63" t="s">
        <v>640</v>
      </c>
      <c r="D86" s="364" t="s">
        <v>646</v>
      </c>
      <c r="E86" s="392">
        <f t="shared" si="0"/>
        <v>0.02</v>
      </c>
      <c r="F86" s="401">
        <v>0.02</v>
      </c>
    </row>
    <row r="87" spans="3:6" s="20" customFormat="1">
      <c r="C87" s="63" t="s">
        <v>641</v>
      </c>
      <c r="D87" s="364" t="s">
        <v>646</v>
      </c>
      <c r="E87" s="392">
        <f t="shared" si="0"/>
        <v>0.02</v>
      </c>
      <c r="F87" s="401">
        <v>0.02</v>
      </c>
    </row>
    <row r="88" spans="3:6" s="20" customFormat="1">
      <c r="C88" s="63" t="s">
        <v>623</v>
      </c>
      <c r="D88" s="364" t="s">
        <v>646</v>
      </c>
      <c r="E88" s="392">
        <f t="shared" si="0"/>
        <v>0.02</v>
      </c>
      <c r="F88" s="401">
        <v>0.02</v>
      </c>
    </row>
    <row r="89" spans="3:6" s="20" customFormat="1">
      <c r="C89" s="63" t="s">
        <v>624</v>
      </c>
      <c r="D89" s="364" t="s">
        <v>646</v>
      </c>
      <c r="E89" s="392">
        <f t="shared" si="0"/>
        <v>0.02</v>
      </c>
      <c r="F89" s="401">
        <v>0.02</v>
      </c>
    </row>
    <row r="90" spans="3:6" s="20" customFormat="1">
      <c r="C90" s="63" t="s">
        <v>625</v>
      </c>
      <c r="D90" s="364" t="s">
        <v>646</v>
      </c>
      <c r="E90" s="392">
        <f t="shared" si="0"/>
        <v>0.02</v>
      </c>
      <c r="F90" s="401">
        <v>0.02</v>
      </c>
    </row>
    <row r="91" spans="3:6" s="20" customFormat="1">
      <c r="C91" s="63" t="s">
        <v>626</v>
      </c>
      <c r="D91" s="364" t="s">
        <v>646</v>
      </c>
      <c r="E91" s="392">
        <f t="shared" si="0"/>
        <v>0.02</v>
      </c>
      <c r="F91" s="401">
        <v>0.02</v>
      </c>
    </row>
    <row r="92" spans="3:6" s="20" customFormat="1">
      <c r="C92" s="63" t="s">
        <v>627</v>
      </c>
      <c r="D92" s="364" t="s">
        <v>646</v>
      </c>
      <c r="E92" s="392">
        <f t="shared" si="0"/>
        <v>0.02</v>
      </c>
      <c r="F92" s="401">
        <v>0.02</v>
      </c>
    </row>
    <row r="93" spans="3:6" s="20" customFormat="1">
      <c r="C93" s="63" t="s">
        <v>628</v>
      </c>
      <c r="D93" s="364" t="s">
        <v>646</v>
      </c>
      <c r="E93" s="392">
        <f t="shared" si="0"/>
        <v>0.02</v>
      </c>
      <c r="F93" s="401">
        <v>0.02</v>
      </c>
    </row>
    <row r="94" spans="3:6" s="20" customFormat="1">
      <c r="C94" s="63" t="s">
        <v>271</v>
      </c>
      <c r="D94" s="363" t="s">
        <v>646</v>
      </c>
      <c r="E94" s="392">
        <f t="shared" si="0"/>
        <v>0.02</v>
      </c>
      <c r="F94" s="401">
        <v>0.02</v>
      </c>
    </row>
    <row r="95" spans="3:6" s="20" customFormat="1">
      <c r="C95" s="360" t="s">
        <v>180</v>
      </c>
      <c r="D95" s="363" t="s">
        <v>181</v>
      </c>
      <c r="E95" s="397">
        <f>IF(SUM(E59:E94)&gt;1, "Erro! &gt;100%", 1-(SUM(E59:E94)))</f>
        <v>3.3999999999999586E-2</v>
      </c>
    </row>
    <row r="96" spans="3:6" s="20" customFormat="1">
      <c r="C96" s="67" t="s">
        <v>182</v>
      </c>
      <c r="D96" s="68" t="s">
        <v>183</v>
      </c>
      <c r="E96" s="69">
        <f>(((E65+E66+E67)*0.4)+(E59*0.24)+(E60*0.15)+(E61*0.43)+(E62*0.2)+(E63*0.24)+(E64*0.39))</f>
        <v>0.10650000000000001</v>
      </c>
    </row>
    <row r="97" spans="2:6">
      <c r="B97" s="20"/>
    </row>
    <row r="98" spans="2:6">
      <c r="B98" s="20" t="s">
        <v>616</v>
      </c>
      <c r="C98" s="20" t="s">
        <v>580</v>
      </c>
      <c r="D98" s="335"/>
      <c r="E98" s="336" t="s">
        <v>537</v>
      </c>
      <c r="F98" s="349" t="s">
        <v>270</v>
      </c>
    </row>
    <row r="99" spans="2:6" ht="16.2">
      <c r="B99" s="337" t="s">
        <v>582</v>
      </c>
      <c r="C99" s="337" t="s">
        <v>269</v>
      </c>
      <c r="D99" s="338" t="s">
        <v>23</v>
      </c>
      <c r="E99" s="348" t="s">
        <v>611</v>
      </c>
      <c r="F99" s="350" t="s">
        <v>611</v>
      </c>
    </row>
    <row r="100" spans="2:6">
      <c r="B100" s="406" t="s">
        <v>272</v>
      </c>
      <c r="C100" s="339" t="s">
        <v>631</v>
      </c>
      <c r="D100" s="339" t="s">
        <v>273</v>
      </c>
      <c r="E100" s="343">
        <v>821.23388921466801</v>
      </c>
      <c r="F100" s="343">
        <v>718.53527585893062</v>
      </c>
    </row>
    <row r="101" spans="2:6">
      <c r="B101" s="406"/>
      <c r="C101" s="339" t="s">
        <v>630</v>
      </c>
      <c r="D101" s="339" t="s">
        <v>273</v>
      </c>
      <c r="E101" s="343">
        <v>881.18936143085875</v>
      </c>
      <c r="F101" s="343">
        <v>731.27672749000294</v>
      </c>
    </row>
    <row r="102" spans="2:6">
      <c r="B102" s="406"/>
      <c r="C102" s="339" t="s">
        <v>629</v>
      </c>
      <c r="D102" s="339" t="s">
        <v>273</v>
      </c>
      <c r="E102" s="343">
        <v>919.39628000000005</v>
      </c>
      <c r="F102" s="343">
        <v>739.39628000000005</v>
      </c>
    </row>
    <row r="103" spans="2:6">
      <c r="B103" s="406" t="s">
        <v>632</v>
      </c>
      <c r="C103" s="339" t="s">
        <v>645</v>
      </c>
      <c r="D103" s="339" t="s">
        <v>273</v>
      </c>
      <c r="E103" s="340">
        <v>4363.33</v>
      </c>
      <c r="F103" s="342">
        <f t="shared" ref="F103:F109" si="1">$E$158*1000</f>
        <v>3207.7260562264778</v>
      </c>
    </row>
    <row r="104" spans="2:6">
      <c r="B104" s="406"/>
      <c r="C104" s="339" t="s">
        <v>643</v>
      </c>
      <c r="D104" s="339" t="s">
        <v>273</v>
      </c>
      <c r="E104" s="340">
        <v>3267</v>
      </c>
      <c r="F104" s="342">
        <f t="shared" si="1"/>
        <v>3207.7260562264778</v>
      </c>
    </row>
    <row r="105" spans="2:6">
      <c r="B105" s="406"/>
      <c r="C105" s="339" t="s">
        <v>642</v>
      </c>
      <c r="D105" s="339" t="s">
        <v>273</v>
      </c>
      <c r="E105" s="340">
        <v>24865.48</v>
      </c>
      <c r="F105" s="342">
        <f t="shared" si="1"/>
        <v>3207.7260562264778</v>
      </c>
    </row>
    <row r="106" spans="2:6">
      <c r="B106" s="406"/>
      <c r="C106" s="339" t="s">
        <v>644</v>
      </c>
      <c r="D106" s="339" t="s">
        <v>273</v>
      </c>
      <c r="E106" s="340">
        <v>5647.95</v>
      </c>
      <c r="F106" s="342">
        <f t="shared" si="1"/>
        <v>3207.7260562264778</v>
      </c>
    </row>
    <row r="107" spans="2:6">
      <c r="B107" s="406"/>
      <c r="C107" s="339" t="s">
        <v>633</v>
      </c>
      <c r="D107" s="339" t="s">
        <v>273</v>
      </c>
      <c r="E107" s="340">
        <v>4633.4799999999996</v>
      </c>
      <c r="F107" s="342">
        <f t="shared" si="1"/>
        <v>3207.7260562264778</v>
      </c>
    </row>
    <row r="108" spans="2:6">
      <c r="B108" s="406"/>
      <c r="C108" s="339" t="s">
        <v>634</v>
      </c>
      <c r="D108" s="339" t="s">
        <v>273</v>
      </c>
      <c r="E108" s="340">
        <v>6308</v>
      </c>
      <c r="F108" s="342">
        <f t="shared" si="1"/>
        <v>3207.7260562264778</v>
      </c>
    </row>
    <row r="109" spans="2:6">
      <c r="B109" s="406"/>
      <c r="C109" s="339" t="s">
        <v>635</v>
      </c>
      <c r="D109" s="339" t="s">
        <v>273</v>
      </c>
      <c r="E109" s="340">
        <v>28380</v>
      </c>
      <c r="F109" s="342">
        <f t="shared" si="1"/>
        <v>3207.7260562264778</v>
      </c>
    </row>
    <row r="110" spans="2:6">
      <c r="B110" s="407" t="s">
        <v>538</v>
      </c>
      <c r="C110" s="339" t="s">
        <v>636</v>
      </c>
      <c r="D110" s="339" t="s">
        <v>273</v>
      </c>
      <c r="E110" s="341">
        <v>9122.6364000000012</v>
      </c>
      <c r="F110" s="342">
        <v>999.39628000000005</v>
      </c>
    </row>
    <row r="111" spans="2:6">
      <c r="B111" s="408"/>
      <c r="C111" s="339" t="s">
        <v>637</v>
      </c>
      <c r="D111" s="339" t="s">
        <v>273</v>
      </c>
      <c r="E111" s="341">
        <v>5268.5564000000004</v>
      </c>
      <c r="F111" s="341">
        <v>1473.7899568</v>
      </c>
    </row>
    <row r="112" spans="2:6">
      <c r="B112" s="408"/>
      <c r="C112" s="339" t="s">
        <v>653</v>
      </c>
      <c r="D112" s="339" t="s">
        <v>273</v>
      </c>
      <c r="E112" s="341">
        <v>3682.6829001536098</v>
      </c>
      <c r="F112" s="341">
        <v>1633.1778227342547</v>
      </c>
    </row>
    <row r="113" spans="2:6">
      <c r="B113" s="408"/>
      <c r="C113" s="339" t="s">
        <v>638</v>
      </c>
      <c r="D113" s="339" t="s">
        <v>273</v>
      </c>
      <c r="E113" s="341">
        <v>3100.6363999999999</v>
      </c>
      <c r="F113" s="341">
        <v>1740.6363999999999</v>
      </c>
    </row>
    <row r="114" spans="2:6">
      <c r="B114" s="408"/>
      <c r="C114" s="339" t="s">
        <v>654</v>
      </c>
      <c r="D114" s="339" t="s">
        <v>273</v>
      </c>
      <c r="E114" s="341">
        <f t="shared" ref="E114:E119" si="2">$E$112</f>
        <v>3682.6829001536098</v>
      </c>
      <c r="F114" s="341">
        <f>1000*G143</f>
        <v>1180</v>
      </c>
    </row>
    <row r="115" spans="2:6">
      <c r="B115" s="408"/>
      <c r="C115" s="339" t="s">
        <v>655</v>
      </c>
      <c r="D115" s="339" t="s">
        <v>273</v>
      </c>
      <c r="E115" s="341">
        <f t="shared" si="2"/>
        <v>3682.6829001536098</v>
      </c>
      <c r="F115" s="341">
        <f>1000*F144</f>
        <v>1130</v>
      </c>
    </row>
    <row r="116" spans="2:6">
      <c r="B116" s="408"/>
      <c r="C116" s="339" t="s">
        <v>656</v>
      </c>
      <c r="D116" s="339" t="s">
        <v>273</v>
      </c>
      <c r="E116" s="341">
        <f t="shared" si="2"/>
        <v>3682.6829001536098</v>
      </c>
      <c r="F116" s="341">
        <f>1000*I145</f>
        <v>1900</v>
      </c>
    </row>
    <row r="117" spans="2:6">
      <c r="B117" s="408"/>
      <c r="C117" s="339" t="s">
        <v>657</v>
      </c>
      <c r="D117" s="339" t="s">
        <v>273</v>
      </c>
      <c r="E117" s="341">
        <f t="shared" si="2"/>
        <v>3682.6829001536098</v>
      </c>
      <c r="F117" s="341">
        <f t="shared" ref="F117:F119" si="3">1000*I146</f>
        <v>2150</v>
      </c>
    </row>
    <row r="118" spans="2:6">
      <c r="B118" s="408"/>
      <c r="C118" s="339" t="s">
        <v>658</v>
      </c>
      <c r="D118" s="339" t="s">
        <v>273</v>
      </c>
      <c r="E118" s="341">
        <f t="shared" si="2"/>
        <v>3682.6829001536098</v>
      </c>
      <c r="F118" s="341">
        <f t="shared" si="3"/>
        <v>1800</v>
      </c>
    </row>
    <row r="119" spans="2:6">
      <c r="B119" s="409"/>
      <c r="C119" s="339" t="s">
        <v>659</v>
      </c>
      <c r="D119" s="339" t="s">
        <v>273</v>
      </c>
      <c r="E119" s="341">
        <f t="shared" si="2"/>
        <v>3682.6829001536098</v>
      </c>
      <c r="F119" s="341">
        <f t="shared" si="3"/>
        <v>1610</v>
      </c>
    </row>
    <row r="120" spans="2:6">
      <c r="B120" s="406" t="s">
        <v>583</v>
      </c>
      <c r="C120" s="339" t="s">
        <v>639</v>
      </c>
      <c r="D120" s="339" t="s">
        <v>273</v>
      </c>
      <c r="E120" s="341">
        <v>3116.2915638696181</v>
      </c>
      <c r="F120" s="341">
        <v>2326.530279895238</v>
      </c>
    </row>
    <row r="121" spans="2:6">
      <c r="B121" s="406"/>
      <c r="C121" s="339" t="s">
        <v>640</v>
      </c>
      <c r="D121" s="339" t="s">
        <v>273</v>
      </c>
      <c r="E121" s="341">
        <v>2574.1647528352833</v>
      </c>
      <c r="F121" s="341">
        <v>1894.6286272087464</v>
      </c>
    </row>
    <row r="122" spans="2:6">
      <c r="B122" s="406"/>
      <c r="C122" s="339" t="s">
        <v>641</v>
      </c>
      <c r="D122" s="339" t="s">
        <v>273</v>
      </c>
      <c r="E122" s="341">
        <v>3276.7069334313005</v>
      </c>
      <c r="F122" s="341">
        <v>2748.8329795793861</v>
      </c>
    </row>
    <row r="123" spans="2:6">
      <c r="B123" s="406"/>
      <c r="C123" s="339" t="s">
        <v>623</v>
      </c>
      <c r="D123" s="339" t="s">
        <v>273</v>
      </c>
      <c r="E123" s="341">
        <v>3269.8388922118374</v>
      </c>
      <c r="F123" s="341">
        <v>2350.6163417001762</v>
      </c>
    </row>
    <row r="124" spans="2:6">
      <c r="B124" s="406"/>
      <c r="C124" s="339" t="s">
        <v>624</v>
      </c>
      <c r="D124" s="339" t="s">
        <v>273</v>
      </c>
      <c r="E124" s="341">
        <v>2600.6363999999999</v>
      </c>
      <c r="F124" s="341">
        <v>1797.2226780767996</v>
      </c>
    </row>
    <row r="125" spans="2:6">
      <c r="B125" s="406"/>
      <c r="C125" s="339" t="s">
        <v>625</v>
      </c>
      <c r="D125" s="339" t="s">
        <v>273</v>
      </c>
      <c r="E125" s="341">
        <v>4032.3924975609766</v>
      </c>
      <c r="F125" s="341">
        <v>3125.2715672888985</v>
      </c>
    </row>
    <row r="126" spans="2:6">
      <c r="B126" s="406"/>
      <c r="C126" s="339" t="s">
        <v>626</v>
      </c>
      <c r="D126" s="339" t="s">
        <v>273</v>
      </c>
      <c r="E126" s="341">
        <v>3104.7269923344943</v>
      </c>
      <c r="F126" s="341">
        <v>2541.3132704112945</v>
      </c>
    </row>
    <row r="127" spans="2:6">
      <c r="B127" s="406"/>
      <c r="C127" s="339" t="s">
        <v>627</v>
      </c>
      <c r="D127" s="339" t="s">
        <v>273</v>
      </c>
      <c r="E127" s="341">
        <v>3777.9489000000003</v>
      </c>
      <c r="F127" s="341">
        <v>3198.9573171428574</v>
      </c>
    </row>
    <row r="128" spans="2:6">
      <c r="B128" s="406"/>
      <c r="C128" s="339" t="s">
        <v>628</v>
      </c>
      <c r="D128" s="339" t="s">
        <v>273</v>
      </c>
      <c r="E128" s="341">
        <v>3413.0841611940295</v>
      </c>
      <c r="F128" s="341">
        <v>2489.6704392708298</v>
      </c>
    </row>
    <row r="129" spans="2:11">
      <c r="B129" s="339" t="s">
        <v>584</v>
      </c>
      <c r="C129" s="339" t="s">
        <v>271</v>
      </c>
      <c r="D129" s="339" t="s">
        <v>273</v>
      </c>
      <c r="E129" s="341">
        <v>1402.7666666666664</v>
      </c>
      <c r="F129" s="341">
        <v>823.18953918534748</v>
      </c>
    </row>
    <row r="130" spans="2:11">
      <c r="B130" s="20"/>
    </row>
    <row r="131" spans="2:11">
      <c r="B131" s="20"/>
    </row>
    <row r="132" spans="2:11" ht="15" customHeight="1">
      <c r="B132" s="20" t="s">
        <v>617</v>
      </c>
      <c r="C132" s="296"/>
      <c r="D132" s="296"/>
      <c r="E132" s="296"/>
      <c r="F132" s="296"/>
      <c r="G132" s="296"/>
      <c r="H132" s="296"/>
      <c r="I132" s="296"/>
      <c r="K132" s="296"/>
    </row>
    <row r="133" spans="2:11" ht="15" customHeight="1">
      <c r="B133" s="20"/>
      <c r="C133" s="296"/>
      <c r="D133" s="296"/>
      <c r="E133" s="296"/>
      <c r="F133" s="296"/>
      <c r="G133" s="296"/>
      <c r="H133" s="296"/>
      <c r="I133" s="296"/>
      <c r="K133" s="296"/>
    </row>
    <row r="134" spans="2:11" ht="15" customHeight="1">
      <c r="B134" s="347" t="s">
        <v>612</v>
      </c>
      <c r="C134" s="296"/>
      <c r="D134" s="296"/>
      <c r="E134" s="296"/>
      <c r="F134" s="296"/>
      <c r="G134" s="296"/>
      <c r="H134" s="296"/>
      <c r="I134" s="296"/>
      <c r="K134" s="296"/>
    </row>
    <row r="135" spans="2:11" ht="28.8">
      <c r="B135" s="20"/>
      <c r="C135" s="280" t="s">
        <v>614</v>
      </c>
      <c r="D135" s="281" t="s">
        <v>548</v>
      </c>
      <c r="E135" s="281" t="s">
        <v>549</v>
      </c>
      <c r="F135" s="281" t="s">
        <v>550</v>
      </c>
      <c r="G135" s="281" t="s">
        <v>551</v>
      </c>
      <c r="H135" s="281" t="s">
        <v>552</v>
      </c>
      <c r="I135" s="281" t="s">
        <v>553</v>
      </c>
      <c r="K135" s="296"/>
    </row>
    <row r="136" spans="2:11" ht="15" customHeight="1">
      <c r="B136" s="20"/>
      <c r="C136" s="280" t="s">
        <v>613</v>
      </c>
      <c r="D136" s="405" t="s">
        <v>554</v>
      </c>
      <c r="E136" s="405" t="s">
        <v>555</v>
      </c>
      <c r="F136" s="405" t="s">
        <v>556</v>
      </c>
      <c r="G136" s="405" t="s">
        <v>557</v>
      </c>
      <c r="H136" s="405" t="s">
        <v>558</v>
      </c>
      <c r="I136" s="359" t="s">
        <v>559</v>
      </c>
      <c r="K136" s="296"/>
    </row>
    <row r="137" spans="2:11" ht="15" customHeight="1">
      <c r="B137" s="296"/>
      <c r="C137" s="296"/>
      <c r="D137" s="296"/>
      <c r="E137" s="296"/>
      <c r="F137" s="296"/>
      <c r="G137" s="296"/>
      <c r="H137" s="296"/>
      <c r="I137" s="296"/>
      <c r="K137" s="296"/>
    </row>
    <row r="138" spans="2:11" ht="16.05" customHeight="1">
      <c r="B138" s="413" t="s">
        <v>560</v>
      </c>
      <c r="C138" s="283" t="s">
        <v>560</v>
      </c>
      <c r="D138" s="284">
        <v>1.4870000000000001</v>
      </c>
      <c r="E138" s="285"/>
      <c r="F138" s="289">
        <v>1.57</v>
      </c>
      <c r="G138" s="285"/>
      <c r="H138" s="285"/>
      <c r="I138" s="287">
        <v>0.97</v>
      </c>
      <c r="K138" s="296"/>
    </row>
    <row r="139" spans="2:11" ht="16.05" customHeight="1">
      <c r="B139" s="414"/>
      <c r="C139" s="283" t="s">
        <v>561</v>
      </c>
      <c r="D139" s="285"/>
      <c r="E139" s="285"/>
      <c r="F139" s="346"/>
      <c r="G139" s="286">
        <v>1</v>
      </c>
      <c r="H139" s="285"/>
      <c r="I139" s="288"/>
      <c r="K139" s="296"/>
    </row>
    <row r="140" spans="2:11" ht="16.05" customHeight="1">
      <c r="B140" s="279"/>
      <c r="C140" s="292"/>
      <c r="D140" s="290"/>
      <c r="E140" s="290"/>
      <c r="F140" s="293"/>
      <c r="G140" s="290"/>
      <c r="H140" s="290"/>
      <c r="I140" s="290"/>
      <c r="K140" s="296"/>
    </row>
    <row r="141" spans="2:11" ht="16.05" customHeight="1">
      <c r="B141" s="413" t="s">
        <v>562</v>
      </c>
      <c r="C141" s="283" t="s">
        <v>563</v>
      </c>
      <c r="D141" s="284">
        <v>9.0739999999999998</v>
      </c>
      <c r="E141" s="285"/>
      <c r="F141" s="289">
        <v>7.11</v>
      </c>
      <c r="G141" s="286">
        <v>11.1</v>
      </c>
      <c r="H141" s="285"/>
      <c r="I141" s="287">
        <v>3.54</v>
      </c>
      <c r="K141" s="296"/>
    </row>
    <row r="142" spans="2:11" ht="16.05" customHeight="1">
      <c r="B142" s="415"/>
      <c r="C142" s="283" t="s">
        <v>564</v>
      </c>
      <c r="D142" s="285"/>
      <c r="E142" s="289">
        <v>14.958365148794948</v>
      </c>
      <c r="F142" s="285"/>
      <c r="G142" s="285"/>
      <c r="H142" s="285"/>
      <c r="I142" s="288"/>
      <c r="K142" s="296"/>
    </row>
    <row r="143" spans="2:11" ht="16.05" customHeight="1">
      <c r="B143" s="415"/>
      <c r="C143" s="283" t="s">
        <v>565</v>
      </c>
      <c r="D143" s="285"/>
      <c r="E143" s="291"/>
      <c r="F143" s="285"/>
      <c r="G143" s="286">
        <v>1.18</v>
      </c>
      <c r="H143" s="285"/>
      <c r="I143" s="287">
        <v>0.81</v>
      </c>
      <c r="K143" s="296"/>
    </row>
    <row r="144" spans="2:11" ht="16.05" customHeight="1">
      <c r="B144" s="415"/>
      <c r="C144" s="283" t="s">
        <v>566</v>
      </c>
      <c r="D144" s="285"/>
      <c r="E144" s="289">
        <v>5.4233718888777558</v>
      </c>
      <c r="F144" s="289">
        <v>1.1299999999999999</v>
      </c>
      <c r="G144" s="285"/>
      <c r="H144" s="285"/>
      <c r="I144" s="288"/>
      <c r="K144" s="296"/>
    </row>
    <row r="145" spans="2:11" ht="16.05" customHeight="1">
      <c r="B145" s="415"/>
      <c r="C145" s="283" t="s">
        <v>567</v>
      </c>
      <c r="D145" s="285"/>
      <c r="E145" s="291"/>
      <c r="F145" s="291"/>
      <c r="G145" s="285"/>
      <c r="H145" s="285"/>
      <c r="I145" s="287">
        <v>1.9</v>
      </c>
      <c r="K145" s="296"/>
    </row>
    <row r="146" spans="2:11" ht="16.05" customHeight="1">
      <c r="B146" s="415"/>
      <c r="C146" s="283" t="s">
        <v>568</v>
      </c>
      <c r="D146" s="285"/>
      <c r="E146" s="291"/>
      <c r="F146" s="291"/>
      <c r="G146" s="285"/>
      <c r="H146" s="285"/>
      <c r="I146" s="287">
        <v>2.15</v>
      </c>
      <c r="K146" s="296"/>
    </row>
    <row r="147" spans="2:11" ht="16.05" customHeight="1">
      <c r="B147" s="415"/>
      <c r="C147" s="283" t="s">
        <v>569</v>
      </c>
      <c r="D147" s="285"/>
      <c r="E147" s="291"/>
      <c r="F147" s="291"/>
      <c r="G147" s="285"/>
      <c r="H147" s="285"/>
      <c r="I147" s="287">
        <v>1.8</v>
      </c>
      <c r="K147" s="296"/>
    </row>
    <row r="148" spans="2:11" ht="16.05" customHeight="1">
      <c r="B148" s="414"/>
      <c r="C148" s="283" t="s">
        <v>570</v>
      </c>
      <c r="D148" s="285"/>
      <c r="E148" s="285"/>
      <c r="F148" s="289">
        <v>0.68</v>
      </c>
      <c r="G148" s="285"/>
      <c r="H148" s="285"/>
      <c r="I148" s="287">
        <v>1.61</v>
      </c>
      <c r="K148" s="296"/>
    </row>
    <row r="149" spans="2:11" ht="16.05" customHeight="1">
      <c r="B149" s="279"/>
      <c r="C149" s="295"/>
      <c r="D149" s="290"/>
      <c r="E149" s="290"/>
      <c r="F149" s="290"/>
      <c r="G149" s="290"/>
      <c r="H149" s="290"/>
      <c r="I149" s="290"/>
      <c r="K149" s="296"/>
    </row>
    <row r="150" spans="2:11" ht="16.05" customHeight="1">
      <c r="B150" s="345" t="s">
        <v>571</v>
      </c>
      <c r="C150" s="283" t="s">
        <v>571</v>
      </c>
      <c r="D150" s="285"/>
      <c r="E150" s="285"/>
      <c r="F150" s="285"/>
      <c r="G150" s="286">
        <v>1.8</v>
      </c>
      <c r="H150" s="285"/>
      <c r="I150" s="288"/>
      <c r="K150" s="296"/>
    </row>
    <row r="151" spans="2:11" ht="16.05" customHeight="1">
      <c r="B151" s="344"/>
      <c r="C151" s="295"/>
      <c r="D151" s="290"/>
      <c r="E151" s="290"/>
      <c r="F151" s="290"/>
      <c r="G151" s="290"/>
      <c r="H151" s="290"/>
      <c r="I151" s="290"/>
      <c r="K151" s="296"/>
    </row>
    <row r="152" spans="2:11" ht="16.05" customHeight="1">
      <c r="B152" s="410" t="s">
        <v>572</v>
      </c>
      <c r="C152" s="283" t="s">
        <v>573</v>
      </c>
      <c r="D152" s="285"/>
      <c r="E152" s="285"/>
      <c r="F152" s="285"/>
      <c r="G152" s="286">
        <v>1.04</v>
      </c>
      <c r="H152" s="285"/>
      <c r="I152" s="288"/>
      <c r="K152" s="296"/>
    </row>
    <row r="153" spans="2:11" ht="15" customHeight="1">
      <c r="B153" s="411"/>
      <c r="C153" s="283" t="s">
        <v>574</v>
      </c>
      <c r="D153" s="285"/>
      <c r="E153" s="285"/>
      <c r="F153" s="285"/>
      <c r="G153" s="286">
        <v>0.46</v>
      </c>
      <c r="H153" s="285"/>
      <c r="I153" s="288"/>
      <c r="K153" s="296"/>
    </row>
    <row r="154" spans="2:11" ht="15" customHeight="1">
      <c r="B154" s="412"/>
      <c r="C154" s="283" t="s">
        <v>575</v>
      </c>
      <c r="D154" s="285"/>
      <c r="E154" s="285"/>
      <c r="F154" s="285"/>
      <c r="G154" s="286">
        <v>1.06</v>
      </c>
      <c r="H154" s="285"/>
      <c r="I154" s="288"/>
      <c r="K154" s="296"/>
    </row>
    <row r="155" spans="2:11" ht="16.05" customHeight="1">
      <c r="B155" s="279"/>
      <c r="C155" s="292"/>
      <c r="D155" s="290"/>
      <c r="E155" s="290"/>
      <c r="F155" s="290"/>
      <c r="G155" s="294"/>
      <c r="H155" s="290"/>
      <c r="I155" s="290"/>
      <c r="K155" s="296"/>
    </row>
    <row r="156" spans="2:11" ht="16.05" customHeight="1">
      <c r="B156" s="345" t="s">
        <v>576</v>
      </c>
      <c r="C156" s="283" t="s">
        <v>576</v>
      </c>
      <c r="D156" s="285"/>
      <c r="E156" s="289">
        <v>2.4912236725332777</v>
      </c>
      <c r="F156" s="285"/>
      <c r="G156" s="285"/>
      <c r="H156" s="285"/>
      <c r="I156" s="288"/>
      <c r="K156" s="296"/>
    </row>
    <row r="157" spans="2:11" ht="16.2">
      <c r="B157" s="279"/>
      <c r="C157" s="292"/>
      <c r="D157" s="290"/>
      <c r="E157" s="290"/>
      <c r="F157" s="290"/>
      <c r="G157" s="294"/>
      <c r="H157" s="290"/>
      <c r="I157" s="290"/>
      <c r="K157" s="296"/>
    </row>
    <row r="158" spans="2:11" ht="16.05" customHeight="1">
      <c r="B158" s="345" t="s">
        <v>577</v>
      </c>
      <c r="C158" s="283" t="s">
        <v>578</v>
      </c>
      <c r="D158" s="285"/>
      <c r="E158" s="289">
        <v>3.2077260562264778</v>
      </c>
      <c r="F158" s="285"/>
      <c r="G158" s="285"/>
      <c r="H158" s="285"/>
      <c r="I158" s="288"/>
      <c r="K158" s="296"/>
    </row>
    <row r="159" spans="2:11" ht="16.05" customHeight="1">
      <c r="C159" s="296"/>
      <c r="D159" s="296"/>
      <c r="E159" s="296"/>
      <c r="F159" s="296"/>
      <c r="G159" s="296"/>
      <c r="H159" s="296"/>
      <c r="I159" s="296"/>
      <c r="J159" s="296"/>
      <c r="K159" s="296"/>
    </row>
    <row r="160" spans="2:11" ht="16.05" customHeight="1">
      <c r="C160" s="296"/>
      <c r="D160" s="296"/>
      <c r="E160" s="296"/>
      <c r="F160" s="296"/>
      <c r="G160" s="296"/>
      <c r="H160" s="296"/>
      <c r="I160" s="296"/>
      <c r="J160" s="296"/>
      <c r="K160" s="296"/>
    </row>
    <row r="161" spans="3:11" ht="16.05" customHeight="1">
      <c r="C161" s="296"/>
      <c r="D161" s="296"/>
      <c r="E161" s="296"/>
      <c r="F161" s="296"/>
      <c r="G161" s="296"/>
      <c r="H161" s="296"/>
      <c r="I161" s="296"/>
      <c r="J161" s="296"/>
      <c r="K161" s="296"/>
    </row>
    <row r="162" spans="3:11" ht="16.05" customHeight="1">
      <c r="C162" s="296"/>
      <c r="D162" s="296"/>
      <c r="E162" s="296"/>
      <c r="F162" s="296"/>
      <c r="G162" s="296"/>
      <c r="H162" s="296"/>
      <c r="I162" s="296"/>
      <c r="J162" s="296"/>
      <c r="K162" s="296"/>
    </row>
    <row r="163" spans="3:11" ht="16.05" customHeight="1">
      <c r="C163" s="296"/>
      <c r="D163" s="296"/>
      <c r="E163" s="296"/>
      <c r="F163" s="296"/>
      <c r="G163" s="296"/>
      <c r="H163" s="296"/>
      <c r="I163" s="296"/>
      <c r="J163" s="296"/>
      <c r="K163" s="296"/>
    </row>
    <row r="164" spans="3:11" ht="16.05" customHeight="1">
      <c r="C164" s="296"/>
      <c r="D164" s="296"/>
      <c r="E164" s="296"/>
      <c r="F164" s="296"/>
      <c r="G164" s="296"/>
      <c r="H164" s="296"/>
      <c r="I164" s="296"/>
      <c r="J164" s="296"/>
      <c r="K164" s="296"/>
    </row>
    <row r="165" spans="3:11" ht="16.05" customHeight="1">
      <c r="C165" s="296"/>
      <c r="D165" s="296"/>
      <c r="E165" s="296"/>
      <c r="F165" s="296"/>
      <c r="G165" s="296"/>
      <c r="H165" s="296"/>
      <c r="I165" s="296"/>
      <c r="J165" s="296"/>
      <c r="K165" s="296"/>
    </row>
    <row r="166" spans="3:11" ht="16.05" customHeight="1">
      <c r="C166" s="296"/>
      <c r="D166" s="296"/>
      <c r="E166" s="296"/>
      <c r="F166" s="296"/>
      <c r="G166" s="296"/>
      <c r="H166" s="296"/>
      <c r="I166" s="296"/>
      <c r="J166" s="296"/>
      <c r="K166" s="296"/>
    </row>
    <row r="167" spans="3:11" ht="16.05" customHeight="1">
      <c r="C167" s="296"/>
      <c r="D167" s="296"/>
      <c r="E167" s="296"/>
      <c r="F167" s="296"/>
      <c r="G167" s="296"/>
      <c r="H167" s="296"/>
      <c r="I167" s="296"/>
      <c r="J167" s="296"/>
      <c r="K167" s="296"/>
    </row>
  </sheetData>
  <conditionalFormatting sqref="E95">
    <cfRule type="cellIs" dxfId="0" priority="1" stopIfTrue="1" operator="equal">
      <formula>"Erro! &gt;100%"</formula>
    </cfRule>
  </conditionalFormatting>
  <dataValidations count="1">
    <dataValidation type="decimal" operator="lessThanOrEqual" allowBlank="1" showInputMessage="1" showErrorMessage="1" errorTitle="Entre com um número válido!" error="Entre com uma porcentagem entre 0 e 100%." sqref="E59:F94" xr:uid="{C694A850-EFED-8948-8174-37E846D4240D}">
      <formula1>1</formula1>
    </dataValidation>
  </dataValidations>
  <hyperlinks>
    <hyperlink ref="B20" location="Referencias!A1" display="Referências" xr:uid="{BB72D343-1E49-AC4B-BD79-E6BF32A28D15}"/>
    <hyperlink ref="I6" location="Inicio!A1" display="Início" xr:uid="{B6294CE1-F9D7-1848-88B7-5A3E7D0A223F}"/>
  </hyperlinks>
  <pageMargins left="0.75" right="0.75" top="1" bottom="1" header="0.5" footer="0.5"/>
  <pageSetup paperSize="9" orientation="portrait" horizontalDpi="4294967292" verticalDpi="4294967292"/>
  <drawing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6:S152"/>
  <sheetViews>
    <sheetView showGridLines="0" topLeftCell="A55" zoomScaleNormal="100" workbookViewId="0">
      <selection activeCell="B6" sqref="B6"/>
    </sheetView>
  </sheetViews>
  <sheetFormatPr defaultColWidth="8.77734375" defaultRowHeight="14.4"/>
  <cols>
    <col min="1" max="1" width="8.77734375" style="227"/>
    <col min="2" max="2" width="24.33203125" style="227" bestFit="1" customWidth="1"/>
    <col min="3" max="3" width="152.77734375" style="227" bestFit="1" customWidth="1"/>
    <col min="4" max="4" width="17.77734375" style="227" customWidth="1"/>
    <col min="5" max="16384" width="8.77734375" style="227"/>
  </cols>
  <sheetData>
    <row r="6" spans="2:19" ht="23.4">
      <c r="B6" s="432" t="s">
        <v>11</v>
      </c>
      <c r="D6" s="228" t="s">
        <v>299</v>
      </c>
    </row>
    <row r="8" spans="2:19">
      <c r="B8" s="522" t="s">
        <v>1</v>
      </c>
      <c r="C8" s="271" t="s">
        <v>543</v>
      </c>
    </row>
    <row r="9" spans="2:19">
      <c r="B9" s="522"/>
      <c r="C9" s="272" t="s">
        <v>542</v>
      </c>
    </row>
    <row r="10" spans="2:19">
      <c r="B10" s="1"/>
    </row>
    <row r="11" spans="2:19">
      <c r="B11" s="230" t="s">
        <v>195</v>
      </c>
      <c r="C11" s="229" t="s">
        <v>106</v>
      </c>
    </row>
    <row r="12" spans="2:19">
      <c r="B12" s="1"/>
    </row>
    <row r="13" spans="2:19">
      <c r="B13" s="231" t="s">
        <v>14</v>
      </c>
      <c r="C13" s="229" t="s">
        <v>159</v>
      </c>
    </row>
    <row r="14" spans="2:19">
      <c r="B14" s="1"/>
    </row>
    <row r="15" spans="2:19" ht="15" customHeight="1">
      <c r="B15" s="530" t="s">
        <v>142</v>
      </c>
      <c r="C15" s="244" t="s">
        <v>377</v>
      </c>
      <c r="D15" s="531" t="s">
        <v>376</v>
      </c>
      <c r="F15" s="245"/>
      <c r="G15" s="245"/>
      <c r="H15" s="245"/>
      <c r="I15" s="245"/>
      <c r="J15" s="245"/>
      <c r="K15" s="245"/>
      <c r="L15" s="245"/>
      <c r="M15" s="245"/>
      <c r="N15" s="245"/>
      <c r="O15" s="245"/>
      <c r="P15" s="245"/>
      <c r="Q15" s="245"/>
      <c r="R15" s="245"/>
      <c r="S15" s="245"/>
    </row>
    <row r="16" spans="2:19">
      <c r="B16" s="530"/>
      <c r="C16" s="242" t="s">
        <v>385</v>
      </c>
      <c r="D16" s="532"/>
      <c r="F16" s="243"/>
      <c r="G16" s="243"/>
      <c r="H16" s="243"/>
      <c r="I16" s="243"/>
      <c r="J16" s="243"/>
      <c r="K16" s="243"/>
      <c r="L16" s="243"/>
      <c r="M16" s="243"/>
      <c r="N16" s="243"/>
      <c r="O16" s="243"/>
      <c r="P16" s="243"/>
      <c r="Q16" s="243"/>
      <c r="R16" s="243"/>
      <c r="S16" s="243"/>
    </row>
    <row r="17" spans="2:19">
      <c r="B17" s="530"/>
      <c r="C17" s="241" t="s">
        <v>378</v>
      </c>
      <c r="D17" s="465"/>
      <c r="F17" s="246"/>
      <c r="G17" s="246"/>
      <c r="H17" s="246"/>
      <c r="I17" s="246"/>
      <c r="J17" s="246"/>
      <c r="K17" s="246"/>
      <c r="L17" s="246"/>
      <c r="M17" s="246"/>
      <c r="N17" s="246"/>
      <c r="O17" s="246"/>
      <c r="P17" s="246"/>
      <c r="Q17" s="246"/>
      <c r="R17" s="246"/>
      <c r="S17" s="246"/>
    </row>
    <row r="18" spans="2:19" ht="15" customHeight="1">
      <c r="B18" s="530"/>
      <c r="C18" s="239" t="s">
        <v>380</v>
      </c>
      <c r="D18" s="531" t="s">
        <v>379</v>
      </c>
      <c r="F18" s="240"/>
      <c r="G18" s="240"/>
      <c r="H18" s="240"/>
      <c r="I18" s="240"/>
      <c r="J18" s="240"/>
      <c r="K18" s="240"/>
      <c r="L18" s="240"/>
      <c r="M18" s="240"/>
      <c r="N18" s="240"/>
      <c r="O18" s="240"/>
      <c r="P18" s="240"/>
      <c r="Q18" s="240"/>
      <c r="R18" s="240"/>
      <c r="S18" s="240"/>
    </row>
    <row r="19" spans="2:19">
      <c r="B19" s="530"/>
      <c r="C19" s="239" t="s">
        <v>381</v>
      </c>
      <c r="D19" s="532"/>
      <c r="F19" s="240"/>
      <c r="G19" s="240"/>
      <c r="H19" s="240"/>
      <c r="I19" s="240"/>
      <c r="J19" s="240"/>
      <c r="K19" s="240"/>
      <c r="L19" s="240"/>
      <c r="M19" s="240"/>
      <c r="N19" s="240"/>
      <c r="O19" s="240"/>
      <c r="P19" s="240"/>
      <c r="Q19" s="240"/>
      <c r="R19" s="240"/>
      <c r="S19" s="240"/>
    </row>
    <row r="20" spans="2:19">
      <c r="B20" s="530"/>
      <c r="C20" s="239" t="s">
        <v>382</v>
      </c>
      <c r="D20" s="532"/>
      <c r="F20" s="240"/>
      <c r="G20" s="240"/>
      <c r="H20" s="240"/>
      <c r="I20" s="240"/>
      <c r="J20" s="240"/>
      <c r="K20" s="240"/>
      <c r="L20" s="240"/>
      <c r="M20" s="240"/>
      <c r="N20" s="240"/>
      <c r="O20" s="240"/>
      <c r="P20" s="240"/>
      <c r="Q20" s="240"/>
      <c r="R20" s="240"/>
      <c r="S20" s="240"/>
    </row>
    <row r="21" spans="2:19">
      <c r="B21" s="530"/>
      <c r="C21" s="238" t="s">
        <v>383</v>
      </c>
      <c r="D21" s="465"/>
      <c r="F21" s="240"/>
      <c r="G21" s="240"/>
      <c r="H21" s="240"/>
      <c r="I21" s="240"/>
      <c r="J21" s="240"/>
      <c r="K21" s="240"/>
      <c r="L21" s="240"/>
      <c r="M21" s="240"/>
      <c r="N21" s="240"/>
      <c r="O21" s="240"/>
      <c r="P21" s="240"/>
      <c r="Q21" s="240"/>
      <c r="R21" s="240"/>
      <c r="S21" s="240"/>
    </row>
    <row r="22" spans="2:19">
      <c r="B22" s="1"/>
    </row>
    <row r="23" spans="2:19">
      <c r="B23" s="232" t="s">
        <v>13</v>
      </c>
      <c r="C23" s="229" t="s">
        <v>196</v>
      </c>
    </row>
    <row r="24" spans="2:19">
      <c r="B24" s="1"/>
    </row>
    <row r="25" spans="2:19">
      <c r="B25" s="233" t="s">
        <v>15</v>
      </c>
      <c r="C25" s="229" t="s">
        <v>352</v>
      </c>
    </row>
    <row r="27" spans="2:19">
      <c r="B27" s="188" t="s">
        <v>294</v>
      </c>
      <c r="C27" s="229" t="s">
        <v>351</v>
      </c>
    </row>
    <row r="29" spans="2:19">
      <c r="B29" s="523" t="s">
        <v>198</v>
      </c>
      <c r="C29" s="271" t="s">
        <v>196</v>
      </c>
    </row>
    <row r="30" spans="2:19">
      <c r="B30" s="524"/>
      <c r="C30" s="273" t="s">
        <v>581</v>
      </c>
    </row>
    <row r="31" spans="2:19">
      <c r="B31" s="524"/>
      <c r="C31" s="274" t="s">
        <v>544</v>
      </c>
    </row>
    <row r="33" spans="2:6">
      <c r="B33" s="234" t="s">
        <v>509</v>
      </c>
      <c r="C33" s="235"/>
      <c r="D33" s="236"/>
    </row>
    <row r="34" spans="2:6">
      <c r="B34" s="237"/>
      <c r="C34" s="237"/>
      <c r="D34" s="237"/>
      <c r="E34" s="237"/>
      <c r="F34" s="237"/>
    </row>
    <row r="35" spans="2:6">
      <c r="B35" s="221" t="s">
        <v>387</v>
      </c>
      <c r="C35" s="222"/>
      <c r="D35" s="223"/>
      <c r="E35" s="223"/>
    </row>
    <row r="36" spans="2:6">
      <c r="B36" s="218" t="s">
        <v>388</v>
      </c>
      <c r="C36" s="218" t="s">
        <v>389</v>
      </c>
      <c r="D36" s="218" t="s">
        <v>390</v>
      </c>
    </row>
    <row r="37" spans="2:6" ht="15.6">
      <c r="B37" s="224" t="s">
        <v>391</v>
      </c>
      <c r="C37" s="226">
        <v>1</v>
      </c>
      <c r="D37" s="525" t="s">
        <v>392</v>
      </c>
    </row>
    <row r="38" spans="2:6" ht="15.6">
      <c r="B38" s="224" t="s">
        <v>393</v>
      </c>
      <c r="C38" s="226">
        <v>25</v>
      </c>
      <c r="D38" s="526"/>
    </row>
    <row r="39" spans="2:6" ht="15.6">
      <c r="B39" s="224" t="s">
        <v>394</v>
      </c>
      <c r="C39" s="226">
        <v>298</v>
      </c>
      <c r="D39" s="526"/>
    </row>
    <row r="40" spans="2:6">
      <c r="B40" s="224" t="s">
        <v>395</v>
      </c>
      <c r="C40" s="226">
        <v>14800</v>
      </c>
      <c r="D40" s="526"/>
    </row>
    <row r="41" spans="2:6">
      <c r="B41" s="224" t="s">
        <v>396</v>
      </c>
      <c r="C41" s="226">
        <v>675</v>
      </c>
      <c r="D41" s="526"/>
    </row>
    <row r="42" spans="2:6">
      <c r="B42" s="224" t="s">
        <v>397</v>
      </c>
      <c r="C42" s="226">
        <v>92</v>
      </c>
      <c r="D42" s="526"/>
    </row>
    <row r="43" spans="2:6">
      <c r="B43" s="224" t="s">
        <v>398</v>
      </c>
      <c r="C43" s="226">
        <v>3500</v>
      </c>
      <c r="D43" s="526"/>
    </row>
    <row r="44" spans="2:6">
      <c r="B44" s="224" t="s">
        <v>399</v>
      </c>
      <c r="C44" s="226">
        <v>1100</v>
      </c>
      <c r="D44" s="526"/>
    </row>
    <row r="45" spans="2:6">
      <c r="B45" s="224" t="s">
        <v>400</v>
      </c>
      <c r="C45" s="226">
        <v>1430</v>
      </c>
      <c r="D45" s="526"/>
    </row>
    <row r="46" spans="2:6">
      <c r="B46" s="224" t="s">
        <v>401</v>
      </c>
      <c r="C46" s="226">
        <v>353</v>
      </c>
      <c r="D46" s="526"/>
    </row>
    <row r="47" spans="2:6">
      <c r="B47" s="224" t="s">
        <v>402</v>
      </c>
      <c r="C47" s="226">
        <v>4470</v>
      </c>
      <c r="D47" s="526"/>
    </row>
    <row r="48" spans="2:6">
      <c r="B48" s="224" t="s">
        <v>403</v>
      </c>
      <c r="C48" s="226">
        <v>53</v>
      </c>
      <c r="D48" s="526"/>
    </row>
    <row r="49" spans="2:4">
      <c r="B49" s="224" t="s">
        <v>404</v>
      </c>
      <c r="C49" s="226">
        <v>124</v>
      </c>
      <c r="D49" s="526"/>
    </row>
    <row r="50" spans="2:4">
      <c r="B50" s="224" t="s">
        <v>405</v>
      </c>
      <c r="C50" s="226">
        <v>12</v>
      </c>
      <c r="D50" s="526"/>
    </row>
    <row r="51" spans="2:4">
      <c r="B51" s="224" t="s">
        <v>406</v>
      </c>
      <c r="C51" s="226">
        <v>3220</v>
      </c>
      <c r="D51" s="526"/>
    </row>
    <row r="52" spans="2:4">
      <c r="B52" s="224" t="s">
        <v>407</v>
      </c>
      <c r="C52" s="226">
        <v>1340</v>
      </c>
      <c r="D52" s="526"/>
    </row>
    <row r="53" spans="2:4">
      <c r="B53" s="224" t="s">
        <v>408</v>
      </c>
      <c r="C53" s="226">
        <v>1370</v>
      </c>
      <c r="D53" s="526"/>
    </row>
    <row r="54" spans="2:4">
      <c r="B54" s="224" t="s">
        <v>409</v>
      </c>
      <c r="C54" s="226">
        <v>9810</v>
      </c>
      <c r="D54" s="526"/>
    </row>
    <row r="55" spans="2:4">
      <c r="B55" s="224" t="s">
        <v>410</v>
      </c>
      <c r="C55" s="226">
        <v>693</v>
      </c>
      <c r="D55" s="526"/>
    </row>
    <row r="56" spans="2:4">
      <c r="B56" s="224" t="s">
        <v>411</v>
      </c>
      <c r="C56" s="226">
        <v>1030</v>
      </c>
      <c r="D56" s="526"/>
    </row>
    <row r="57" spans="2:4">
      <c r="B57" s="224" t="s">
        <v>412</v>
      </c>
      <c r="C57" s="226">
        <v>794</v>
      </c>
      <c r="D57" s="526"/>
    </row>
    <row r="58" spans="2:4">
      <c r="B58" s="224" t="s">
        <v>413</v>
      </c>
      <c r="C58" s="226">
        <v>1640</v>
      </c>
      <c r="D58" s="526"/>
    </row>
    <row r="59" spans="2:4" ht="30">
      <c r="B59" s="224" t="s">
        <v>414</v>
      </c>
      <c r="C59" s="226">
        <v>22800</v>
      </c>
      <c r="D59" s="526"/>
    </row>
    <row r="60" spans="2:4" ht="30">
      <c r="B60" s="224" t="s">
        <v>415</v>
      </c>
      <c r="C60" s="226">
        <v>17200</v>
      </c>
      <c r="D60" s="526"/>
    </row>
    <row r="61" spans="2:4">
      <c r="B61" s="224" t="s">
        <v>416</v>
      </c>
      <c r="C61" s="226">
        <v>7390</v>
      </c>
      <c r="D61" s="526"/>
    </row>
    <row r="62" spans="2:4">
      <c r="B62" s="224" t="s">
        <v>417</v>
      </c>
      <c r="C62" s="226">
        <v>12200</v>
      </c>
      <c r="D62" s="526"/>
    </row>
    <row r="63" spans="2:4">
      <c r="B63" s="224" t="s">
        <v>418</v>
      </c>
      <c r="C63" s="226">
        <v>8830</v>
      </c>
      <c r="D63" s="526"/>
    </row>
    <row r="64" spans="2:4">
      <c r="B64" s="224" t="s">
        <v>419</v>
      </c>
      <c r="C64" s="226">
        <v>10300</v>
      </c>
      <c r="D64" s="526"/>
    </row>
    <row r="65" spans="2:4">
      <c r="B65" s="224" t="s">
        <v>420</v>
      </c>
      <c r="C65" s="226">
        <v>8860</v>
      </c>
      <c r="D65" s="526"/>
    </row>
    <row r="66" spans="2:4">
      <c r="B66" s="224" t="s">
        <v>421</v>
      </c>
      <c r="C66" s="226">
        <v>9160</v>
      </c>
      <c r="D66" s="526"/>
    </row>
    <row r="67" spans="2:4">
      <c r="B67" s="224" t="s">
        <v>422</v>
      </c>
      <c r="C67" s="226">
        <v>9300</v>
      </c>
      <c r="D67" s="526"/>
    </row>
    <row r="68" spans="2:4">
      <c r="B68" s="224" t="s">
        <v>423</v>
      </c>
      <c r="C68" s="226">
        <v>7500</v>
      </c>
      <c r="D68" s="526"/>
    </row>
    <row r="69" spans="2:4" ht="28.8">
      <c r="B69" s="224" t="s">
        <v>424</v>
      </c>
      <c r="C69" s="226">
        <v>17700</v>
      </c>
      <c r="D69" s="526"/>
    </row>
    <row r="70" spans="2:4">
      <c r="B70" s="224" t="s">
        <v>425</v>
      </c>
      <c r="C70" s="226">
        <v>17340</v>
      </c>
      <c r="D70" s="527"/>
    </row>
    <row r="71" spans="2:4">
      <c r="B71" s="225" t="s">
        <v>426</v>
      </c>
      <c r="C71" s="226">
        <v>0</v>
      </c>
      <c r="D71" s="528" t="s">
        <v>427</v>
      </c>
    </row>
    <row r="72" spans="2:4">
      <c r="B72" s="225" t="s">
        <v>428</v>
      </c>
      <c r="C72" s="226">
        <v>16.12</v>
      </c>
      <c r="D72" s="529"/>
    </row>
    <row r="73" spans="2:4">
      <c r="B73" s="225" t="s">
        <v>429</v>
      </c>
      <c r="C73" s="226">
        <v>13.64</v>
      </c>
      <c r="D73" s="529"/>
    </row>
    <row r="74" spans="2:4">
      <c r="B74" s="225" t="s">
        <v>430</v>
      </c>
      <c r="C74" s="226">
        <v>18.599999999999998</v>
      </c>
      <c r="D74" s="529"/>
    </row>
    <row r="75" spans="2:4">
      <c r="B75" s="225" t="s">
        <v>431</v>
      </c>
      <c r="C75" s="226">
        <v>2100</v>
      </c>
      <c r="D75" s="529"/>
    </row>
    <row r="76" spans="2:4">
      <c r="B76" s="225" t="s">
        <v>432</v>
      </c>
      <c r="C76" s="226">
        <v>1330</v>
      </c>
      <c r="D76" s="529"/>
    </row>
    <row r="77" spans="2:4">
      <c r="B77" s="225" t="s">
        <v>433</v>
      </c>
      <c r="C77" s="226">
        <v>1766</v>
      </c>
      <c r="D77" s="529"/>
    </row>
    <row r="78" spans="2:4">
      <c r="B78" s="225" t="s">
        <v>434</v>
      </c>
      <c r="C78" s="226">
        <v>3443.7000000000003</v>
      </c>
      <c r="D78" s="529"/>
    </row>
    <row r="79" spans="2:4">
      <c r="B79" s="225" t="s">
        <v>435</v>
      </c>
      <c r="C79" s="226">
        <v>3921.6</v>
      </c>
      <c r="D79" s="529"/>
    </row>
    <row r="80" spans="2:4">
      <c r="B80" s="225" t="s">
        <v>436</v>
      </c>
      <c r="C80" s="226">
        <v>0</v>
      </c>
      <c r="D80" s="529"/>
    </row>
    <row r="81" spans="2:4">
      <c r="B81" s="225" t="s">
        <v>437</v>
      </c>
      <c r="C81" s="226">
        <v>2107</v>
      </c>
      <c r="D81" s="529"/>
    </row>
    <row r="82" spans="2:4">
      <c r="B82" s="225" t="s">
        <v>438</v>
      </c>
      <c r="C82" s="226">
        <v>2803.5</v>
      </c>
      <c r="D82" s="529"/>
    </row>
    <row r="83" spans="2:4">
      <c r="B83" s="225" t="s">
        <v>439</v>
      </c>
      <c r="C83" s="226">
        <v>1773.85</v>
      </c>
      <c r="D83" s="529"/>
    </row>
    <row r="84" spans="2:4">
      <c r="B84" s="225" t="s">
        <v>440</v>
      </c>
      <c r="C84" s="226">
        <v>1627.25</v>
      </c>
      <c r="D84" s="529"/>
    </row>
    <row r="85" spans="2:4">
      <c r="B85" s="225" t="s">
        <v>441</v>
      </c>
      <c r="C85" s="226">
        <v>1551.75</v>
      </c>
      <c r="D85" s="529"/>
    </row>
    <row r="86" spans="2:4">
      <c r="B86" s="225" t="s">
        <v>442</v>
      </c>
      <c r="C86" s="226">
        <v>1824.5</v>
      </c>
      <c r="D86" s="529"/>
    </row>
    <row r="87" spans="2:4">
      <c r="B87" s="225" t="s">
        <v>443</v>
      </c>
      <c r="C87" s="226">
        <v>2301.2000000000003</v>
      </c>
      <c r="D87" s="529"/>
    </row>
    <row r="88" spans="2:4">
      <c r="B88" s="225" t="s">
        <v>444</v>
      </c>
      <c r="C88" s="226">
        <v>0</v>
      </c>
      <c r="D88" s="529"/>
    </row>
    <row r="89" spans="2:4">
      <c r="B89" s="225" t="s">
        <v>445</v>
      </c>
      <c r="C89" s="226">
        <v>0</v>
      </c>
      <c r="D89" s="529"/>
    </row>
    <row r="90" spans="2:4">
      <c r="B90" s="225" t="s">
        <v>446</v>
      </c>
      <c r="C90" s="226">
        <v>2087.5</v>
      </c>
      <c r="D90" s="529"/>
    </row>
    <row r="91" spans="2:4">
      <c r="B91" s="225" t="s">
        <v>447</v>
      </c>
      <c r="C91" s="226">
        <v>2228.75</v>
      </c>
      <c r="D91" s="529"/>
    </row>
    <row r="92" spans="2:4">
      <c r="B92" s="225" t="s">
        <v>448</v>
      </c>
      <c r="C92" s="226">
        <v>13.64</v>
      </c>
      <c r="D92" s="529"/>
    </row>
    <row r="93" spans="2:4">
      <c r="B93" s="225" t="s">
        <v>449</v>
      </c>
      <c r="C93" s="226">
        <v>3.7199999999999998</v>
      </c>
      <c r="D93" s="529"/>
    </row>
    <row r="94" spans="2:4">
      <c r="B94" s="225" t="s">
        <v>450</v>
      </c>
      <c r="C94" s="226">
        <v>441.5</v>
      </c>
      <c r="D94" s="529"/>
    </row>
    <row r="95" spans="2:4">
      <c r="B95" s="225" t="s">
        <v>451</v>
      </c>
      <c r="C95" s="226">
        <v>2053.1</v>
      </c>
      <c r="D95" s="529"/>
    </row>
    <row r="96" spans="2:4">
      <c r="B96" s="225" t="s">
        <v>452</v>
      </c>
      <c r="C96" s="226">
        <v>0</v>
      </c>
      <c r="D96" s="529"/>
    </row>
    <row r="97" spans="2:4">
      <c r="B97" s="225" t="s">
        <v>453</v>
      </c>
      <c r="C97" s="226">
        <v>0</v>
      </c>
      <c r="D97" s="529"/>
    </row>
    <row r="98" spans="2:4">
      <c r="B98" s="225" t="s">
        <v>454</v>
      </c>
      <c r="C98" s="226">
        <v>22.32</v>
      </c>
      <c r="D98" s="529"/>
    </row>
    <row r="99" spans="2:4">
      <c r="B99" s="225" t="s">
        <v>455</v>
      </c>
      <c r="C99" s="226">
        <v>93</v>
      </c>
      <c r="D99" s="529"/>
    </row>
    <row r="100" spans="2:4">
      <c r="B100" s="225" t="s">
        <v>456</v>
      </c>
      <c r="C100" s="226">
        <v>843.69999999999993</v>
      </c>
      <c r="D100" s="529"/>
    </row>
    <row r="101" spans="2:4">
      <c r="B101" s="225" t="s">
        <v>457</v>
      </c>
      <c r="C101" s="226">
        <v>2346</v>
      </c>
      <c r="D101" s="529"/>
    </row>
    <row r="102" spans="2:4">
      <c r="B102" s="225" t="s">
        <v>458</v>
      </c>
      <c r="C102" s="226">
        <v>3026.69</v>
      </c>
      <c r="D102" s="529"/>
    </row>
    <row r="103" spans="2:4">
      <c r="B103" s="225" t="s">
        <v>459</v>
      </c>
      <c r="C103" s="226">
        <v>1809.3400000000001</v>
      </c>
      <c r="D103" s="529"/>
    </row>
    <row r="104" spans="2:4">
      <c r="B104" s="225" t="s">
        <v>460</v>
      </c>
      <c r="C104" s="226">
        <v>3.1</v>
      </c>
      <c r="D104" s="529"/>
    </row>
    <row r="105" spans="2:4">
      <c r="B105" s="225" t="s">
        <v>461</v>
      </c>
      <c r="C105" s="226">
        <v>2966.7</v>
      </c>
      <c r="D105" s="529"/>
    </row>
    <row r="106" spans="2:4">
      <c r="B106" s="225" t="s">
        <v>462</v>
      </c>
      <c r="C106" s="226">
        <v>2383.9</v>
      </c>
      <c r="D106" s="529"/>
    </row>
    <row r="107" spans="2:4">
      <c r="B107" s="225" t="s">
        <v>463</v>
      </c>
      <c r="C107" s="226">
        <v>1258.4000000000001</v>
      </c>
      <c r="D107" s="529"/>
    </row>
    <row r="108" spans="2:4">
      <c r="B108" s="225" t="s">
        <v>464</v>
      </c>
      <c r="C108" s="226">
        <v>2630.6</v>
      </c>
      <c r="D108" s="529"/>
    </row>
    <row r="109" spans="2:4">
      <c r="B109" s="225" t="s">
        <v>465</v>
      </c>
      <c r="C109" s="226">
        <v>3189.5</v>
      </c>
      <c r="D109" s="529"/>
    </row>
    <row r="110" spans="2:4">
      <c r="B110" s="225" t="s">
        <v>466</v>
      </c>
      <c r="C110" s="226">
        <v>3142.95</v>
      </c>
      <c r="D110" s="529"/>
    </row>
    <row r="111" spans="2:4">
      <c r="B111" s="225" t="s">
        <v>467</v>
      </c>
      <c r="C111" s="226">
        <v>2525.6000000000004</v>
      </c>
      <c r="D111" s="529"/>
    </row>
    <row r="112" spans="2:4">
      <c r="B112" s="225" t="s">
        <v>468</v>
      </c>
      <c r="C112" s="226">
        <v>3084.5</v>
      </c>
      <c r="D112" s="529"/>
    </row>
    <row r="113" spans="2:4">
      <c r="B113" s="225" t="s">
        <v>469</v>
      </c>
      <c r="C113" s="226">
        <v>2725.45</v>
      </c>
      <c r="D113" s="529"/>
    </row>
    <row r="114" spans="2:4">
      <c r="B114" s="225" t="s">
        <v>470</v>
      </c>
      <c r="C114" s="226">
        <v>2591.9899999999998</v>
      </c>
      <c r="D114" s="529"/>
    </row>
    <row r="115" spans="2:4">
      <c r="B115" s="225" t="s">
        <v>471</v>
      </c>
      <c r="C115" s="226">
        <v>2280.25</v>
      </c>
      <c r="D115" s="529"/>
    </row>
    <row r="116" spans="2:4">
      <c r="B116" s="225" t="s">
        <v>472</v>
      </c>
      <c r="C116" s="226">
        <v>2439.6</v>
      </c>
      <c r="D116" s="529"/>
    </row>
    <row r="117" spans="2:4">
      <c r="B117" s="225" t="s">
        <v>473</v>
      </c>
      <c r="C117" s="226">
        <v>1505.125</v>
      </c>
      <c r="D117" s="529"/>
    </row>
    <row r="118" spans="2:4">
      <c r="B118" s="225" t="s">
        <v>474</v>
      </c>
      <c r="C118" s="226">
        <v>1508.4</v>
      </c>
      <c r="D118" s="529"/>
    </row>
    <row r="119" spans="2:4">
      <c r="B119" s="225" t="s">
        <v>475</v>
      </c>
      <c r="C119" s="226">
        <v>2138.25</v>
      </c>
      <c r="D119" s="529"/>
    </row>
    <row r="120" spans="2:4">
      <c r="B120" s="225" t="s">
        <v>476</v>
      </c>
      <c r="C120" s="226">
        <v>3606.5</v>
      </c>
      <c r="D120" s="529"/>
    </row>
    <row r="121" spans="2:4">
      <c r="B121" s="225" t="s">
        <v>477</v>
      </c>
      <c r="C121" s="226">
        <v>12.4</v>
      </c>
      <c r="D121" s="529"/>
    </row>
    <row r="122" spans="2:4">
      <c r="B122" s="225" t="s">
        <v>478</v>
      </c>
      <c r="C122" s="226">
        <v>94.24</v>
      </c>
      <c r="D122" s="529"/>
    </row>
    <row r="123" spans="2:4">
      <c r="B123" s="225" t="s">
        <v>479</v>
      </c>
      <c r="C123" s="226">
        <v>35.96</v>
      </c>
      <c r="D123" s="529"/>
    </row>
    <row r="124" spans="2:4">
      <c r="B124" s="225" t="s">
        <v>480</v>
      </c>
      <c r="C124" s="226">
        <v>0</v>
      </c>
      <c r="D124" s="529"/>
    </row>
    <row r="125" spans="2:4">
      <c r="B125" s="225" t="s">
        <v>481</v>
      </c>
      <c r="C125" s="226">
        <v>0</v>
      </c>
      <c r="D125" s="529"/>
    </row>
    <row r="126" spans="2:4">
      <c r="B126" s="225" t="s">
        <v>482</v>
      </c>
      <c r="C126" s="226">
        <v>3245.4</v>
      </c>
      <c r="D126" s="529"/>
    </row>
    <row r="127" spans="2:4">
      <c r="B127" s="225" t="s">
        <v>483</v>
      </c>
      <c r="C127" s="226">
        <v>24.8</v>
      </c>
      <c r="D127" s="529"/>
    </row>
    <row r="128" spans="2:4">
      <c r="B128" s="225" t="s">
        <v>484</v>
      </c>
      <c r="C128" s="226">
        <v>0</v>
      </c>
      <c r="D128" s="529"/>
    </row>
    <row r="129" spans="2:4">
      <c r="B129" s="225" t="s">
        <v>485</v>
      </c>
      <c r="C129" s="226">
        <v>0</v>
      </c>
      <c r="D129" s="529"/>
    </row>
    <row r="130" spans="2:4">
      <c r="B130" s="225" t="s">
        <v>486</v>
      </c>
      <c r="C130" s="226">
        <v>1805.05</v>
      </c>
      <c r="D130" s="529"/>
    </row>
    <row r="131" spans="2:4">
      <c r="B131" s="225" t="s">
        <v>487</v>
      </c>
      <c r="C131" s="226">
        <v>2264.4349999999999</v>
      </c>
      <c r="D131" s="529"/>
    </row>
    <row r="132" spans="2:4">
      <c r="B132" s="225" t="s">
        <v>488</v>
      </c>
      <c r="C132" s="226">
        <v>1982.5</v>
      </c>
      <c r="D132" s="529"/>
    </row>
    <row r="133" spans="2:4">
      <c r="B133" s="225" t="s">
        <v>489</v>
      </c>
      <c r="C133" s="226">
        <v>144.15199999999999</v>
      </c>
      <c r="D133" s="529"/>
    </row>
    <row r="134" spans="2:4">
      <c r="B134" s="225" t="s">
        <v>490</v>
      </c>
      <c r="C134" s="226">
        <v>0</v>
      </c>
      <c r="D134" s="529"/>
    </row>
    <row r="135" spans="2:4">
      <c r="B135" s="225" t="s">
        <v>491</v>
      </c>
      <c r="C135" s="226">
        <v>1887.97</v>
      </c>
      <c r="D135" s="529"/>
    </row>
    <row r="136" spans="2:4">
      <c r="B136" s="225" t="s">
        <v>492</v>
      </c>
      <c r="C136" s="226">
        <v>0</v>
      </c>
      <c r="D136" s="529"/>
    </row>
    <row r="137" spans="2:4">
      <c r="B137" s="225" t="s">
        <v>493</v>
      </c>
      <c r="C137" s="226">
        <v>87.2</v>
      </c>
      <c r="D137" s="529"/>
    </row>
    <row r="138" spans="2:4">
      <c r="B138" s="225" t="s">
        <v>494</v>
      </c>
      <c r="C138" s="226">
        <v>128.69999999999999</v>
      </c>
      <c r="D138" s="529"/>
    </row>
    <row r="139" spans="2:4">
      <c r="B139" s="225" t="s">
        <v>495</v>
      </c>
      <c r="C139" s="226">
        <v>32.488</v>
      </c>
      <c r="D139" s="529"/>
    </row>
    <row r="140" spans="2:4">
      <c r="B140" s="225" t="s">
        <v>496</v>
      </c>
      <c r="C140" s="226">
        <v>0</v>
      </c>
      <c r="D140" s="529"/>
    </row>
    <row r="141" spans="2:4">
      <c r="B141" s="225" t="s">
        <v>497</v>
      </c>
      <c r="C141" s="226">
        <v>0</v>
      </c>
      <c r="D141" s="529"/>
    </row>
    <row r="142" spans="2:4">
      <c r="B142" s="225" t="s">
        <v>498</v>
      </c>
      <c r="C142" s="226">
        <v>5934.8</v>
      </c>
      <c r="D142" s="529"/>
    </row>
    <row r="143" spans="2:4">
      <c r="B143" s="225" t="s">
        <v>499</v>
      </c>
      <c r="C143" s="226">
        <v>325.34999999999997</v>
      </c>
      <c r="D143" s="529"/>
    </row>
    <row r="144" spans="2:4">
      <c r="B144" s="225" t="s">
        <v>500</v>
      </c>
      <c r="C144" s="226">
        <v>0</v>
      </c>
      <c r="D144" s="529"/>
    </row>
    <row r="145" spans="2:4">
      <c r="B145" s="225" t="s">
        <v>501</v>
      </c>
      <c r="C145" s="226">
        <v>0</v>
      </c>
      <c r="D145" s="529"/>
    </row>
    <row r="146" spans="2:4">
      <c r="B146" s="225" t="s">
        <v>502</v>
      </c>
      <c r="C146" s="226">
        <v>3985</v>
      </c>
      <c r="D146" s="529"/>
    </row>
    <row r="147" spans="2:4">
      <c r="B147" s="225" t="s">
        <v>503</v>
      </c>
      <c r="C147" s="226">
        <v>13214</v>
      </c>
      <c r="D147" s="529"/>
    </row>
    <row r="148" spans="2:4">
      <c r="B148" s="225" t="s">
        <v>504</v>
      </c>
      <c r="C148" s="226">
        <v>13396</v>
      </c>
      <c r="D148" s="529"/>
    </row>
    <row r="149" spans="2:4">
      <c r="B149" s="225" t="s">
        <v>505</v>
      </c>
      <c r="C149" s="226">
        <v>4944.8</v>
      </c>
      <c r="D149" s="529"/>
    </row>
    <row r="150" spans="2:4">
      <c r="B150" s="225" t="s">
        <v>506</v>
      </c>
      <c r="C150" s="226">
        <v>0</v>
      </c>
      <c r="D150" s="529"/>
    </row>
    <row r="151" spans="2:4">
      <c r="B151" s="225" t="s">
        <v>507</v>
      </c>
      <c r="C151" s="226">
        <v>0</v>
      </c>
      <c r="D151" s="529"/>
    </row>
    <row r="152" spans="2:4">
      <c r="B152" s="225" t="s">
        <v>508</v>
      </c>
      <c r="C152" s="226">
        <v>189.3</v>
      </c>
      <c r="D152" s="529"/>
    </row>
  </sheetData>
  <mergeCells count="7">
    <mergeCell ref="B8:B9"/>
    <mergeCell ref="B29:B31"/>
    <mergeCell ref="D37:D70"/>
    <mergeCell ref="D71:D152"/>
    <mergeCell ref="B15:B21"/>
    <mergeCell ref="D15:D17"/>
    <mergeCell ref="D18:D21"/>
  </mergeCells>
  <hyperlinks>
    <hyperlink ref="B8" location="Energia!A1" display="Energia" xr:uid="{00000000-0004-0000-0F00-000001000000}"/>
    <hyperlink ref="B11" location="Efluentes!A1" display="Efluentes" xr:uid="{00000000-0004-0000-0F00-000003000000}"/>
    <hyperlink ref="B13" location="GasesRefrigerantes!A1" display="Gases Refrigerantes" xr:uid="{00000000-0004-0000-0F00-000004000000}"/>
    <hyperlink ref="B15" location="Combustivel!A1" display="Combustível" xr:uid="{00000000-0004-0000-0F00-000005000000}"/>
    <hyperlink ref="B23" location="Residuos!A1" display="Resíduos" xr:uid="{00000000-0004-0000-0F00-000006000000}"/>
    <hyperlink ref="B25" location="Transportes!A1" display="Transportes" xr:uid="{00000000-0004-0000-0F00-000007000000}"/>
    <hyperlink ref="B27" location="'Painel Solar'!A1" display="Painel Solar" xr:uid="{00000000-0004-0000-0F00-000008000000}"/>
    <hyperlink ref="B29" location="'Residuos Reciclados'!A1" display="Resíduos Reciclados" xr:uid="{00000000-0004-0000-0F00-00000B000000}"/>
    <hyperlink ref="D6" location="Inicio!A1" display="Início" xr:uid="{00000000-0004-0000-0F00-00000C000000}"/>
    <hyperlink ref="C15" r:id="rId1" xr:uid="{418063D0-37A9-CF42-8351-FA56099B034A}"/>
    <hyperlink ref="C17" r:id="rId2" xr:uid="{A6E6EB63-D795-4D43-B50C-DF16514A3B0A}"/>
    <hyperlink ref="C18" r:id="rId3" xr:uid="{CD4D48E7-23B1-AB47-BB0C-2D4B84616345}"/>
    <hyperlink ref="C19" r:id="rId4" location=":~:text=%E2%80%9CA%20Diretoria%20Colegiada%20da%20ANP,21%20de%20junho%20de%202020." xr:uid="{69850925-3DB4-D54C-BDD1-2EF3577FD42E}"/>
    <hyperlink ref="C21" r:id="rId5" xr:uid="{95DFA072-B04E-C145-972C-970E02698E0F}"/>
    <hyperlink ref="C20" r:id="rId6" location=":~:text=de%202020%2C%20resolve%3A-,Art.,abastecimento%20interno%20de%20diesel%20B." xr:uid="{BED99B13-3FE8-E045-9B9E-758ED9CCC813}"/>
    <hyperlink ref="C16" r:id="rId7" xr:uid="{6D7E514E-39F6-4A42-AB1D-291160DD387E}"/>
    <hyperlink ref="C31" r:id="rId8" display="https://ghgprotocol.org/sites/default/files/Waste Sector GHG Protocol_Calculation Tool_Version 5_October 2013_1_0.xls" xr:uid="{B33DB4C5-330D-B64C-9B52-05F761122A42}"/>
  </hyperlinks>
  <pageMargins left="0.511811024" right="0.511811024" top="0.78740157499999996" bottom="0.78740157499999996" header="0.31496062000000002" footer="0.31496062000000002"/>
  <drawing r:id="rId9"/>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A6:F48"/>
  <sheetViews>
    <sheetView showGridLines="0" zoomScaleNormal="100" workbookViewId="0">
      <selection activeCell="B6" sqref="B6:D6"/>
    </sheetView>
  </sheetViews>
  <sheetFormatPr defaultColWidth="8.77734375" defaultRowHeight="14.4"/>
  <cols>
    <col min="1" max="1" width="3" customWidth="1"/>
    <col min="2" max="2" width="16.109375" customWidth="1"/>
    <col min="3" max="3" width="20.77734375" customWidth="1"/>
    <col min="4" max="4" width="107" customWidth="1"/>
    <col min="5" max="5" width="11.109375" bestFit="1" customWidth="1"/>
    <col min="6" max="6" width="38.109375" bestFit="1" customWidth="1"/>
  </cols>
  <sheetData>
    <row r="6" spans="2:5" ht="23.4">
      <c r="B6" s="442" t="s">
        <v>732</v>
      </c>
      <c r="C6" s="442"/>
      <c r="D6" s="443"/>
      <c r="E6" s="422" t="s">
        <v>299</v>
      </c>
    </row>
    <row r="7" spans="2:5" ht="22.95" customHeight="1">
      <c r="E7" s="422" t="s">
        <v>717</v>
      </c>
    </row>
    <row r="8" spans="2:5">
      <c r="B8" s="433" t="s">
        <v>311</v>
      </c>
      <c r="C8" s="433"/>
      <c r="D8" s="433"/>
    </row>
    <row r="9" spans="2:5">
      <c r="B9" t="s">
        <v>310</v>
      </c>
    </row>
    <row r="10" spans="2:5">
      <c r="B10" t="s">
        <v>718</v>
      </c>
    </row>
    <row r="11" spans="2:5">
      <c r="B11" s="1"/>
    </row>
    <row r="12" spans="2:5">
      <c r="B12" s="440" t="s">
        <v>676</v>
      </c>
      <c r="C12" s="440"/>
      <c r="D12" s="193" t="s">
        <v>684</v>
      </c>
      <c r="E12" s="194"/>
    </row>
    <row r="13" spans="2:5" ht="71.400000000000006" customHeight="1">
      <c r="B13" s="444" t="s">
        <v>1</v>
      </c>
      <c r="C13" s="444"/>
      <c r="D13" s="404" t="s">
        <v>709</v>
      </c>
    </row>
    <row r="14" spans="2:5" ht="72.599999999999994" customHeight="1">
      <c r="B14" s="444" t="s">
        <v>195</v>
      </c>
      <c r="C14" s="444"/>
      <c r="D14" s="404" t="s">
        <v>710</v>
      </c>
    </row>
    <row r="15" spans="2:5" ht="75" customHeight="1">
      <c r="B15" s="444" t="s">
        <v>14</v>
      </c>
      <c r="C15" s="444"/>
      <c r="D15" s="404" t="s">
        <v>710</v>
      </c>
    </row>
    <row r="16" spans="2:5" ht="69" customHeight="1">
      <c r="B16" s="444" t="s">
        <v>142</v>
      </c>
      <c r="C16" s="444"/>
      <c r="D16" s="404" t="s">
        <v>711</v>
      </c>
    </row>
    <row r="17" spans="1:6" ht="28.8">
      <c r="B17" s="444" t="s">
        <v>13</v>
      </c>
      <c r="C17" s="444"/>
      <c r="D17" s="404" t="s">
        <v>720</v>
      </c>
    </row>
    <row r="18" spans="1:6" ht="109.95" customHeight="1">
      <c r="B18" s="444" t="s">
        <v>326</v>
      </c>
      <c r="C18" s="444"/>
      <c r="D18" s="404" t="s">
        <v>712</v>
      </c>
    </row>
    <row r="19" spans="1:6" ht="180" customHeight="1">
      <c r="B19" s="445" t="s">
        <v>705</v>
      </c>
      <c r="C19" s="446"/>
      <c r="D19" s="404" t="s">
        <v>713</v>
      </c>
    </row>
    <row r="20" spans="1:6" ht="49.95" customHeight="1">
      <c r="B20" s="444" t="s">
        <v>706</v>
      </c>
      <c r="C20" s="444"/>
      <c r="D20" s="404" t="s">
        <v>707</v>
      </c>
    </row>
    <row r="21" spans="1:6">
      <c r="D21" s="369"/>
    </row>
    <row r="22" spans="1:6">
      <c r="B22" s="441" t="s">
        <v>305</v>
      </c>
      <c r="C22" s="441"/>
      <c r="D22" s="370" t="s">
        <v>721</v>
      </c>
    </row>
    <row r="23" spans="1:6" ht="49.95" customHeight="1">
      <c r="B23" s="444" t="s">
        <v>294</v>
      </c>
      <c r="C23" s="444"/>
      <c r="D23" s="404" t="s">
        <v>708</v>
      </c>
    </row>
    <row r="24" spans="1:6">
      <c r="B24" s="444" t="s">
        <v>592</v>
      </c>
      <c r="C24" s="444"/>
      <c r="D24" s="404" t="s">
        <v>677</v>
      </c>
    </row>
    <row r="25" spans="1:6" ht="34.049999999999997" customHeight="1">
      <c r="B25" s="444" t="s">
        <v>198</v>
      </c>
      <c r="C25" s="444"/>
      <c r="D25" s="404" t="s">
        <v>714</v>
      </c>
    </row>
    <row r="26" spans="1:6">
      <c r="D26" s="369"/>
    </row>
    <row r="27" spans="1:6">
      <c r="B27" s="1" t="s">
        <v>308</v>
      </c>
      <c r="D27" s="369"/>
    </row>
    <row r="28" spans="1:6">
      <c r="B28" s="178" t="s">
        <v>7</v>
      </c>
      <c r="C28" s="178" t="s">
        <v>6</v>
      </c>
      <c r="D28" s="371" t="s">
        <v>688</v>
      </c>
      <c r="E28" s="1" t="s">
        <v>8</v>
      </c>
      <c r="F28" s="1" t="s">
        <v>9</v>
      </c>
    </row>
    <row r="29" spans="1:6">
      <c r="A29" s="374">
        <v>1</v>
      </c>
      <c r="B29" s="373" t="s">
        <v>1</v>
      </c>
      <c r="D29" s="369"/>
      <c r="E29" t="s">
        <v>355</v>
      </c>
      <c r="F29" s="3" t="s">
        <v>356</v>
      </c>
    </row>
    <row r="30" spans="1:6">
      <c r="A30" s="374"/>
      <c r="B30" s="373"/>
      <c r="D30" s="372"/>
      <c r="F30" t="s">
        <v>357</v>
      </c>
    </row>
    <row r="31" spans="1:6">
      <c r="A31" s="374"/>
      <c r="B31" s="373"/>
      <c r="D31" s="369"/>
    </row>
    <row r="32" spans="1:6">
      <c r="A32" s="374"/>
      <c r="B32" s="373"/>
      <c r="D32" s="369"/>
    </row>
    <row r="33" spans="1:6">
      <c r="A33" s="374">
        <v>2</v>
      </c>
      <c r="B33" s="373" t="s">
        <v>2</v>
      </c>
      <c r="D33" s="369" t="s">
        <v>621</v>
      </c>
      <c r="E33" t="s">
        <v>355</v>
      </c>
      <c r="F33" s="3" t="s">
        <v>356</v>
      </c>
    </row>
    <row r="34" spans="1:6">
      <c r="A34" s="374"/>
      <c r="B34" s="373"/>
      <c r="D34" s="372"/>
      <c r="F34" t="s">
        <v>357</v>
      </c>
    </row>
    <row r="35" spans="1:6">
      <c r="A35" s="374"/>
      <c r="B35" s="373"/>
      <c r="D35" s="372"/>
    </row>
    <row r="36" spans="1:6">
      <c r="A36" s="374"/>
      <c r="B36" s="373"/>
      <c r="D36" s="369"/>
    </row>
    <row r="37" spans="1:6">
      <c r="A37" s="374">
        <v>4</v>
      </c>
      <c r="B37" s="373" t="s">
        <v>3</v>
      </c>
      <c r="D37" s="369" t="s">
        <v>687</v>
      </c>
      <c r="E37" t="s">
        <v>355</v>
      </c>
      <c r="F37" s="3" t="s">
        <v>356</v>
      </c>
    </row>
    <row r="38" spans="1:6">
      <c r="A38" s="374"/>
      <c r="B38" s="373"/>
      <c r="D38" s="372"/>
      <c r="F38" t="s">
        <v>357</v>
      </c>
    </row>
    <row r="39" spans="1:6">
      <c r="A39" s="374"/>
      <c r="B39" s="373"/>
      <c r="D39" s="369"/>
    </row>
    <row r="40" spans="1:6" ht="28.8">
      <c r="A40" s="374">
        <v>5</v>
      </c>
      <c r="B40" s="373" t="s">
        <v>4</v>
      </c>
      <c r="D40" s="369" t="s">
        <v>0</v>
      </c>
      <c r="E40" t="s">
        <v>355</v>
      </c>
      <c r="F40" s="3" t="s">
        <v>356</v>
      </c>
    </row>
    <row r="41" spans="1:6">
      <c r="A41" s="374"/>
      <c r="B41" s="373"/>
      <c r="D41" s="369" t="s">
        <v>5</v>
      </c>
      <c r="F41" t="s">
        <v>357</v>
      </c>
    </row>
    <row r="42" spans="1:6">
      <c r="A42" s="374"/>
      <c r="B42" s="373"/>
      <c r="D42" s="4"/>
    </row>
    <row r="43" spans="1:6">
      <c r="A43" s="374"/>
      <c r="B43" s="373"/>
      <c r="D43" s="5"/>
    </row>
    <row r="44" spans="1:6">
      <c r="A44" s="374"/>
      <c r="B44" s="373"/>
      <c r="D44" s="5"/>
    </row>
    <row r="45" spans="1:6">
      <c r="A45" s="374"/>
      <c r="B45" s="373"/>
      <c r="D45" s="5"/>
    </row>
    <row r="46" spans="1:6">
      <c r="A46" s="374"/>
      <c r="B46" s="373"/>
    </row>
    <row r="47" spans="1:6">
      <c r="A47" s="374">
        <v>6</v>
      </c>
      <c r="B47" s="373" t="s">
        <v>15</v>
      </c>
      <c r="E47" t="s">
        <v>355</v>
      </c>
      <c r="F47" s="3" t="s">
        <v>356</v>
      </c>
    </row>
    <row r="48" spans="1:6">
      <c r="D48" s="5"/>
      <c r="F48" t="s">
        <v>357</v>
      </c>
    </row>
  </sheetData>
  <mergeCells count="15">
    <mergeCell ref="B6:D6"/>
    <mergeCell ref="B25:C25"/>
    <mergeCell ref="B12:C12"/>
    <mergeCell ref="B22:C22"/>
    <mergeCell ref="B16:C16"/>
    <mergeCell ref="B17:C17"/>
    <mergeCell ref="B24:C24"/>
    <mergeCell ref="B18:C18"/>
    <mergeCell ref="B23:C23"/>
    <mergeCell ref="B20:C20"/>
    <mergeCell ref="B8:D8"/>
    <mergeCell ref="B13:C13"/>
    <mergeCell ref="B19:C19"/>
    <mergeCell ref="B14:C14"/>
    <mergeCell ref="B15:C15"/>
  </mergeCells>
  <hyperlinks>
    <hyperlink ref="F29" r:id="rId1" display="cscanavini@odebrecht.com" xr:uid="{00000000-0004-0000-0100-000000000000}"/>
    <hyperlink ref="E6" location="Inicio!A1" display="Início" xr:uid="{00000000-0004-0000-0100-000006000000}"/>
    <hyperlink ref="F33" r:id="rId2" display="cscanavini@odebrecht.com" xr:uid="{C8F18C0D-F213-364E-AE69-6B83E3B7DD30}"/>
    <hyperlink ref="F37" r:id="rId3" display="cscanavini@odebrecht.com" xr:uid="{BAF3FECF-E753-7C40-848B-E4CF20CE02FD}"/>
    <hyperlink ref="F40" r:id="rId4" display="cscanavini@odebrecht.com" xr:uid="{9F831769-2AF2-4E4F-9FA1-24C0CCA87A33}"/>
    <hyperlink ref="F47" r:id="rId5" display="cscanavini@odebrecht.com" xr:uid="{6FC00450-E39B-7B4C-B04C-7F04817CC031}"/>
    <hyperlink ref="E7" location="CalculotCO2e!A1" display="CálculotCO2e" xr:uid="{C2F64EA8-6073-F14A-AA78-56FC8B2F60E5}"/>
  </hyperlinks>
  <pageMargins left="0.511811024" right="0.511811024" top="0.78740157499999996" bottom="0.78740157499999996" header="0.31496062000000002" footer="0.31496062000000002"/>
  <pageSetup paperSize="9" orientation="portrait" horizontalDpi="0" verticalDpi="0"/>
  <drawing r:id="rId6"/>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6:F16"/>
  <sheetViews>
    <sheetView showGridLines="0" zoomScaleNormal="100" workbookViewId="0">
      <selection activeCell="F6" sqref="F6"/>
    </sheetView>
  </sheetViews>
  <sheetFormatPr defaultColWidth="8.77734375" defaultRowHeight="14.4"/>
  <cols>
    <col min="2" max="2" width="26.6640625" bestFit="1" customWidth="1"/>
    <col min="3" max="3" width="83.44140625" bestFit="1" customWidth="1"/>
    <col min="4" max="4" width="3.109375" bestFit="1" customWidth="1"/>
  </cols>
  <sheetData>
    <row r="6" spans="2:6" ht="23.4">
      <c r="B6" s="432" t="s">
        <v>282</v>
      </c>
      <c r="F6" s="192" t="s">
        <v>299</v>
      </c>
    </row>
    <row r="8" spans="2:6">
      <c r="B8" s="1" t="s">
        <v>547</v>
      </c>
    </row>
    <row r="10" spans="2:6">
      <c r="B10" s="86" t="s">
        <v>318</v>
      </c>
    </row>
    <row r="11" spans="2:6">
      <c r="B11" s="79">
        <f>CalculotCO2e!Q13</f>
        <v>5.2895440497344808</v>
      </c>
    </row>
    <row r="12" spans="2:6">
      <c r="B12" s="86" t="s">
        <v>316</v>
      </c>
    </row>
    <row r="13" spans="2:6">
      <c r="B13" s="198">
        <f>B11*7</f>
        <v>37.026808348141365</v>
      </c>
      <c r="C13" s="86" t="s">
        <v>319</v>
      </c>
      <c r="D13" s="86" t="s">
        <v>320</v>
      </c>
    </row>
    <row r="14" spans="2:6">
      <c r="B14" s="198">
        <f>B11/((181.1/1000)*(Energia!P37*(1+Energia!F11)))</f>
        <v>415.92107905749026</v>
      </c>
      <c r="C14" s="86" t="s">
        <v>317</v>
      </c>
      <c r="D14" s="86" t="s">
        <v>320</v>
      </c>
    </row>
    <row r="15" spans="2:6">
      <c r="B15" s="198">
        <f>B11/(0.153453877121814/1000)</f>
        <v>34469.927700396656</v>
      </c>
      <c r="C15" s="86" t="s">
        <v>321</v>
      </c>
      <c r="D15" s="86" t="s">
        <v>322</v>
      </c>
    </row>
    <row r="16" spans="2:6">
      <c r="B16" s="198">
        <f>B15/40075</f>
        <v>0.86013543856261154</v>
      </c>
      <c r="C16" s="197" t="s">
        <v>323</v>
      </c>
      <c r="D16" s="86" t="s">
        <v>217</v>
      </c>
    </row>
  </sheetData>
  <hyperlinks>
    <hyperlink ref="F6" location="Inicio!A1" display="Início" xr:uid="{00000000-0004-0000-1000-000000000000}"/>
  </hyperlinks>
  <pageMargins left="0.511811024" right="0.511811024" top="0.78740157499999996" bottom="0.78740157499999996" header="0.31496062000000002" footer="0.31496062000000002"/>
  <pageSetup paperSize="9" orientation="portrait" horizontalDpi="0" verticalDpi="0"/>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B6:R25"/>
  <sheetViews>
    <sheetView showGridLines="0" zoomScaleNormal="100" workbookViewId="0">
      <selection activeCell="C6" sqref="C6:P6"/>
    </sheetView>
  </sheetViews>
  <sheetFormatPr defaultColWidth="8.77734375" defaultRowHeight="14.4"/>
  <cols>
    <col min="1" max="1" width="2.44140625" customWidth="1"/>
    <col min="2" max="2" width="12" bestFit="1" customWidth="1"/>
    <col min="3" max="3" width="10.109375" customWidth="1"/>
    <col min="4" max="4" width="8.33203125" customWidth="1"/>
    <col min="5" max="5" width="8.33203125" bestFit="1" customWidth="1"/>
    <col min="6" max="6" width="16" bestFit="1" customWidth="1"/>
    <col min="7" max="7" width="10.77734375" bestFit="1" customWidth="1"/>
    <col min="8" max="8" width="8" bestFit="1" customWidth="1"/>
    <col min="9" max="9" width="12.109375" bestFit="1" customWidth="1"/>
    <col min="10" max="11" width="13.33203125" bestFit="1" customWidth="1"/>
    <col min="12" max="12" width="12.77734375" bestFit="1" customWidth="1"/>
    <col min="13" max="13" width="7.44140625" bestFit="1" customWidth="1"/>
    <col min="14" max="14" width="15.44140625" bestFit="1" customWidth="1"/>
    <col min="15" max="15" width="15" bestFit="1" customWidth="1"/>
    <col min="18" max="18" width="8.77734375" style="6"/>
  </cols>
  <sheetData>
    <row r="6" spans="2:18" ht="23.4">
      <c r="C6" s="434" t="s">
        <v>727</v>
      </c>
      <c r="D6" s="434"/>
      <c r="E6" s="434"/>
      <c r="F6" s="434"/>
      <c r="G6" s="434"/>
      <c r="H6" s="434"/>
      <c r="I6" s="434"/>
      <c r="J6" s="434"/>
      <c r="K6" s="434"/>
      <c r="L6" s="434"/>
      <c r="M6" s="434"/>
      <c r="N6" s="434"/>
      <c r="O6" s="434"/>
      <c r="P6" s="434"/>
    </row>
    <row r="7" spans="2:18" ht="15" customHeight="1" thickBot="1">
      <c r="C7" s="2"/>
      <c r="K7" s="380"/>
      <c r="L7" s="380"/>
    </row>
    <row r="8" spans="2:18" ht="15" customHeight="1" thickBot="1">
      <c r="C8" s="2"/>
      <c r="D8" s="447" t="s">
        <v>296</v>
      </c>
      <c r="E8" s="448"/>
      <c r="F8" s="448"/>
      <c r="G8" s="448"/>
      <c r="H8" s="448"/>
      <c r="I8" s="448"/>
      <c r="J8" s="448"/>
      <c r="K8" s="377"/>
      <c r="L8" s="378"/>
      <c r="M8" s="447" t="s">
        <v>297</v>
      </c>
      <c r="N8" s="448"/>
      <c r="O8" s="449"/>
    </row>
    <row r="9" spans="2:18">
      <c r="C9" s="94"/>
      <c r="D9" s="95" t="s">
        <v>1</v>
      </c>
      <c r="E9" s="96" t="s">
        <v>195</v>
      </c>
      <c r="F9" s="97" t="s">
        <v>4</v>
      </c>
      <c r="G9" s="98" t="s">
        <v>2</v>
      </c>
      <c r="H9" s="99" t="s">
        <v>3</v>
      </c>
      <c r="I9" s="99" t="s">
        <v>326</v>
      </c>
      <c r="J9" s="104" t="s">
        <v>697</v>
      </c>
      <c r="K9" s="104" t="s">
        <v>696</v>
      </c>
      <c r="L9" s="100" t="s">
        <v>695</v>
      </c>
      <c r="M9" s="111" t="s">
        <v>200</v>
      </c>
      <c r="N9" s="333" t="s">
        <v>592</v>
      </c>
      <c r="O9" s="333" t="s">
        <v>198</v>
      </c>
      <c r="P9" s="450" t="s">
        <v>202</v>
      </c>
      <c r="Q9" s="451"/>
    </row>
    <row r="10" spans="2:18">
      <c r="B10" s="189" t="s">
        <v>716</v>
      </c>
      <c r="C10" s="94" t="s">
        <v>598</v>
      </c>
      <c r="D10" s="101" t="s">
        <v>105</v>
      </c>
      <c r="E10" s="102" t="s">
        <v>105</v>
      </c>
      <c r="F10" s="102" t="s">
        <v>105</v>
      </c>
      <c r="G10" s="102" t="s">
        <v>105</v>
      </c>
      <c r="H10" s="102" t="s">
        <v>105</v>
      </c>
      <c r="I10" s="102" t="s">
        <v>105</v>
      </c>
      <c r="J10" s="102" t="s">
        <v>105</v>
      </c>
      <c r="K10" s="102" t="s">
        <v>105</v>
      </c>
      <c r="L10" s="103" t="s">
        <v>105</v>
      </c>
      <c r="M10" s="101" t="s">
        <v>105</v>
      </c>
      <c r="N10" s="102" t="s">
        <v>105</v>
      </c>
      <c r="O10" s="102" t="s">
        <v>105</v>
      </c>
      <c r="P10" s="385" t="s">
        <v>16</v>
      </c>
      <c r="Q10" s="386" t="s">
        <v>201</v>
      </c>
    </row>
    <row r="11" spans="2:18">
      <c r="B11" s="115" t="s">
        <v>325</v>
      </c>
      <c r="C11" s="416">
        <f>Energia!E9/Energia!E11</f>
        <v>0.49780311540105571</v>
      </c>
      <c r="D11" s="106">
        <f>(Energia!G11)*C11</f>
        <v>6.9155660390223632</v>
      </c>
      <c r="E11" s="107">
        <f>(Efluentes!D13)*C11</f>
        <v>2.2559370469014275E-4</v>
      </c>
      <c r="F11" s="107">
        <f>GasesRefrigerantes!H8*C11</f>
        <v>0.38977983935902666</v>
      </c>
      <c r="G11" s="107">
        <f>Combustivel!$E$12*C11</f>
        <v>2.3715021554500507E-2</v>
      </c>
      <c r="H11" s="107">
        <f>('Residuos (M)'!$E$16)</f>
        <v>1.3912499999999999</v>
      </c>
      <c r="I11" s="334">
        <f>Compostagem!E32</f>
        <v>0.1</v>
      </c>
      <c r="J11" s="107">
        <f>('Transp. Carga (E)'!M21/1000)*C11</f>
        <v>1.5288483190641538E-3</v>
      </c>
      <c r="K11" s="107">
        <f>('Transp. Carga (S)'!M21/1000)*C11</f>
        <v>1.5288483190641538E-3</v>
      </c>
      <c r="L11" s="417">
        <f>('Transp. Pessoas'!M23/1000)*C11</f>
        <v>1.4876861840199369E-3</v>
      </c>
      <c r="M11" s="116">
        <f>('Painel Solar'!F8)*C11</f>
        <v>3.4957991056082683E-5</v>
      </c>
      <c r="N11" s="334">
        <f>'Tratamento Térmico (M)'!I43</f>
        <v>0</v>
      </c>
      <c r="O11" s="334">
        <f>('Residuos Reciclados (M)'!$D$18)</f>
        <v>2.6447369126009903</v>
      </c>
      <c r="P11" s="387">
        <f>SUM(D11:L11)</f>
        <v>8.8250818764627272</v>
      </c>
      <c r="Q11" s="388">
        <f>SUM(M11:O11)</f>
        <v>2.6447718705920464</v>
      </c>
    </row>
    <row r="12" spans="2:18">
      <c r="B12" s="115" t="s">
        <v>599</v>
      </c>
      <c r="C12" s="416">
        <f>(Energia!E8+Energia!E10)/Energia!E11</f>
        <v>0.50219688459894429</v>
      </c>
      <c r="D12" s="106">
        <f>(Energia!G11)*C12</f>
        <v>6.9766050323676359</v>
      </c>
      <c r="E12" s="107">
        <f>(Efluentes!D13)*C12</f>
        <v>2.2758486673842874E-4</v>
      </c>
      <c r="F12" s="107">
        <f>GasesRefrigerantes!H8*C12</f>
        <v>0.39322016064097337</v>
      </c>
      <c r="G12" s="107">
        <f>Combustivel!$E$12*C12</f>
        <v>2.3924337904699482E-2</v>
      </c>
      <c r="H12" s="107">
        <f>('Residuos (A)'!$E$16)</f>
        <v>1.3912499999999999</v>
      </c>
      <c r="I12" s="391" t="s">
        <v>217</v>
      </c>
      <c r="J12" s="107">
        <f>('Transp. Carga (E)'!M21/1000)*C12</f>
        <v>1.5423424223445963E-3</v>
      </c>
      <c r="K12" s="107">
        <f>('Transp. Carga (S)'!M21/1000)*C12</f>
        <v>1.5423424223445963E-3</v>
      </c>
      <c r="L12" s="417">
        <f>('Transp. Pessoas'!M23/1000)*C12</f>
        <v>1.50081697715731E-3</v>
      </c>
      <c r="M12" s="116">
        <f>('Painel Solar'!F8)*C12</f>
        <v>3.5266541443917314E-5</v>
      </c>
      <c r="N12" s="334">
        <f>'Tratamento Térmico (A)'!I43</f>
        <v>0</v>
      </c>
      <c r="O12" s="334">
        <f>('Residuos Reciclados (A)'!$D$18)</f>
        <v>2.6447369126009903</v>
      </c>
      <c r="P12" s="387">
        <f>SUM(D12:L12)</f>
        <v>8.7898126176018962</v>
      </c>
      <c r="Q12" s="388">
        <f>SUM(M12:O12)</f>
        <v>2.6447721791424343</v>
      </c>
    </row>
    <row r="13" spans="2:18" ht="15" thickBot="1">
      <c r="C13" s="83" t="s">
        <v>193</v>
      </c>
      <c r="D13" s="108">
        <f t="shared" ref="D13:O13" si="0">SUM(D11:D12)</f>
        <v>13.892171071389999</v>
      </c>
      <c r="E13" s="109">
        <f t="shared" si="0"/>
        <v>4.531785714285715E-4</v>
      </c>
      <c r="F13" s="109">
        <f t="shared" si="0"/>
        <v>0.78300000000000003</v>
      </c>
      <c r="G13" s="109">
        <f t="shared" si="0"/>
        <v>4.763935945919999E-2</v>
      </c>
      <c r="H13" s="109">
        <f t="shared" si="0"/>
        <v>2.7824999999999998</v>
      </c>
      <c r="I13" s="109">
        <f t="shared" si="0"/>
        <v>0.1</v>
      </c>
      <c r="J13" s="109">
        <f t="shared" si="0"/>
        <v>3.07119074140875E-3</v>
      </c>
      <c r="K13" s="109">
        <f t="shared" si="0"/>
        <v>3.07119074140875E-3</v>
      </c>
      <c r="L13" s="418">
        <f t="shared" si="0"/>
        <v>2.9885031611772469E-3</v>
      </c>
      <c r="M13" s="110">
        <f t="shared" si="0"/>
        <v>7.0224532499999997E-5</v>
      </c>
      <c r="N13" s="379">
        <f t="shared" si="0"/>
        <v>0</v>
      </c>
      <c r="O13" s="379">
        <f t="shared" si="0"/>
        <v>5.2894738252019806</v>
      </c>
      <c r="P13" s="389">
        <f>SUM(D13:L13)</f>
        <v>17.614894494064622</v>
      </c>
      <c r="Q13" s="390">
        <f>SUM(M13:O13)</f>
        <v>5.2895440497344808</v>
      </c>
      <c r="R13" s="7"/>
    </row>
    <row r="14" spans="2:18">
      <c r="P14" s="82"/>
      <c r="Q14" s="82"/>
    </row>
    <row r="15" spans="2:18">
      <c r="P15" s="82"/>
      <c r="Q15" s="82"/>
    </row>
    <row r="16" spans="2:18">
      <c r="P16" s="82"/>
      <c r="Q16" s="82"/>
    </row>
    <row r="17" spans="11:17">
      <c r="P17" s="82"/>
      <c r="Q17" s="82"/>
    </row>
    <row r="18" spans="11:17">
      <c r="P18" s="82"/>
      <c r="Q18" s="82"/>
    </row>
    <row r="19" spans="11:17">
      <c r="P19" s="82"/>
      <c r="Q19" s="82"/>
    </row>
    <row r="20" spans="11:17">
      <c r="P20" s="82"/>
      <c r="Q20" s="82"/>
    </row>
    <row r="21" spans="11:17">
      <c r="P21" s="82"/>
      <c r="Q21" s="82"/>
    </row>
    <row r="22" spans="11:17">
      <c r="P22" s="82"/>
      <c r="Q22" s="82"/>
    </row>
    <row r="23" spans="11:17">
      <c r="K23" s="380"/>
      <c r="L23" s="380"/>
      <c r="P23" s="82"/>
      <c r="Q23" s="82"/>
    </row>
    <row r="24" spans="11:17">
      <c r="P24" s="82"/>
      <c r="Q24" s="82"/>
    </row>
    <row r="25" spans="11:17">
      <c r="P25" s="82"/>
      <c r="Q25" s="82"/>
    </row>
  </sheetData>
  <mergeCells count="4">
    <mergeCell ref="D8:J8"/>
    <mergeCell ref="M8:O8"/>
    <mergeCell ref="P9:Q9"/>
    <mergeCell ref="C6:P6"/>
  </mergeCells>
  <pageMargins left="0.511811024" right="0.511811024" top="0.78740157499999996" bottom="0.78740157499999996" header="0.31496062000000002" footer="0.31496062000000002"/>
  <pageSetup paperSize="9" orientation="portrait" horizontalDpi="0" verticalDpi="0"/>
  <drawing r:id="rId1"/>
  <legacyDrawing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C000"/>
  </sheetPr>
  <dimension ref="B6:AO71"/>
  <sheetViews>
    <sheetView showGridLines="0" tabSelected="1" zoomScaleNormal="100" workbookViewId="0">
      <selection activeCell="F22" sqref="F22"/>
    </sheetView>
  </sheetViews>
  <sheetFormatPr defaultColWidth="8.77734375" defaultRowHeight="14.4"/>
  <cols>
    <col min="2" max="2" width="37.44140625" bestFit="1" customWidth="1"/>
    <col min="3" max="3" width="14.5546875" style="20" bestFit="1" customWidth="1"/>
    <col min="4" max="4" width="20.6640625" style="20" customWidth="1"/>
    <col min="5" max="5" width="23.44140625" style="20" bestFit="1" customWidth="1"/>
    <col min="6" max="6" width="15.33203125" style="20" bestFit="1" customWidth="1"/>
    <col min="7" max="7" width="8.77734375" style="20"/>
    <col min="8" max="8" width="11.109375" style="20" bestFit="1" customWidth="1"/>
    <col min="9" max="15" width="8.77734375" style="20"/>
    <col min="16" max="16" width="18.77734375" style="20" customWidth="1"/>
    <col min="17" max="41" width="8.77734375" style="20"/>
  </cols>
  <sheetData>
    <row r="6" spans="2:15" ht="23.4">
      <c r="B6" s="88" t="s">
        <v>1</v>
      </c>
      <c r="O6" s="192" t="s">
        <v>299</v>
      </c>
    </row>
    <row r="7" spans="2:15" s="20" customFormat="1">
      <c r="D7" s="175" t="s">
        <v>348</v>
      </c>
      <c r="E7" s="175" t="s">
        <v>194</v>
      </c>
      <c r="F7" s="268" t="s">
        <v>539</v>
      </c>
      <c r="G7" s="175" t="s">
        <v>158</v>
      </c>
      <c r="H7" s="175"/>
    </row>
    <row r="8" spans="2:15" s="20" customFormat="1">
      <c r="C8" s="84" t="s">
        <v>10</v>
      </c>
      <c r="D8" s="78" t="s">
        <v>349</v>
      </c>
      <c r="E8" s="78">
        <f>SUM(C27:X27)</f>
        <v>64115</v>
      </c>
      <c r="F8" s="270">
        <v>0.13769999999999999</v>
      </c>
      <c r="G8" s="212">
        <f>(1+F8)*(SUMPRODUCT(C27:N27,$D$38:$O$38)+SUMPRODUCT(O27:T27,$D$43:$I$43))/1000</f>
        <v>4.4174548475699993</v>
      </c>
      <c r="H8" s="175" t="s">
        <v>105</v>
      </c>
    </row>
    <row r="9" spans="2:15" s="20" customFormat="1">
      <c r="D9" s="535">
        <v>25</v>
      </c>
      <c r="E9" s="78">
        <f>SUM(C28:X28)</f>
        <v>100155</v>
      </c>
      <c r="F9" s="270">
        <v>0.13769999999999999</v>
      </c>
      <c r="G9" s="212">
        <f>(1+F9)*(SUMPRODUCT(C28:N28,$D$38:$O$38)+SUMPRODUCT(O28:T28,$D$43:$I$43))/1000</f>
        <v>6.8272092536699995</v>
      </c>
      <c r="H9" s="175" t="s">
        <v>105</v>
      </c>
    </row>
    <row r="10" spans="2:15" s="20" customFormat="1">
      <c r="D10" s="78" t="s">
        <v>622</v>
      </c>
      <c r="E10" s="78">
        <f>SUM(C29:X29)</f>
        <v>36924</v>
      </c>
      <c r="F10" s="270">
        <v>0.13769999999999999</v>
      </c>
      <c r="G10" s="212">
        <f>(1+F10)*(SUMPRODUCT(C29:N29,$D$38:$O$38)+SUMPRODUCT(O29:T29,$D$43:$I$43))/1000</f>
        <v>2.6475069701500002</v>
      </c>
      <c r="H10" s="175" t="s">
        <v>105</v>
      </c>
    </row>
    <row r="11" spans="2:15" s="20" customFormat="1">
      <c r="D11" s="79" t="s">
        <v>16</v>
      </c>
      <c r="E11" s="79">
        <f>SUM(E8:E10)</f>
        <v>201194</v>
      </c>
      <c r="F11" s="270">
        <v>0.13769999999999999</v>
      </c>
      <c r="G11" s="212">
        <f>SUM(G8:G10)</f>
        <v>13.892171071389999</v>
      </c>
      <c r="H11" s="175" t="s">
        <v>105</v>
      </c>
    </row>
    <row r="12" spans="2:15" s="20" customFormat="1">
      <c r="D12" s="214" t="s">
        <v>546</v>
      </c>
      <c r="E12" s="214" t="s">
        <v>217</v>
      </c>
      <c r="F12" s="269" t="s">
        <v>541</v>
      </c>
      <c r="G12" s="275">
        <f>((SUM(D38:O38)+SUM(D43:H43))/(COUNT(D38:O38)+COUNT(D43:H43)))*(1+F11)</f>
        <v>7.8374145294117653E-2</v>
      </c>
      <c r="H12" s="175" t="s">
        <v>618</v>
      </c>
    </row>
    <row r="13" spans="2:15" s="20" customFormat="1">
      <c r="G13" s="85"/>
    </row>
    <row r="14" spans="2:15" s="20" customFormat="1">
      <c r="C14" s="186" t="s">
        <v>11</v>
      </c>
      <c r="D14" s="20" t="s">
        <v>295</v>
      </c>
    </row>
    <row r="15" spans="2:15" s="20" customFormat="1">
      <c r="D15" s="186" t="s">
        <v>350</v>
      </c>
    </row>
    <row r="16" spans="2:15" s="20" customFormat="1">
      <c r="D16" s="186" t="s">
        <v>540</v>
      </c>
    </row>
    <row r="17" spans="2:24" s="20" customFormat="1"/>
    <row r="18" spans="2:24" s="20" customFormat="1">
      <c r="C18" s="84" t="s">
        <v>12</v>
      </c>
      <c r="D18" s="20" t="s">
        <v>386</v>
      </c>
    </row>
    <row r="19" spans="2:24" s="20" customFormat="1">
      <c r="D19" s="176"/>
    </row>
    <row r="20" spans="2:24" s="20" customFormat="1">
      <c r="D20" s="177"/>
    </row>
    <row r="21" spans="2:24" s="20" customFormat="1"/>
    <row r="22" spans="2:24" s="20" customFormat="1"/>
    <row r="23" spans="2:24" s="20" customFormat="1"/>
    <row r="24" spans="2:24" s="20" customFormat="1" ht="23.4">
      <c r="B24" s="202" t="s">
        <v>330</v>
      </c>
    </row>
    <row r="25" spans="2:24" s="20" customFormat="1"/>
    <row r="26" spans="2:24" s="20" customFormat="1">
      <c r="C26" s="200">
        <v>43831</v>
      </c>
      <c r="D26" s="200">
        <v>43862</v>
      </c>
      <c r="E26" s="200">
        <v>43891</v>
      </c>
      <c r="F26" s="200">
        <v>43922</v>
      </c>
      <c r="G26" s="200">
        <v>43952</v>
      </c>
      <c r="H26" s="200">
        <v>43983</v>
      </c>
      <c r="I26" s="200">
        <v>44013</v>
      </c>
      <c r="J26" s="200">
        <v>44044</v>
      </c>
      <c r="K26" s="200">
        <v>44075</v>
      </c>
      <c r="L26" s="200">
        <v>44105</v>
      </c>
      <c r="M26" s="200">
        <v>44136</v>
      </c>
      <c r="N26" s="200">
        <v>44166</v>
      </c>
      <c r="O26" s="200">
        <v>44197</v>
      </c>
      <c r="P26" s="200">
        <v>44228</v>
      </c>
      <c r="Q26" s="200">
        <v>44256</v>
      </c>
      <c r="R26" s="200">
        <v>44287</v>
      </c>
      <c r="S26" s="200">
        <v>44317</v>
      </c>
      <c r="T26" s="200">
        <v>44348</v>
      </c>
      <c r="U26" s="200">
        <v>44378</v>
      </c>
      <c r="V26" s="200">
        <v>44409</v>
      </c>
      <c r="W26" s="200">
        <v>44440</v>
      </c>
      <c r="X26" s="200">
        <v>44470</v>
      </c>
    </row>
    <row r="27" spans="2:24" s="20" customFormat="1">
      <c r="B27" s="201" t="s">
        <v>327</v>
      </c>
      <c r="C27" s="199">
        <v>2516</v>
      </c>
      <c r="D27" s="199">
        <v>3481</v>
      </c>
      <c r="E27" s="199">
        <v>3063</v>
      </c>
      <c r="F27" s="199">
        <v>2574</v>
      </c>
      <c r="G27" s="199">
        <v>2966</v>
      </c>
      <c r="H27" s="199">
        <v>2552</v>
      </c>
      <c r="I27" s="199">
        <v>2796</v>
      </c>
      <c r="J27" s="199">
        <v>3115</v>
      </c>
      <c r="K27" s="199">
        <v>2652</v>
      </c>
      <c r="L27" s="199">
        <v>3220</v>
      </c>
      <c r="M27" s="199">
        <v>3275</v>
      </c>
      <c r="N27" s="199">
        <v>3463</v>
      </c>
      <c r="O27" s="199">
        <v>2680</v>
      </c>
      <c r="P27" s="199">
        <v>2993</v>
      </c>
      <c r="Q27" s="199">
        <v>2977</v>
      </c>
      <c r="R27" s="199">
        <v>2726</v>
      </c>
      <c r="S27" s="199">
        <v>2829</v>
      </c>
      <c r="T27" s="199">
        <v>2719</v>
      </c>
      <c r="U27" s="199">
        <v>2717</v>
      </c>
      <c r="V27" s="533">
        <v>2671</v>
      </c>
      <c r="W27" s="533">
        <v>3257</v>
      </c>
      <c r="X27" s="533">
        <v>2873</v>
      </c>
    </row>
    <row r="28" spans="2:24" s="20" customFormat="1">
      <c r="B28" s="201" t="s">
        <v>328</v>
      </c>
      <c r="C28" s="199">
        <v>1701</v>
      </c>
      <c r="D28" s="199">
        <v>5135</v>
      </c>
      <c r="E28" s="199">
        <v>2824</v>
      </c>
      <c r="F28" s="199">
        <v>3478</v>
      </c>
      <c r="G28" s="199">
        <v>2474</v>
      </c>
      <c r="H28" s="199">
        <v>2711</v>
      </c>
      <c r="I28" s="199">
        <v>4828</v>
      </c>
      <c r="J28" s="199">
        <v>2287</v>
      </c>
      <c r="K28" s="199">
        <v>2892</v>
      </c>
      <c r="L28" s="199">
        <v>5925</v>
      </c>
      <c r="M28" s="199">
        <v>4450</v>
      </c>
      <c r="N28" s="199">
        <v>4465</v>
      </c>
      <c r="O28" s="199">
        <v>2111</v>
      </c>
      <c r="P28" s="199">
        <v>6910</v>
      </c>
      <c r="Q28" s="199">
        <v>4630</v>
      </c>
      <c r="R28" s="199">
        <v>1890</v>
      </c>
      <c r="S28" s="199">
        <v>7439</v>
      </c>
      <c r="T28" s="199">
        <v>8201</v>
      </c>
      <c r="U28" s="199">
        <v>5678</v>
      </c>
      <c r="V28" s="533">
        <v>9965</v>
      </c>
      <c r="W28" s="533">
        <v>6590</v>
      </c>
      <c r="X28" s="533">
        <v>3571</v>
      </c>
    </row>
    <row r="29" spans="2:24" s="20" customFormat="1">
      <c r="B29" s="201" t="s">
        <v>329</v>
      </c>
      <c r="C29" s="199">
        <v>1265</v>
      </c>
      <c r="D29" s="199">
        <v>1167</v>
      </c>
      <c r="E29" s="199">
        <v>417</v>
      </c>
      <c r="F29" s="199">
        <v>1310</v>
      </c>
      <c r="G29" s="199">
        <v>1987</v>
      </c>
      <c r="H29" s="199">
        <v>1905</v>
      </c>
      <c r="I29" s="199">
        <v>1589</v>
      </c>
      <c r="J29" s="199">
        <v>1808</v>
      </c>
      <c r="K29" s="199">
        <v>1544</v>
      </c>
      <c r="L29" s="199">
        <v>1904</v>
      </c>
      <c r="M29" s="199">
        <v>1490</v>
      </c>
      <c r="N29" s="199">
        <v>2254</v>
      </c>
      <c r="O29" s="199">
        <v>2076</v>
      </c>
      <c r="P29" s="199">
        <v>2363</v>
      </c>
      <c r="Q29" s="199">
        <v>2116</v>
      </c>
      <c r="R29" s="199">
        <v>1953</v>
      </c>
      <c r="S29" s="199">
        <v>1514</v>
      </c>
      <c r="T29" s="199">
        <v>1786</v>
      </c>
      <c r="U29" s="199">
        <v>1472</v>
      </c>
      <c r="V29" s="533">
        <v>1598</v>
      </c>
      <c r="W29" s="533">
        <v>1847</v>
      </c>
      <c r="X29" s="533">
        <v>1559</v>
      </c>
    </row>
    <row r="30" spans="2:24" s="20" customFormat="1"/>
    <row r="31" spans="2:24" s="20" customFormat="1"/>
    <row r="32" spans="2:24" s="20" customFormat="1" ht="23.4">
      <c r="B32" s="202" t="s">
        <v>331</v>
      </c>
    </row>
    <row r="33" spans="2:16" s="20" customFormat="1"/>
    <row r="34" spans="2:16" s="20" customFormat="1" ht="15" thickBot="1"/>
    <row r="35" spans="2:16" s="20" customFormat="1" ht="27">
      <c r="B35" s="459" t="s">
        <v>332</v>
      </c>
      <c r="C35" s="460"/>
      <c r="D35" s="460"/>
      <c r="E35" s="460"/>
      <c r="F35" s="460"/>
      <c r="G35" s="460"/>
      <c r="H35" s="460"/>
      <c r="I35" s="460"/>
      <c r="J35" s="460"/>
      <c r="K35" s="460"/>
      <c r="L35" s="460"/>
      <c r="M35" s="460"/>
      <c r="N35" s="460"/>
      <c r="O35" s="461"/>
      <c r="P35" s="431" t="s">
        <v>729</v>
      </c>
    </row>
    <row r="36" spans="2:16" s="20" customFormat="1">
      <c r="B36" s="452">
        <v>2020</v>
      </c>
      <c r="C36" s="453"/>
      <c r="D36" s="454" t="s">
        <v>333</v>
      </c>
      <c r="E36" s="455"/>
      <c r="F36" s="455"/>
      <c r="G36" s="455"/>
      <c r="H36" s="455"/>
      <c r="I36" s="455"/>
      <c r="J36" s="455"/>
      <c r="K36" s="455"/>
      <c r="L36" s="455"/>
      <c r="M36" s="455"/>
      <c r="N36" s="455"/>
      <c r="O36" s="456"/>
      <c r="P36" s="203" t="s">
        <v>334</v>
      </c>
    </row>
    <row r="37" spans="2:16" s="20" customFormat="1">
      <c r="B37" s="204"/>
      <c r="C37" s="205"/>
      <c r="D37" s="206" t="s">
        <v>335</v>
      </c>
      <c r="E37" s="206" t="s">
        <v>336</v>
      </c>
      <c r="F37" s="206" t="s">
        <v>337</v>
      </c>
      <c r="G37" s="206" t="s">
        <v>338</v>
      </c>
      <c r="H37" s="206" t="s">
        <v>339</v>
      </c>
      <c r="I37" s="206" t="s">
        <v>340</v>
      </c>
      <c r="J37" s="206" t="s">
        <v>341</v>
      </c>
      <c r="K37" s="206" t="s">
        <v>342</v>
      </c>
      <c r="L37" s="206" t="s">
        <v>343</v>
      </c>
      <c r="M37" s="206" t="s">
        <v>344</v>
      </c>
      <c r="N37" s="206" t="s">
        <v>345</v>
      </c>
      <c r="O37" s="207" t="s">
        <v>346</v>
      </c>
      <c r="P37" s="457">
        <f>AVERAGE(D38:O38)</f>
        <v>6.1724999999999995E-2</v>
      </c>
    </row>
    <row r="38" spans="2:16" s="20" customFormat="1" ht="15" thickBot="1">
      <c r="B38" s="208"/>
      <c r="C38" s="209"/>
      <c r="D38" s="210">
        <v>9.1600000000000001E-2</v>
      </c>
      <c r="E38" s="210">
        <v>5.5800000000000002E-2</v>
      </c>
      <c r="F38" s="210">
        <v>3.8399999999999997E-2</v>
      </c>
      <c r="G38" s="210">
        <v>2.9600000000000001E-2</v>
      </c>
      <c r="H38" s="210">
        <v>3.5799999999999998E-2</v>
      </c>
      <c r="I38" s="210">
        <v>4.9099999999999998E-2</v>
      </c>
      <c r="J38" s="210">
        <v>0.04</v>
      </c>
      <c r="K38" s="210">
        <v>4.1399999999999999E-2</v>
      </c>
      <c r="L38" s="210">
        <v>3.2899999999999999E-2</v>
      </c>
      <c r="M38" s="210">
        <v>9.6100000000000005E-2</v>
      </c>
      <c r="N38" s="210">
        <v>0.1191</v>
      </c>
      <c r="O38" s="211">
        <v>0.1109</v>
      </c>
      <c r="P38" s="458"/>
    </row>
    <row r="39" spans="2:16" s="20" customFormat="1" ht="15" thickBot="1"/>
    <row r="40" spans="2:16" s="20" customFormat="1" ht="27">
      <c r="B40" s="459" t="s">
        <v>332</v>
      </c>
      <c r="C40" s="460"/>
      <c r="D40" s="460"/>
      <c r="E40" s="460"/>
      <c r="F40" s="460"/>
      <c r="G40" s="460"/>
      <c r="H40" s="460"/>
      <c r="I40" s="460"/>
      <c r="J40" s="460"/>
      <c r="K40" s="460"/>
      <c r="L40" s="460"/>
      <c r="M40" s="460"/>
      <c r="N40" s="460"/>
      <c r="O40" s="461"/>
      <c r="P40" s="431" t="s">
        <v>730</v>
      </c>
    </row>
    <row r="41" spans="2:16" s="20" customFormat="1">
      <c r="B41" s="452">
        <v>2021</v>
      </c>
      <c r="C41" s="453"/>
      <c r="D41" s="454" t="s">
        <v>333</v>
      </c>
      <c r="E41" s="455"/>
      <c r="F41" s="455"/>
      <c r="G41" s="455"/>
      <c r="H41" s="455"/>
      <c r="I41" s="455"/>
      <c r="J41" s="455"/>
      <c r="K41" s="455"/>
      <c r="L41" s="455"/>
      <c r="M41" s="455"/>
      <c r="N41" s="455"/>
      <c r="O41" s="456"/>
      <c r="P41" s="203" t="s">
        <v>347</v>
      </c>
    </row>
    <row r="42" spans="2:16" s="20" customFormat="1">
      <c r="B42" s="204"/>
      <c r="C42" s="205"/>
      <c r="D42" s="206" t="s">
        <v>335</v>
      </c>
      <c r="E42" s="206" t="s">
        <v>336</v>
      </c>
      <c r="F42" s="206" t="s">
        <v>337</v>
      </c>
      <c r="G42" s="206" t="s">
        <v>338</v>
      </c>
      <c r="H42" s="206" t="s">
        <v>339</v>
      </c>
      <c r="I42" s="206" t="s">
        <v>340</v>
      </c>
      <c r="J42" s="206" t="s">
        <v>341</v>
      </c>
      <c r="K42" s="206" t="s">
        <v>342</v>
      </c>
      <c r="L42" s="206" t="s">
        <v>343</v>
      </c>
      <c r="M42" s="206" t="s">
        <v>344</v>
      </c>
      <c r="N42" s="206" t="s">
        <v>345</v>
      </c>
      <c r="O42" s="207" t="s">
        <v>346</v>
      </c>
      <c r="P42" s="457">
        <f>AVERAGE(D43:O43)</f>
        <v>0.11465000000000002</v>
      </c>
    </row>
    <row r="43" spans="2:16" s="20" customFormat="1" ht="15" thickBot="1">
      <c r="B43" s="208"/>
      <c r="C43" s="209"/>
      <c r="D43" s="210">
        <v>0.1164</v>
      </c>
      <c r="E43" s="210">
        <v>8.2000000000000003E-2</v>
      </c>
      <c r="F43" s="210">
        <v>6.7299999999999999E-2</v>
      </c>
      <c r="G43" s="210">
        <v>7.6399999999999996E-2</v>
      </c>
      <c r="H43" s="210">
        <v>8.8300000000000003E-2</v>
      </c>
      <c r="I43" s="210">
        <v>0.14910000000000001</v>
      </c>
      <c r="J43" s="210">
        <v>0.16339999999999999</v>
      </c>
      <c r="K43" s="210">
        <v>0.17430000000000001</v>
      </c>
      <c r="L43" s="210"/>
      <c r="M43" s="210"/>
      <c r="N43" s="210"/>
      <c r="O43" s="211"/>
      <c r="P43" s="458"/>
    </row>
    <row r="44" spans="2:16" s="20" customFormat="1"/>
    <row r="45" spans="2:16" s="20" customFormat="1"/>
    <row r="46" spans="2:16" s="20" customFormat="1"/>
    <row r="47" spans="2:16" s="20" customFormat="1"/>
    <row r="48" spans="2:16" s="20" customFormat="1"/>
    <row r="49" s="20" customFormat="1"/>
    <row r="50" s="20" customFormat="1"/>
    <row r="51" s="20" customFormat="1"/>
    <row r="52" s="20" customFormat="1"/>
    <row r="53" s="20" customFormat="1"/>
    <row r="54" s="20" customFormat="1"/>
    <row r="55" s="20" customFormat="1"/>
    <row r="56" s="20" customFormat="1"/>
    <row r="57" s="20" customFormat="1"/>
    <row r="58" s="20" customFormat="1"/>
    <row r="59" s="20" customFormat="1"/>
    <row r="60" s="20" customFormat="1"/>
    <row r="61" s="20" customFormat="1"/>
    <row r="62" s="20" customFormat="1"/>
    <row r="63" s="20" customFormat="1"/>
    <row r="64" s="20" customFormat="1"/>
    <row r="65" s="20" customFormat="1"/>
    <row r="66" s="20" customFormat="1"/>
    <row r="67" s="20" customFormat="1"/>
    <row r="68" s="20" customFormat="1"/>
    <row r="69" s="20" customFormat="1"/>
    <row r="70" s="20" customFormat="1"/>
    <row r="71" s="20" customFormat="1"/>
  </sheetData>
  <mergeCells count="8">
    <mergeCell ref="B41:C41"/>
    <mergeCell ref="D41:O41"/>
    <mergeCell ref="P42:P43"/>
    <mergeCell ref="B35:O35"/>
    <mergeCell ref="B36:C36"/>
    <mergeCell ref="D36:O36"/>
    <mergeCell ref="P37:P38"/>
    <mergeCell ref="B40:O40"/>
  </mergeCells>
  <hyperlinks>
    <hyperlink ref="C14" location="Referencias!A1" display="Referências" xr:uid="{00000000-0004-0000-0400-000001000000}"/>
    <hyperlink ref="O6" location="Inicio!A1" display="Início" xr:uid="{00000000-0004-0000-0400-000002000000}"/>
    <hyperlink ref="D15" r:id="rId1" xr:uid="{B1111AF9-EAAD-BE40-A645-F314E4A0148A}"/>
    <hyperlink ref="D16" r:id="rId2" xr:uid="{2EB44398-9FA2-45C1-9C43-C841ABA79D6C}"/>
  </hyperlinks>
  <pageMargins left="0.511811024" right="0.511811024" top="0.78740157499999996" bottom="0.78740157499999996" header="0.31496062000000002" footer="0.31496062000000002"/>
  <drawing r:id="rId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0" tint="-0.34998626667073579"/>
  </sheetPr>
  <dimension ref="B6:K87"/>
  <sheetViews>
    <sheetView showGridLines="0" zoomScaleNormal="100" workbookViewId="0">
      <selection activeCell="D11" sqref="D11"/>
    </sheetView>
  </sheetViews>
  <sheetFormatPr defaultColWidth="8.77734375" defaultRowHeight="14.4"/>
  <cols>
    <col min="2" max="2" width="14.77734375" bestFit="1" customWidth="1"/>
    <col min="3" max="3" width="15.77734375" bestFit="1" customWidth="1"/>
    <col min="4" max="4" width="20.77734375" customWidth="1"/>
    <col min="5" max="5" width="21" bestFit="1" customWidth="1"/>
    <col min="6" max="6" width="10.44140625" bestFit="1" customWidth="1"/>
    <col min="7" max="7" width="12" bestFit="1" customWidth="1"/>
  </cols>
  <sheetData>
    <row r="6" spans="2:11" ht="23.4">
      <c r="B6" s="89" t="s">
        <v>195</v>
      </c>
      <c r="K6" s="192" t="s">
        <v>299</v>
      </c>
    </row>
    <row r="8" spans="2:11" ht="15.6">
      <c r="C8" s="173" t="s">
        <v>22</v>
      </c>
      <c r="D8" s="173" t="s">
        <v>19</v>
      </c>
      <c r="E8" s="173" t="s">
        <v>280</v>
      </c>
      <c r="F8" s="173" t="s">
        <v>20</v>
      </c>
      <c r="G8" s="173" t="s">
        <v>281</v>
      </c>
      <c r="H8" s="86"/>
      <c r="I8" s="86"/>
    </row>
    <row r="9" spans="2:11" ht="16.8">
      <c r="C9" s="112" t="s">
        <v>23</v>
      </c>
      <c r="D9" s="171" t="s">
        <v>18</v>
      </c>
      <c r="E9" s="171" t="s">
        <v>25</v>
      </c>
      <c r="F9" s="171" t="s">
        <v>21</v>
      </c>
      <c r="G9" s="171" t="s">
        <v>24</v>
      </c>
      <c r="H9" s="171"/>
      <c r="I9" s="86"/>
    </row>
    <row r="10" spans="2:11" ht="15.6">
      <c r="C10" s="112" t="s">
        <v>100</v>
      </c>
      <c r="D10" s="174">
        <v>1</v>
      </c>
      <c r="E10" s="171">
        <v>0.6</v>
      </c>
      <c r="F10" s="171">
        <v>0.35</v>
      </c>
      <c r="G10" s="171">
        <v>0.1</v>
      </c>
      <c r="H10" s="171">
        <f>D10*E10*F10*G10/1000</f>
        <v>2.1000000000000002E-5</v>
      </c>
      <c r="I10" s="86" t="s">
        <v>103</v>
      </c>
    </row>
    <row r="11" spans="2:11" ht="16.2">
      <c r="C11" s="112" t="s">
        <v>23</v>
      </c>
      <c r="D11" s="171" t="s">
        <v>18</v>
      </c>
      <c r="E11" s="171" t="s">
        <v>102</v>
      </c>
      <c r="F11" s="171" t="s">
        <v>101</v>
      </c>
      <c r="G11" s="171">
        <f>44/28</f>
        <v>1.5714285714285714</v>
      </c>
      <c r="H11" s="171"/>
      <c r="I11" s="86"/>
    </row>
    <row r="12" spans="2:11">
      <c r="C12" s="112" t="s">
        <v>99</v>
      </c>
      <c r="D12" s="171">
        <f>D10</f>
        <v>1</v>
      </c>
      <c r="E12" s="171">
        <v>5.0000000000000001E-4</v>
      </c>
      <c r="F12" s="171">
        <v>0.05</v>
      </c>
      <c r="G12" s="171">
        <f>G11</f>
        <v>1.5714285714285714</v>
      </c>
      <c r="H12" s="171">
        <f>D12*E12*F12*G12/1000</f>
        <v>3.9285714285714291E-8</v>
      </c>
      <c r="I12" s="86" t="s">
        <v>104</v>
      </c>
    </row>
    <row r="13" spans="2:11">
      <c r="C13" s="112" t="s">
        <v>10</v>
      </c>
      <c r="D13" s="113">
        <f>H10*21+H12*310</f>
        <v>4.531785714285715E-4</v>
      </c>
      <c r="E13" t="s">
        <v>105</v>
      </c>
    </row>
    <row r="14" spans="2:11">
      <c r="D14" t="s">
        <v>190</v>
      </c>
    </row>
    <row r="16" spans="2:11">
      <c r="C16" s="3" t="s">
        <v>11</v>
      </c>
      <c r="D16" t="s">
        <v>106</v>
      </c>
    </row>
    <row r="18" spans="3:8">
      <c r="C18" s="1" t="s">
        <v>12</v>
      </c>
    </row>
    <row r="20" spans="3:8" ht="18.600000000000001">
      <c r="D20" s="8" t="s">
        <v>26</v>
      </c>
    </row>
    <row r="21" spans="3:8" ht="15.6">
      <c r="D21" s="58" t="s">
        <v>27</v>
      </c>
      <c r="E21" s="59"/>
      <c r="F21" s="59"/>
      <c r="G21" s="59"/>
      <c r="H21" s="59"/>
    </row>
    <row r="22" spans="3:8">
      <c r="D22" s="60" t="s">
        <v>28</v>
      </c>
      <c r="E22" s="60" t="s">
        <v>29</v>
      </c>
      <c r="F22" s="59"/>
      <c r="G22" s="60" t="s">
        <v>30</v>
      </c>
      <c r="H22" s="59"/>
    </row>
    <row r="23" spans="3:8">
      <c r="D23" s="59"/>
      <c r="E23" s="61" t="s">
        <v>31</v>
      </c>
      <c r="F23" s="61" t="s">
        <v>32</v>
      </c>
      <c r="G23" s="61" t="s">
        <v>31</v>
      </c>
      <c r="H23" s="61" t="s">
        <v>32</v>
      </c>
    </row>
    <row r="24" spans="3:8">
      <c r="D24" s="61" t="s">
        <v>33</v>
      </c>
      <c r="E24" s="61" t="s">
        <v>39</v>
      </c>
      <c r="F24" s="61">
        <v>180</v>
      </c>
      <c r="G24" s="61" t="s">
        <v>47</v>
      </c>
      <c r="H24" s="61">
        <v>1000</v>
      </c>
    </row>
    <row r="25" spans="3:8">
      <c r="D25" s="61" t="s">
        <v>34</v>
      </c>
      <c r="E25" s="61" t="s">
        <v>40</v>
      </c>
      <c r="F25" s="61">
        <v>60</v>
      </c>
      <c r="G25" s="61" t="s">
        <v>48</v>
      </c>
      <c r="H25" s="61">
        <v>400</v>
      </c>
    </row>
    <row r="26" spans="3:8">
      <c r="D26" s="61" t="s">
        <v>35</v>
      </c>
      <c r="E26" s="61" t="s">
        <v>41</v>
      </c>
      <c r="F26" s="61">
        <v>10</v>
      </c>
      <c r="G26" s="61" t="s">
        <v>49</v>
      </c>
      <c r="H26" s="61">
        <v>80</v>
      </c>
    </row>
    <row r="27" spans="3:8">
      <c r="D27" s="61" t="s">
        <v>36</v>
      </c>
      <c r="E27" s="61" t="s">
        <v>42</v>
      </c>
      <c r="F27" s="61">
        <v>50</v>
      </c>
      <c r="G27" s="61" t="s">
        <v>50</v>
      </c>
      <c r="H27" s="61">
        <v>320</v>
      </c>
    </row>
    <row r="28" spans="3:8">
      <c r="D28" s="61" t="s">
        <v>37</v>
      </c>
      <c r="E28" s="61" t="s">
        <v>43</v>
      </c>
      <c r="F28" s="61">
        <v>120</v>
      </c>
      <c r="G28" s="61" t="s">
        <v>51</v>
      </c>
      <c r="H28" s="61">
        <v>700</v>
      </c>
    </row>
    <row r="29" spans="3:8">
      <c r="D29" s="61" t="s">
        <v>35</v>
      </c>
      <c r="E29" s="61" t="s">
        <v>44</v>
      </c>
      <c r="F29" s="61">
        <v>70</v>
      </c>
      <c r="G29" s="61" t="s">
        <v>52</v>
      </c>
      <c r="H29" s="61">
        <v>400</v>
      </c>
    </row>
    <row r="30" spans="3:8">
      <c r="D30" s="61" t="s">
        <v>36</v>
      </c>
      <c r="E30" s="61" t="s">
        <v>45</v>
      </c>
      <c r="F30" s="61">
        <v>50</v>
      </c>
      <c r="G30" s="61" t="s">
        <v>53</v>
      </c>
      <c r="H30" s="61">
        <v>300</v>
      </c>
    </row>
    <row r="31" spans="3:8">
      <c r="D31" s="61" t="s">
        <v>38</v>
      </c>
      <c r="E31" s="61" t="s">
        <v>46</v>
      </c>
      <c r="F31" s="61" t="s">
        <v>46</v>
      </c>
      <c r="G31" s="61" t="s">
        <v>54</v>
      </c>
      <c r="H31" s="61">
        <v>15</v>
      </c>
    </row>
    <row r="32" spans="3:8">
      <c r="D32" s="61" t="s">
        <v>55</v>
      </c>
      <c r="E32" s="59"/>
      <c r="F32" s="59"/>
      <c r="G32" s="59"/>
      <c r="H32" s="59"/>
    </row>
    <row r="33" spans="4:8">
      <c r="D33" s="61" t="s">
        <v>56</v>
      </c>
      <c r="E33" s="61" t="s">
        <v>59</v>
      </c>
      <c r="F33" s="61">
        <v>50</v>
      </c>
      <c r="G33" s="61" t="s">
        <v>62</v>
      </c>
      <c r="H33" s="61">
        <v>350</v>
      </c>
    </row>
    <row r="34" spans="4:8">
      <c r="D34" s="61" t="s">
        <v>57</v>
      </c>
      <c r="E34" s="61" t="s">
        <v>60</v>
      </c>
      <c r="F34" s="61">
        <v>100</v>
      </c>
      <c r="G34" s="61" t="s">
        <v>63</v>
      </c>
      <c r="H34" s="61">
        <v>700</v>
      </c>
    </row>
    <row r="35" spans="4:8">
      <c r="D35" s="61" t="s">
        <v>58</v>
      </c>
      <c r="E35" s="61" t="s">
        <v>61</v>
      </c>
      <c r="F35" s="61">
        <v>75</v>
      </c>
      <c r="G35" s="61" t="s">
        <v>64</v>
      </c>
      <c r="H35" s="61">
        <v>500</v>
      </c>
    </row>
    <row r="37" spans="4:8" ht="15.6">
      <c r="D37" s="58" t="s">
        <v>27</v>
      </c>
      <c r="E37" s="59"/>
      <c r="F37" s="59"/>
      <c r="G37" s="59"/>
      <c r="H37" s="59"/>
    </row>
    <row r="38" spans="4:8">
      <c r="D38" s="62" t="s">
        <v>28</v>
      </c>
      <c r="E38" s="62" t="s">
        <v>29</v>
      </c>
      <c r="F38" s="59"/>
      <c r="G38" s="62" t="s">
        <v>30</v>
      </c>
      <c r="H38" s="59"/>
    </row>
    <row r="39" spans="4:8">
      <c r="D39" s="59"/>
      <c r="E39" s="61" t="s">
        <v>31</v>
      </c>
      <c r="F39" s="61" t="s">
        <v>32</v>
      </c>
      <c r="G39" s="61" t="s">
        <v>31</v>
      </c>
      <c r="H39" s="61" t="s">
        <v>32</v>
      </c>
    </row>
    <row r="40" spans="4:8">
      <c r="D40" s="61" t="s">
        <v>65</v>
      </c>
      <c r="E40" s="61" t="s">
        <v>70</v>
      </c>
      <c r="F40" s="61">
        <v>8</v>
      </c>
      <c r="G40" s="61" t="s">
        <v>40</v>
      </c>
      <c r="H40" s="61">
        <v>50</v>
      </c>
    </row>
    <row r="41" spans="4:8">
      <c r="D41" s="61" t="s">
        <v>66</v>
      </c>
      <c r="E41" s="61" t="s">
        <v>71</v>
      </c>
      <c r="F41" s="61">
        <v>3.5</v>
      </c>
      <c r="G41" s="61" t="s">
        <v>75</v>
      </c>
      <c r="H41" s="61">
        <v>20</v>
      </c>
    </row>
    <row r="42" spans="4:8">
      <c r="D42" s="61" t="s">
        <v>67</v>
      </c>
      <c r="E42" s="61" t="s">
        <v>72</v>
      </c>
      <c r="F42" s="61">
        <v>4.5</v>
      </c>
      <c r="G42" s="61" t="s">
        <v>76</v>
      </c>
      <c r="H42" s="61">
        <v>30</v>
      </c>
    </row>
    <row r="43" spans="4:8">
      <c r="D43" s="61" t="s">
        <v>68</v>
      </c>
      <c r="E43" s="61" t="s">
        <v>73</v>
      </c>
      <c r="F43" s="61" t="s">
        <v>73</v>
      </c>
      <c r="G43" s="61" t="s">
        <v>73</v>
      </c>
      <c r="H43" s="61" t="s">
        <v>73</v>
      </c>
    </row>
    <row r="44" spans="4:8">
      <c r="D44" s="61" t="s">
        <v>69</v>
      </c>
      <c r="E44" s="61" t="s">
        <v>74</v>
      </c>
      <c r="F44" s="61" t="s">
        <v>73</v>
      </c>
      <c r="G44" s="61" t="s">
        <v>77</v>
      </c>
      <c r="H44" s="61" t="s">
        <v>73</v>
      </c>
    </row>
    <row r="45" spans="4:8">
      <c r="D45" s="61" t="s">
        <v>78</v>
      </c>
      <c r="E45" s="61" t="s">
        <v>81</v>
      </c>
      <c r="F45" s="61">
        <v>2.5</v>
      </c>
      <c r="G45" s="61" t="s">
        <v>84</v>
      </c>
      <c r="H45" s="61">
        <v>14</v>
      </c>
    </row>
    <row r="46" spans="4:8">
      <c r="D46" s="61" t="s">
        <v>79</v>
      </c>
      <c r="E46" s="61" t="s">
        <v>82</v>
      </c>
      <c r="F46" s="61">
        <v>0.8</v>
      </c>
      <c r="G46" s="61" t="s">
        <v>85</v>
      </c>
      <c r="H46" s="61">
        <v>4</v>
      </c>
    </row>
    <row r="47" spans="4:8">
      <c r="D47" s="61" t="s">
        <v>80</v>
      </c>
      <c r="E47" s="61" t="s">
        <v>83</v>
      </c>
      <c r="F47" s="61">
        <v>1.7</v>
      </c>
      <c r="G47" s="61" t="s">
        <v>86</v>
      </c>
      <c r="H47" s="61">
        <v>10</v>
      </c>
    </row>
    <row r="48" spans="4:8">
      <c r="D48" s="61" t="s">
        <v>87</v>
      </c>
      <c r="E48" s="59" t="s">
        <v>46</v>
      </c>
      <c r="F48" s="59" t="s">
        <v>46</v>
      </c>
      <c r="G48" s="59" t="s">
        <v>88</v>
      </c>
      <c r="H48" s="59">
        <v>7</v>
      </c>
    </row>
    <row r="49" spans="4:8">
      <c r="D49" s="61" t="s">
        <v>89</v>
      </c>
      <c r="E49" s="61" t="s">
        <v>90</v>
      </c>
      <c r="F49" s="61">
        <v>25</v>
      </c>
      <c r="G49" s="61" t="s">
        <v>91</v>
      </c>
      <c r="H49" s="61">
        <v>35</v>
      </c>
    </row>
    <row r="50" spans="4:8">
      <c r="D50" s="61" t="s">
        <v>92</v>
      </c>
      <c r="E50" s="61" t="s">
        <v>93</v>
      </c>
      <c r="F50" s="61">
        <v>6</v>
      </c>
      <c r="G50" s="61" t="s">
        <v>91</v>
      </c>
      <c r="H50" s="61">
        <v>35</v>
      </c>
    </row>
    <row r="51" spans="4:8">
      <c r="D51" s="61" t="s">
        <v>94</v>
      </c>
      <c r="E51" s="61" t="s">
        <v>95</v>
      </c>
      <c r="F51" s="61">
        <v>20</v>
      </c>
      <c r="G51" s="61" t="s">
        <v>96</v>
      </c>
      <c r="H51" s="61">
        <v>110</v>
      </c>
    </row>
    <row r="53" spans="4:8" ht="15.6">
      <c r="D53" s="9" t="s">
        <v>97</v>
      </c>
    </row>
    <row r="54" spans="4:8">
      <c r="D54" s="3" t="s">
        <v>98</v>
      </c>
    </row>
    <row r="78" spans="4:4">
      <c r="D78" s="10"/>
    </row>
    <row r="79" spans="4:4">
      <c r="D79" s="10"/>
    </row>
    <row r="80" spans="4:4">
      <c r="D80" s="10"/>
    </row>
    <row r="81" spans="4:4">
      <c r="D81" s="10"/>
    </row>
    <row r="82" spans="4:4">
      <c r="D82" s="10"/>
    </row>
    <row r="83" spans="4:4">
      <c r="D83" s="10"/>
    </row>
    <row r="84" spans="4:4">
      <c r="D84" s="10"/>
    </row>
    <row r="85" spans="4:4">
      <c r="D85" s="10"/>
    </row>
    <row r="86" spans="4:4">
      <c r="D86" s="10"/>
    </row>
    <row r="87" spans="4:4">
      <c r="D87" s="10"/>
    </row>
  </sheetData>
  <hyperlinks>
    <hyperlink ref="D54" r:id="rId1" xr:uid="{00000000-0004-0000-0600-000000000000}"/>
    <hyperlink ref="C16" location="Referencias!A1" display="Referências" xr:uid="{00000000-0004-0000-0600-000001000000}"/>
    <hyperlink ref="K6" location="Inicio!A1" display="Início" xr:uid="{00000000-0004-0000-0600-000002000000}"/>
  </hyperlinks>
  <pageMargins left="0.511811024" right="0.511811024" top="0.78740157499999996" bottom="0.78740157499999996" header="0.31496062000000002" footer="0.31496062000000002"/>
  <pageSetup paperSize="9" orientation="portrait" horizontalDpi="4294967292" verticalDpi="4294967292"/>
  <drawing r:id="rId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59999389629810485"/>
  </sheetPr>
  <dimension ref="B4:L25"/>
  <sheetViews>
    <sheetView showGridLines="0" zoomScaleNormal="100" workbookViewId="0">
      <selection activeCell="D7" sqref="D7:E8"/>
    </sheetView>
  </sheetViews>
  <sheetFormatPr defaultColWidth="8.77734375" defaultRowHeight="14.4"/>
  <cols>
    <col min="1" max="1" width="3.44140625" customWidth="1"/>
    <col min="2" max="2" width="30.44140625" bestFit="1" customWidth="1"/>
    <col min="3" max="3" width="9.77734375" bestFit="1" customWidth="1"/>
    <col min="4" max="4" width="16.44140625" customWidth="1"/>
    <col min="5" max="5" width="11.6640625" bestFit="1" customWidth="1"/>
    <col min="6" max="6" width="16.109375" bestFit="1" customWidth="1"/>
    <col min="7" max="7" width="16" bestFit="1" customWidth="1"/>
    <col min="8" max="8" width="11.44140625" bestFit="1" customWidth="1"/>
    <col min="9" max="9" width="10.109375" bestFit="1" customWidth="1"/>
  </cols>
  <sheetData>
    <row r="4" spans="2:12">
      <c r="L4" t="s">
        <v>735</v>
      </c>
    </row>
    <row r="6" spans="2:12" ht="23.4">
      <c r="B6" s="90" t="s">
        <v>14</v>
      </c>
      <c r="J6" s="192" t="s">
        <v>299</v>
      </c>
    </row>
    <row r="7" spans="2:12">
      <c r="D7" s="173" t="s">
        <v>186</v>
      </c>
      <c r="E7" s="173" t="s">
        <v>160</v>
      </c>
      <c r="F7" s="173" t="s">
        <v>187</v>
      </c>
      <c r="G7" s="173" t="s">
        <v>188</v>
      </c>
      <c r="H7" s="173" t="s">
        <v>203</v>
      </c>
    </row>
    <row r="8" spans="2:12">
      <c r="C8" s="1" t="s">
        <v>309</v>
      </c>
      <c r="D8" s="190">
        <v>30</v>
      </c>
      <c r="E8" s="191">
        <v>0.15</v>
      </c>
      <c r="F8" s="86">
        <f>D8*E8</f>
        <v>4.5</v>
      </c>
      <c r="G8" s="114">
        <v>2088</v>
      </c>
      <c r="H8" s="421">
        <f>(F8*G8/1000)/12</f>
        <v>0.78300000000000003</v>
      </c>
      <c r="I8" t="s">
        <v>189</v>
      </c>
    </row>
    <row r="11" spans="2:12">
      <c r="C11" s="3" t="s">
        <v>11</v>
      </c>
      <c r="D11" t="s">
        <v>159</v>
      </c>
    </row>
    <row r="14" spans="2:12" ht="117" customHeight="1">
      <c r="C14" s="420" t="s">
        <v>12</v>
      </c>
      <c r="D14" s="462" t="s">
        <v>715</v>
      </c>
      <c r="E14" s="462"/>
      <c r="F14" s="462"/>
      <c r="G14" s="462"/>
      <c r="H14" s="462"/>
    </row>
    <row r="25" spans="4:4">
      <c r="D25" s="419"/>
    </row>
  </sheetData>
  <mergeCells count="1">
    <mergeCell ref="D14:H14"/>
  </mergeCells>
  <hyperlinks>
    <hyperlink ref="C11" location="Referencias!A1" display="Referências" xr:uid="{00000000-0004-0000-0700-000000000000}"/>
    <hyperlink ref="J6" location="Inicio!A1" display="Início" xr:uid="{00000000-0004-0000-0700-000001000000}"/>
  </hyperlinks>
  <pageMargins left="0.511811024" right="0.511811024" top="0.78740157499999996" bottom="0.78740157499999996" header="0.31496062000000002" footer="0.31496062000000002"/>
  <pageSetup paperSize="9" orientation="portrait" horizontalDpi="0" verticalDpi="0"/>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6" tint="0.59999389629810485"/>
  </sheetPr>
  <dimension ref="A6:AM83"/>
  <sheetViews>
    <sheetView showGridLines="0" topLeftCell="A4" zoomScaleNormal="100" workbookViewId="0">
      <selection activeCell="D6" sqref="D6:E12"/>
    </sheetView>
  </sheetViews>
  <sheetFormatPr defaultColWidth="8.77734375" defaultRowHeight="14.4"/>
  <cols>
    <col min="2" max="2" width="19.44140625" bestFit="1" customWidth="1"/>
    <col min="3" max="3" width="14.6640625" style="20" customWidth="1"/>
    <col min="4" max="4" width="29.77734375" style="20" bestFit="1" customWidth="1"/>
    <col min="5" max="5" width="23.44140625" style="20" customWidth="1"/>
    <col min="6" max="6" width="16.6640625" style="20" customWidth="1"/>
    <col min="7" max="7" width="14.44140625" style="20" bestFit="1" customWidth="1"/>
    <col min="8" max="8" width="8.77734375" style="20"/>
    <col min="9" max="9" width="31.44140625" style="20" customWidth="1"/>
    <col min="10" max="10" width="31.6640625" style="20" customWidth="1"/>
    <col min="11" max="11" width="9.77734375" style="20" bestFit="1" customWidth="1"/>
    <col min="12" max="39" width="8.77734375" style="20"/>
  </cols>
  <sheetData>
    <row r="6" spans="2:34" ht="23.4">
      <c r="B6" s="91" t="s">
        <v>142</v>
      </c>
      <c r="D6" s="20" t="s">
        <v>152</v>
      </c>
      <c r="E6" s="20" t="s">
        <v>151</v>
      </c>
      <c r="K6" s="192" t="s">
        <v>299</v>
      </c>
    </row>
    <row r="7" spans="2:34" s="20" customFormat="1">
      <c r="D7" s="79">
        <v>20</v>
      </c>
      <c r="E7" s="20" t="s">
        <v>154</v>
      </c>
    </row>
    <row r="8" spans="2:34" s="20" customFormat="1">
      <c r="C8" s="84" t="s">
        <v>309</v>
      </c>
      <c r="D8" s="53">
        <f>D7*H18*(1-D23)/1000</f>
        <v>4.7463124799999992E-2</v>
      </c>
      <c r="E8" s="53">
        <f>D7*H19*(D23)/1000</f>
        <v>3.8130048000000008E-3</v>
      </c>
      <c r="F8" s="20" t="s">
        <v>155</v>
      </c>
    </row>
    <row r="9" spans="2:34" s="20" customFormat="1">
      <c r="D9" s="53">
        <f>D7*I18*(1-D23)/1000</f>
        <v>1.9215839999999999E-6</v>
      </c>
      <c r="E9" s="53">
        <f>D7*I19*(D23)/1000</f>
        <v>1.6156800000000003E-7</v>
      </c>
      <c r="F9" s="20" t="s">
        <v>156</v>
      </c>
    </row>
    <row r="10" spans="2:34" s="20" customFormat="1">
      <c r="D10" s="53">
        <f>D7*J18*(1-D23)/1000</f>
        <v>3.8431679999999998E-7</v>
      </c>
      <c r="E10" s="53">
        <f>D7*J19*(D23)/1000</f>
        <v>3.2313600000000006E-8</v>
      </c>
      <c r="F10" s="20" t="s">
        <v>157</v>
      </c>
    </row>
    <row r="11" spans="2:34" s="20" customFormat="1">
      <c r="D11" s="54">
        <f>D8+D9*25+D10*298</f>
        <v>4.7625690806399994E-2</v>
      </c>
      <c r="E11" s="54">
        <f>E9*25+E10*298</f>
        <v>1.3668652800000002E-5</v>
      </c>
      <c r="F11" s="20" t="s">
        <v>105</v>
      </c>
    </row>
    <row r="12" spans="2:34" s="20" customFormat="1">
      <c r="D12" s="53" t="s">
        <v>16</v>
      </c>
      <c r="E12" s="81">
        <f>D8+(D9+E9)*25+(D10+E10)*298</f>
        <v>4.763935945919999E-2</v>
      </c>
      <c r="F12" s="20" t="s">
        <v>105</v>
      </c>
    </row>
    <row r="13" spans="2:34" s="20" customFormat="1"/>
    <row r="14" spans="2:34" s="20" customFormat="1">
      <c r="C14" s="84" t="s">
        <v>12</v>
      </c>
      <c r="L14" s="43"/>
      <c r="M14" s="43"/>
      <c r="N14" s="43"/>
      <c r="O14" s="43"/>
      <c r="P14" s="43"/>
      <c r="Q14" s="43"/>
      <c r="R14" s="43"/>
      <c r="S14" s="43"/>
      <c r="T14" s="43"/>
      <c r="U14" s="43"/>
      <c r="V14" s="43"/>
      <c r="W14" s="43"/>
      <c r="X14" s="43"/>
      <c r="Y14" s="43"/>
      <c r="Z14" s="43"/>
      <c r="AA14" s="43"/>
      <c r="AB14" s="43"/>
      <c r="AC14" s="43"/>
      <c r="AD14" s="43"/>
      <c r="AE14" s="43"/>
      <c r="AF14" s="43"/>
      <c r="AG14" s="43"/>
      <c r="AH14" s="43"/>
    </row>
    <row r="15" spans="2:34" s="20" customFormat="1" ht="15.6">
      <c r="D15" s="483" t="s">
        <v>142</v>
      </c>
      <c r="E15" s="483" t="s">
        <v>143</v>
      </c>
      <c r="F15" s="484" t="s">
        <v>144</v>
      </c>
      <c r="G15" s="483" t="s">
        <v>145</v>
      </c>
      <c r="H15" s="483" t="s">
        <v>146</v>
      </c>
      <c r="I15" s="483"/>
      <c r="J15" s="483"/>
      <c r="K15" s="483" t="s">
        <v>6</v>
      </c>
      <c r="L15" s="43"/>
      <c r="M15" s="43"/>
      <c r="N15" s="43"/>
      <c r="O15" s="43"/>
      <c r="P15" s="43"/>
      <c r="Q15" s="43"/>
      <c r="R15" s="43"/>
      <c r="S15" s="43"/>
      <c r="T15" s="43"/>
      <c r="U15" s="43"/>
      <c r="V15" s="43"/>
      <c r="W15" s="43"/>
      <c r="X15" s="43"/>
      <c r="Y15" s="43"/>
      <c r="Z15" s="43"/>
      <c r="AA15" s="43"/>
      <c r="AB15" s="43"/>
      <c r="AC15" s="43"/>
      <c r="AD15" s="43"/>
      <c r="AE15" s="43"/>
      <c r="AF15" s="43"/>
      <c r="AG15" s="43"/>
      <c r="AH15" s="43"/>
    </row>
    <row r="16" spans="2:34" s="20" customFormat="1" ht="18">
      <c r="D16" s="483"/>
      <c r="E16" s="483"/>
      <c r="F16" s="484"/>
      <c r="G16" s="483"/>
      <c r="H16" s="484" t="s">
        <v>147</v>
      </c>
      <c r="I16" s="46" t="s">
        <v>148</v>
      </c>
      <c r="J16" s="46" t="s">
        <v>149</v>
      </c>
      <c r="K16" s="483"/>
      <c r="L16" s="43"/>
      <c r="M16" s="43"/>
      <c r="N16" s="43"/>
      <c r="O16" s="43"/>
      <c r="P16" s="43"/>
      <c r="Q16" s="43"/>
      <c r="R16" s="43"/>
      <c r="S16" s="43"/>
      <c r="T16" s="43"/>
      <c r="U16" s="43"/>
      <c r="V16" s="43"/>
      <c r="W16" s="43"/>
      <c r="X16" s="43"/>
      <c r="Y16" s="43"/>
      <c r="Z16" s="43"/>
      <c r="AA16" s="43"/>
      <c r="AB16" s="43"/>
      <c r="AC16" s="43"/>
      <c r="AD16" s="43"/>
      <c r="AE16" s="43"/>
      <c r="AF16" s="43"/>
      <c r="AG16" s="43"/>
      <c r="AH16" s="43"/>
    </row>
    <row r="17" spans="3:34" s="20" customFormat="1" ht="15.6">
      <c r="D17" s="483"/>
      <c r="E17" s="483"/>
      <c r="F17" s="484"/>
      <c r="G17" s="46" t="s">
        <v>150</v>
      </c>
      <c r="H17" s="484"/>
      <c r="I17" s="47" t="s">
        <v>1</v>
      </c>
      <c r="J17" s="47" t="s">
        <v>1</v>
      </c>
      <c r="K17" s="483"/>
      <c r="L17" s="43"/>
      <c r="M17" s="43"/>
      <c r="N17" s="43"/>
      <c r="O17" s="43"/>
      <c r="P17" s="43"/>
      <c r="Q17" s="43"/>
      <c r="R17" s="43"/>
      <c r="S17" s="43"/>
      <c r="T17" s="43"/>
      <c r="U17" s="43"/>
      <c r="V17" s="43"/>
      <c r="W17" s="43"/>
      <c r="X17" s="43"/>
      <c r="Y17" s="43"/>
      <c r="Z17" s="43"/>
      <c r="AA17" s="43"/>
      <c r="AB17" s="43"/>
      <c r="AC17" s="43"/>
      <c r="AD17" s="43"/>
      <c r="AE17" s="43"/>
      <c r="AF17" s="43"/>
      <c r="AG17" s="43"/>
      <c r="AH17" s="43"/>
    </row>
    <row r="18" spans="3:34" s="20" customFormat="1" ht="15.6">
      <c r="D18" s="52" t="s">
        <v>139</v>
      </c>
      <c r="E18" s="48" t="s">
        <v>140</v>
      </c>
      <c r="F18" s="48">
        <v>43</v>
      </c>
      <c r="G18" s="48">
        <v>0.84</v>
      </c>
      <c r="H18" s="49">
        <v>2.6764920000000001</v>
      </c>
      <c r="I18" s="50">
        <v>1.0836E-4</v>
      </c>
      <c r="J18" s="50">
        <v>2.1672000000000002E-5</v>
      </c>
      <c r="K18" s="51" t="s">
        <v>141</v>
      </c>
      <c r="L18" s="43"/>
      <c r="M18" s="43"/>
      <c r="N18" s="43"/>
      <c r="O18" s="43"/>
      <c r="P18" s="43"/>
      <c r="Q18" s="43"/>
      <c r="R18" s="43"/>
      <c r="S18" s="43"/>
      <c r="T18" s="43"/>
      <c r="U18" s="43"/>
      <c r="V18" s="43"/>
      <c r="W18" s="43"/>
      <c r="X18" s="43"/>
      <c r="Y18" s="43"/>
      <c r="Z18" s="43"/>
      <c r="AA18" s="43"/>
      <c r="AB18" s="43"/>
      <c r="AC18" s="43"/>
      <c r="AD18" s="43"/>
      <c r="AE18" s="43"/>
      <c r="AF18" s="43"/>
      <c r="AG18" s="43"/>
      <c r="AH18" s="43"/>
    </row>
    <row r="19" spans="3:34" s="20" customFormat="1" ht="15.6">
      <c r="D19" s="52" t="s">
        <v>151</v>
      </c>
      <c r="E19" s="48" t="s">
        <v>140</v>
      </c>
      <c r="F19" s="48">
        <v>27</v>
      </c>
      <c r="G19" s="48">
        <v>0.88</v>
      </c>
      <c r="H19" s="49">
        <v>1.6822079999999999</v>
      </c>
      <c r="I19" s="50">
        <v>7.1279999999999995E-5</v>
      </c>
      <c r="J19" s="50">
        <v>1.4256E-5</v>
      </c>
      <c r="K19" s="51" t="s">
        <v>141</v>
      </c>
      <c r="L19" s="44"/>
      <c r="M19" s="44"/>
      <c r="N19" s="44"/>
      <c r="O19" s="44"/>
      <c r="P19" s="44"/>
      <c r="Q19" s="44"/>
      <c r="R19" s="43"/>
      <c r="S19" s="44"/>
      <c r="T19" s="44"/>
      <c r="U19" s="44"/>
      <c r="V19" s="44"/>
      <c r="W19" s="44"/>
      <c r="X19" s="44"/>
      <c r="Y19" s="44"/>
      <c r="Z19" s="44"/>
      <c r="AA19" s="45"/>
      <c r="AB19" s="43"/>
      <c r="AC19" s="43"/>
      <c r="AD19" s="43"/>
      <c r="AE19" s="43"/>
      <c r="AF19" s="43"/>
      <c r="AG19" s="43"/>
      <c r="AH19" s="43"/>
    </row>
    <row r="20" spans="3:34" s="20" customFormat="1"/>
    <row r="21" spans="3:34" s="20" customFormat="1">
      <c r="D21" s="56"/>
    </row>
    <row r="22" spans="3:34" s="20" customFormat="1">
      <c r="D22" s="55" t="s">
        <v>153</v>
      </c>
      <c r="E22" s="20" t="s">
        <v>384</v>
      </c>
    </row>
    <row r="23" spans="3:34" s="20" customFormat="1">
      <c r="D23" s="55">
        <f>S32</f>
        <v>0.11333333333333336</v>
      </c>
    </row>
    <row r="24" spans="3:34" s="20" customFormat="1"/>
    <row r="25" spans="3:34" s="20" customFormat="1">
      <c r="C25" s="84" t="s">
        <v>191</v>
      </c>
      <c r="D25" s="20" t="s">
        <v>192</v>
      </c>
    </row>
    <row r="26" spans="3:34" s="20" customFormat="1"/>
    <row r="27" spans="3:34" s="20" customFormat="1">
      <c r="D27" s="481" t="s">
        <v>360</v>
      </c>
      <c r="E27" s="481" t="s">
        <v>361</v>
      </c>
      <c r="F27" s="481" t="s">
        <v>143</v>
      </c>
      <c r="G27" s="481" t="s">
        <v>362</v>
      </c>
      <c r="H27" s="481"/>
      <c r="I27" s="481"/>
      <c r="J27" s="481"/>
      <c r="K27" s="481"/>
      <c r="L27" s="481"/>
      <c r="M27" s="481"/>
      <c r="N27" s="481"/>
      <c r="O27" s="481"/>
      <c r="P27" s="481"/>
      <c r="Q27" s="481"/>
      <c r="R27" s="481"/>
      <c r="S27" s="482" t="s">
        <v>363</v>
      </c>
    </row>
    <row r="28" spans="3:34" s="20" customFormat="1">
      <c r="D28" s="481"/>
      <c r="E28" s="481"/>
      <c r="F28" s="481"/>
      <c r="G28" s="219" t="s">
        <v>364</v>
      </c>
      <c r="H28" s="219" t="s">
        <v>365</v>
      </c>
      <c r="I28" s="219" t="s">
        <v>366</v>
      </c>
      <c r="J28" s="219" t="s">
        <v>367</v>
      </c>
      <c r="K28" s="219" t="s">
        <v>368</v>
      </c>
      <c r="L28" s="219" t="s">
        <v>369</v>
      </c>
      <c r="M28" s="219" t="s">
        <v>370</v>
      </c>
      <c r="N28" s="219" t="s">
        <v>371</v>
      </c>
      <c r="O28" s="219" t="s">
        <v>372</v>
      </c>
      <c r="P28" s="219" t="s">
        <v>373</v>
      </c>
      <c r="Q28" s="219" t="s">
        <v>374</v>
      </c>
      <c r="R28" s="219" t="s">
        <v>375</v>
      </c>
      <c r="S28" s="482"/>
    </row>
    <row r="29" spans="3:34" s="20" customFormat="1">
      <c r="D29" s="464">
        <v>2020</v>
      </c>
      <c r="E29" s="215" t="s">
        <v>358</v>
      </c>
      <c r="F29" s="216" t="s">
        <v>24</v>
      </c>
      <c r="G29" s="217">
        <v>0.27</v>
      </c>
      <c r="H29" s="217">
        <v>0.27</v>
      </c>
      <c r="I29" s="217">
        <v>0.27</v>
      </c>
      <c r="J29" s="217">
        <v>0.27</v>
      </c>
      <c r="K29" s="217">
        <v>0.27</v>
      </c>
      <c r="L29" s="217">
        <v>0.27</v>
      </c>
      <c r="M29" s="217">
        <v>0.27</v>
      </c>
      <c r="N29" s="217">
        <v>0.27</v>
      </c>
      <c r="O29" s="217">
        <v>0.27</v>
      </c>
      <c r="P29" s="217">
        <v>0.27</v>
      </c>
      <c r="Q29" s="217">
        <v>0.27</v>
      </c>
      <c r="R29" s="217">
        <v>0.27</v>
      </c>
      <c r="S29" s="217">
        <v>0.27</v>
      </c>
    </row>
    <row r="30" spans="3:34" s="20" customFormat="1">
      <c r="D30" s="465"/>
      <c r="E30" s="215" t="s">
        <v>359</v>
      </c>
      <c r="F30" s="216" t="s">
        <v>24</v>
      </c>
      <c r="G30" s="217">
        <v>0.11</v>
      </c>
      <c r="H30" s="217">
        <v>0.11</v>
      </c>
      <c r="I30" s="217">
        <v>0.12</v>
      </c>
      <c r="J30" s="217">
        <v>0.12</v>
      </c>
      <c r="K30" s="217">
        <v>0.12</v>
      </c>
      <c r="L30" s="217">
        <v>0.12</v>
      </c>
      <c r="M30" s="217">
        <v>0.12</v>
      </c>
      <c r="N30" s="217">
        <v>0.12</v>
      </c>
      <c r="O30" s="217">
        <v>0.1</v>
      </c>
      <c r="P30" s="217">
        <v>0.1</v>
      </c>
      <c r="Q30" s="217">
        <v>0.11</v>
      </c>
      <c r="R30" s="217">
        <v>0.11</v>
      </c>
      <c r="S30" s="217">
        <v>0.11333333333333336</v>
      </c>
    </row>
    <row r="31" spans="3:34" s="20" customFormat="1">
      <c r="D31" s="464">
        <v>2021</v>
      </c>
      <c r="E31" s="215" t="s">
        <v>358</v>
      </c>
      <c r="F31" s="216" t="s">
        <v>24</v>
      </c>
      <c r="G31" s="217">
        <v>0.27</v>
      </c>
      <c r="H31" s="217">
        <v>0.27</v>
      </c>
      <c r="I31" s="217">
        <v>0.27</v>
      </c>
      <c r="J31" s="217">
        <v>0.27</v>
      </c>
      <c r="K31" s="217">
        <v>0.27</v>
      </c>
      <c r="L31" s="217">
        <v>0.27</v>
      </c>
      <c r="M31" s="217">
        <v>0.27</v>
      </c>
      <c r="N31" s="217">
        <v>0.27</v>
      </c>
      <c r="O31" s="217">
        <v>0.27</v>
      </c>
      <c r="P31" s="217">
        <v>0.27</v>
      </c>
      <c r="Q31" s="217"/>
      <c r="R31" s="217"/>
      <c r="S31" s="217">
        <v>0.27</v>
      </c>
    </row>
    <row r="32" spans="3:34" s="20" customFormat="1">
      <c r="D32" s="465"/>
      <c r="E32" s="215" t="s">
        <v>359</v>
      </c>
      <c r="F32" s="216" t="s">
        <v>24</v>
      </c>
      <c r="G32" s="217">
        <v>0.11</v>
      </c>
      <c r="H32" s="217">
        <v>0.11</v>
      </c>
      <c r="I32" s="217">
        <v>0.11</v>
      </c>
      <c r="J32" s="217">
        <v>0.11</v>
      </c>
      <c r="K32" s="217">
        <v>0.11</v>
      </c>
      <c r="L32" s="217">
        <v>0.11</v>
      </c>
      <c r="M32" s="217">
        <v>0.11</v>
      </c>
      <c r="N32" s="217">
        <v>0.11</v>
      </c>
      <c r="O32" s="217">
        <v>0.11</v>
      </c>
      <c r="P32" s="217">
        <v>0.11</v>
      </c>
      <c r="Q32" s="217"/>
      <c r="R32" s="217"/>
      <c r="S32" s="217">
        <v>0.11333333333333336</v>
      </c>
    </row>
    <row r="33" spans="2:20" s="20" customFormat="1"/>
    <row r="34" spans="2:20" s="20" customFormat="1">
      <c r="C34" s="187" t="s">
        <v>11</v>
      </c>
    </row>
    <row r="35" spans="2:20" s="20" customFormat="1"/>
    <row r="36" spans="2:20" s="20" customFormat="1" ht="15" customHeight="1">
      <c r="D36" s="463" t="s">
        <v>376</v>
      </c>
      <c r="E36" s="463"/>
      <c r="F36" s="466" t="s">
        <v>377</v>
      </c>
      <c r="G36" s="467"/>
      <c r="H36" s="467"/>
      <c r="I36" s="467"/>
      <c r="J36" s="467"/>
      <c r="K36" s="467"/>
      <c r="L36" s="467"/>
      <c r="M36" s="467"/>
      <c r="N36" s="467"/>
      <c r="O36" s="467"/>
      <c r="P36" s="467"/>
      <c r="Q36" s="467"/>
      <c r="R36" s="467"/>
      <c r="S36" s="467"/>
      <c r="T36" s="468"/>
    </row>
    <row r="37" spans="2:20" s="20" customFormat="1">
      <c r="B37" s="220"/>
      <c r="C37" s="220"/>
      <c r="D37" s="463"/>
      <c r="E37" s="463"/>
      <c r="F37" s="469" t="s">
        <v>385</v>
      </c>
      <c r="G37" s="470"/>
      <c r="H37" s="470"/>
      <c r="I37" s="470"/>
      <c r="J37" s="470"/>
      <c r="K37" s="470"/>
      <c r="L37" s="470"/>
      <c r="M37" s="470"/>
      <c r="N37" s="470"/>
      <c r="O37" s="470"/>
      <c r="P37" s="470"/>
      <c r="Q37" s="470"/>
      <c r="R37" s="470"/>
      <c r="S37" s="470"/>
      <c r="T37" s="471"/>
    </row>
    <row r="38" spans="2:20" s="20" customFormat="1">
      <c r="D38" s="463"/>
      <c r="E38" s="463"/>
      <c r="F38" s="472" t="s">
        <v>378</v>
      </c>
      <c r="G38" s="473"/>
      <c r="H38" s="473"/>
      <c r="I38" s="473"/>
      <c r="J38" s="473"/>
      <c r="K38" s="473"/>
      <c r="L38" s="473"/>
      <c r="M38" s="473"/>
      <c r="N38" s="473"/>
      <c r="O38" s="473"/>
      <c r="P38" s="473"/>
      <c r="Q38" s="473"/>
      <c r="R38" s="473"/>
      <c r="S38" s="473"/>
      <c r="T38" s="474"/>
    </row>
    <row r="39" spans="2:20" s="20" customFormat="1">
      <c r="D39" s="463" t="s">
        <v>379</v>
      </c>
      <c r="E39" s="463"/>
      <c r="F39" s="475" t="s">
        <v>380</v>
      </c>
      <c r="G39" s="476"/>
      <c r="H39" s="476"/>
      <c r="I39" s="476"/>
      <c r="J39" s="476"/>
      <c r="K39" s="476"/>
      <c r="L39" s="476"/>
      <c r="M39" s="476"/>
      <c r="N39" s="476"/>
      <c r="O39" s="476"/>
      <c r="P39" s="476"/>
      <c r="Q39" s="476"/>
      <c r="R39" s="476"/>
      <c r="S39" s="476"/>
      <c r="T39" s="477"/>
    </row>
    <row r="40" spans="2:20" s="20" customFormat="1">
      <c r="D40" s="463"/>
      <c r="E40" s="463"/>
      <c r="F40" s="475" t="s">
        <v>381</v>
      </c>
      <c r="G40" s="476"/>
      <c r="H40" s="476"/>
      <c r="I40" s="476"/>
      <c r="J40" s="476"/>
      <c r="K40" s="476"/>
      <c r="L40" s="476"/>
      <c r="M40" s="476"/>
      <c r="N40" s="476"/>
      <c r="O40" s="476"/>
      <c r="P40" s="476"/>
      <c r="Q40" s="476"/>
      <c r="R40" s="476"/>
      <c r="S40" s="476"/>
      <c r="T40" s="477"/>
    </row>
    <row r="41" spans="2:20" s="20" customFormat="1">
      <c r="D41" s="463"/>
      <c r="E41" s="463"/>
      <c r="F41" s="475" t="s">
        <v>382</v>
      </c>
      <c r="G41" s="476"/>
      <c r="H41" s="476"/>
      <c r="I41" s="476"/>
      <c r="J41" s="476"/>
      <c r="K41" s="476"/>
      <c r="L41" s="476"/>
      <c r="M41" s="476"/>
      <c r="N41" s="476"/>
      <c r="O41" s="476"/>
      <c r="P41" s="476"/>
      <c r="Q41" s="476"/>
      <c r="R41" s="476"/>
      <c r="S41" s="476"/>
      <c r="T41" s="477"/>
    </row>
    <row r="42" spans="2:20" s="20" customFormat="1">
      <c r="D42" s="463"/>
      <c r="E42" s="463"/>
      <c r="F42" s="478" t="s">
        <v>383</v>
      </c>
      <c r="G42" s="479"/>
      <c r="H42" s="479"/>
      <c r="I42" s="479"/>
      <c r="J42" s="479"/>
      <c r="K42" s="479"/>
      <c r="L42" s="479"/>
      <c r="M42" s="479"/>
      <c r="N42" s="479"/>
      <c r="O42" s="479"/>
      <c r="P42" s="479"/>
      <c r="Q42" s="479"/>
      <c r="R42" s="479"/>
      <c r="S42" s="479"/>
      <c r="T42" s="480"/>
    </row>
    <row r="43" spans="2:20" s="20" customFormat="1"/>
    <row r="44" spans="2:20" s="20" customFormat="1"/>
    <row r="45" spans="2:20" s="20" customFormat="1"/>
    <row r="46" spans="2:20" s="20" customFormat="1"/>
    <row r="47" spans="2:20" s="20" customFormat="1"/>
    <row r="48" spans="2:20" s="20" customFormat="1"/>
    <row r="49" s="20" customFormat="1"/>
    <row r="50" s="20" customFormat="1"/>
    <row r="51" s="20" customFormat="1"/>
    <row r="52" s="20" customFormat="1"/>
    <row r="53" s="20" customFormat="1"/>
    <row r="54" s="20" customFormat="1"/>
    <row r="55" s="20" customFormat="1"/>
    <row r="56" s="20" customFormat="1"/>
    <row r="57" s="20" customFormat="1"/>
    <row r="58" s="20" customFormat="1"/>
    <row r="59" s="20" customFormat="1"/>
    <row r="60" s="20" customFormat="1"/>
    <row r="61" s="20" customFormat="1"/>
    <row r="62" s="20" customFormat="1"/>
    <row r="63" s="20" customFormat="1"/>
    <row r="64" s="20" customFormat="1"/>
    <row r="65" s="20" customFormat="1"/>
    <row r="66" s="20" customFormat="1"/>
    <row r="67" s="20" customFormat="1"/>
    <row r="68" s="20" customFormat="1"/>
    <row r="69" s="20" customFormat="1"/>
    <row r="70" s="20" customFormat="1"/>
    <row r="71" s="20" customFormat="1"/>
    <row r="72" s="20" customFormat="1"/>
    <row r="73" s="20" customFormat="1"/>
    <row r="74" s="20" customFormat="1"/>
    <row r="75" s="20" customFormat="1"/>
    <row r="76" s="20" customFormat="1"/>
    <row r="77" s="20" customFormat="1"/>
    <row r="78" s="20" customFormat="1"/>
    <row r="79" s="20" customFormat="1"/>
    <row r="80" s="20" customFormat="1"/>
    <row r="81" spans="1:2" s="20" customFormat="1"/>
    <row r="82" spans="1:2" s="20" customFormat="1"/>
    <row r="83" spans="1:2">
      <c r="A83" s="20"/>
      <c r="B83" s="20"/>
    </row>
  </sheetData>
  <mergeCells count="23">
    <mergeCell ref="K15:K17"/>
    <mergeCell ref="H16:H17"/>
    <mergeCell ref="D15:D17"/>
    <mergeCell ref="E15:E17"/>
    <mergeCell ref="F15:F17"/>
    <mergeCell ref="G15:G16"/>
    <mergeCell ref="H15:J15"/>
    <mergeCell ref="D27:D28"/>
    <mergeCell ref="E27:E28"/>
    <mergeCell ref="F27:F28"/>
    <mergeCell ref="G27:R27"/>
    <mergeCell ref="S27:S28"/>
    <mergeCell ref="D39:E42"/>
    <mergeCell ref="D29:D30"/>
    <mergeCell ref="D31:D32"/>
    <mergeCell ref="F36:T36"/>
    <mergeCell ref="F37:T37"/>
    <mergeCell ref="D36:E38"/>
    <mergeCell ref="F38:T38"/>
    <mergeCell ref="F39:T39"/>
    <mergeCell ref="F40:T40"/>
    <mergeCell ref="F41:T41"/>
    <mergeCell ref="F42:T42"/>
  </mergeCells>
  <hyperlinks>
    <hyperlink ref="C34" location="Referencias!A1" display="Referências" xr:uid="{00000000-0004-0000-0800-000002000000}"/>
    <hyperlink ref="K6" location="Inicio!A1" display="Início" xr:uid="{00000000-0004-0000-0800-000003000000}"/>
    <hyperlink ref="F36" r:id="rId1" xr:uid="{FED11EC3-FEDF-654C-ADFC-E3BB7CF4BCF1}"/>
    <hyperlink ref="F38" r:id="rId2" xr:uid="{B653D0EB-9208-D840-B3C2-3F7C737D5639}"/>
    <hyperlink ref="F39" r:id="rId3" xr:uid="{13E733BC-54FF-974B-B0C4-791E4C3A37CC}"/>
    <hyperlink ref="F40" r:id="rId4" location=":~:text=%E2%80%9CA%20Diretoria%20Colegiada%20da%20ANP,21%20de%20junho%20de%202020." xr:uid="{C1E4DA5A-4EB1-564C-A83D-F434DD8C8F97}"/>
    <hyperlink ref="F42" r:id="rId5" xr:uid="{44469D2F-005C-6447-BD10-AADAE51936D1}"/>
    <hyperlink ref="F41" r:id="rId6" location=":~:text=de%202020%2C%20resolve%3A-,Art.,abastecimento%20interno%20de%20diesel%20B." xr:uid="{1F6C9D7D-A546-CB4D-BF1B-0DEA8D74FE0B}"/>
    <hyperlink ref="F37" r:id="rId7" xr:uid="{89E2D0EA-3F49-1241-B096-A8BB12722028}"/>
  </hyperlinks>
  <pageMargins left="0.511811024" right="0.511811024" top="0.78740157499999996" bottom="0.78740157499999996" header="0.31496062000000002" footer="0.31496062000000002"/>
  <pageSetup paperSize="9" orientation="portrait" horizontalDpi="4294967292" verticalDpi="4294967292"/>
  <drawing r:id="rId8"/>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6"/>
  </sheetPr>
  <dimension ref="B6:AM68"/>
  <sheetViews>
    <sheetView showGridLines="0" topLeftCell="A43" zoomScaleNormal="100" zoomScalePageLayoutView="200" workbookViewId="0">
      <selection activeCell="B6" sqref="B6:C6"/>
    </sheetView>
  </sheetViews>
  <sheetFormatPr defaultColWidth="8.77734375" defaultRowHeight="14.4"/>
  <cols>
    <col min="2" max="2" width="14.44140625" bestFit="1" customWidth="1"/>
    <col min="3" max="3" width="12.109375" style="20" customWidth="1"/>
    <col min="4" max="4" width="32.109375" style="20" customWidth="1"/>
    <col min="5" max="5" width="15" style="20" bestFit="1" customWidth="1"/>
    <col min="6" max="6" width="20.109375" style="20" customWidth="1"/>
    <col min="7" max="7" width="24" style="20" customWidth="1"/>
    <col min="8" max="13" width="8.77734375" style="20"/>
    <col min="14" max="14" width="49.6640625" style="20" customWidth="1"/>
    <col min="15" max="39" width="8.77734375" style="20"/>
  </cols>
  <sheetData>
    <row r="6" spans="2:14" ht="23.4">
      <c r="B6" s="485" t="s">
        <v>679</v>
      </c>
      <c r="C6" s="485"/>
      <c r="M6" s="192" t="s">
        <v>299</v>
      </c>
    </row>
    <row r="7" spans="2:14" s="20" customFormat="1">
      <c r="D7" s="175" t="s">
        <v>136</v>
      </c>
      <c r="E7" s="78">
        <v>1</v>
      </c>
    </row>
    <row r="8" spans="2:14" s="20" customFormat="1" ht="15.6">
      <c r="C8" s="84" t="s">
        <v>309</v>
      </c>
      <c r="D8" s="183" t="s">
        <v>291</v>
      </c>
      <c r="E8" s="15">
        <v>0.9</v>
      </c>
      <c r="F8" s="14" t="s">
        <v>126</v>
      </c>
      <c r="G8" s="21"/>
      <c r="H8" s="22"/>
      <c r="I8" s="13"/>
      <c r="J8" s="13"/>
      <c r="K8" s="23"/>
      <c r="L8" s="24"/>
      <c r="M8" s="24"/>
      <c r="N8" s="24"/>
    </row>
    <row r="9" spans="2:14" s="20" customFormat="1" ht="15.6">
      <c r="D9" s="183" t="s">
        <v>127</v>
      </c>
      <c r="E9" s="15">
        <v>0</v>
      </c>
      <c r="F9" s="14" t="s">
        <v>128</v>
      </c>
      <c r="G9" s="21"/>
      <c r="H9" s="22"/>
      <c r="I9" s="13"/>
      <c r="J9" s="13"/>
      <c r="K9" s="23"/>
      <c r="L9" s="24"/>
      <c r="M9" s="24"/>
      <c r="N9" s="24"/>
    </row>
    <row r="10" spans="2:14" s="20" customFormat="1" ht="15.6">
      <c r="D10" s="183" t="s">
        <v>129</v>
      </c>
      <c r="E10" s="16">
        <f>16/12</f>
        <v>1.3333333333333333</v>
      </c>
      <c r="F10" s="14" t="s">
        <v>130</v>
      </c>
      <c r="G10" s="21"/>
      <c r="H10" s="22"/>
      <c r="I10" s="13"/>
      <c r="J10" s="13"/>
      <c r="K10" s="23"/>
      <c r="L10" s="24"/>
      <c r="M10" s="24"/>
      <c r="N10" s="24"/>
    </row>
    <row r="11" spans="2:14" s="20" customFormat="1" ht="15.6">
      <c r="D11" s="183" t="s">
        <v>131</v>
      </c>
      <c r="E11" s="15">
        <v>0.5</v>
      </c>
      <c r="F11" s="14" t="s">
        <v>132</v>
      </c>
      <c r="G11" s="21"/>
      <c r="H11" s="22"/>
      <c r="I11" s="13"/>
      <c r="J11" s="13"/>
      <c r="K11" s="23"/>
      <c r="L11" s="24"/>
      <c r="M11" s="24"/>
      <c r="N11" s="24"/>
    </row>
    <row r="12" spans="2:14" s="20" customFormat="1" ht="16.2">
      <c r="D12" s="183" t="s">
        <v>292</v>
      </c>
      <c r="E12" s="17">
        <v>0.5</v>
      </c>
      <c r="F12" s="14" t="s">
        <v>133</v>
      </c>
      <c r="G12" s="21"/>
      <c r="H12" s="22"/>
      <c r="I12" s="13"/>
      <c r="J12" s="13"/>
      <c r="K12" s="23"/>
      <c r="L12" s="24"/>
      <c r="M12" s="24"/>
      <c r="N12" s="24"/>
    </row>
    <row r="13" spans="2:14" s="20" customFormat="1" ht="15.6">
      <c r="D13" s="183" t="s">
        <v>134</v>
      </c>
      <c r="E13" s="15">
        <v>1</v>
      </c>
      <c r="F13" s="14" t="s">
        <v>128</v>
      </c>
      <c r="G13" s="21"/>
      <c r="H13" s="22"/>
      <c r="I13" s="13"/>
      <c r="J13" s="13"/>
      <c r="K13" s="23"/>
      <c r="L13" s="24"/>
      <c r="M13" s="24"/>
      <c r="N13" s="24"/>
    </row>
    <row r="14" spans="2:14" s="20" customFormat="1" ht="16.2">
      <c r="D14" s="183" t="s">
        <v>293</v>
      </c>
      <c r="E14" s="16">
        <f>F67</f>
        <v>0.1855</v>
      </c>
      <c r="F14" s="14" t="s">
        <v>135</v>
      </c>
      <c r="G14" s="21"/>
      <c r="H14" s="22"/>
      <c r="I14" s="13"/>
      <c r="J14" s="13"/>
      <c r="K14" s="23"/>
      <c r="L14" s="24"/>
      <c r="M14" s="24"/>
      <c r="N14" s="24"/>
    </row>
    <row r="15" spans="2:14" s="20" customFormat="1" ht="15.6">
      <c r="D15" s="183" t="s">
        <v>137</v>
      </c>
      <c r="E15" s="80">
        <f>E7*E8*(1-E9)*E10*E11*E12*E13*E14</f>
        <v>5.5649999999999998E-2</v>
      </c>
      <c r="F15" s="14" t="s">
        <v>184</v>
      </c>
      <c r="G15" s="41"/>
      <c r="H15" s="41"/>
      <c r="I15" s="13"/>
      <c r="J15" s="13"/>
      <c r="K15" s="42"/>
      <c r="L15" s="42"/>
      <c r="M15" s="42"/>
      <c r="N15" s="42"/>
    </row>
    <row r="16" spans="2:14" s="20" customFormat="1" ht="15.6">
      <c r="D16" s="183" t="s">
        <v>138</v>
      </c>
      <c r="E16" s="80">
        <f>E15*25</f>
        <v>1.3912499999999999</v>
      </c>
      <c r="F16" s="14" t="s">
        <v>185</v>
      </c>
      <c r="G16" s="41"/>
      <c r="H16" s="41"/>
      <c r="I16" s="13"/>
      <c r="J16" s="13"/>
      <c r="K16" s="42"/>
      <c r="L16" s="42"/>
      <c r="M16" s="42"/>
      <c r="N16" s="42"/>
    </row>
    <row r="17" spans="3:14" s="20" customFormat="1"/>
    <row r="18" spans="3:14" s="20" customFormat="1" ht="15.6">
      <c r="C18" s="186" t="s">
        <v>11</v>
      </c>
      <c r="D18" s="25" t="s">
        <v>107</v>
      </c>
      <c r="E18" s="26"/>
      <c r="F18" s="11"/>
      <c r="G18" s="23"/>
      <c r="H18" s="24"/>
      <c r="I18" s="24"/>
      <c r="J18" s="24"/>
      <c r="K18" s="24"/>
      <c r="L18" s="24"/>
      <c r="M18" s="24"/>
      <c r="N18" s="24"/>
    </row>
    <row r="19" spans="3:14" s="20" customFormat="1" ht="18">
      <c r="D19" s="25" t="s">
        <v>108</v>
      </c>
      <c r="E19" s="26"/>
      <c r="F19" s="11"/>
      <c r="G19" s="23"/>
      <c r="H19" s="24"/>
      <c r="I19" s="24"/>
      <c r="J19" s="24"/>
      <c r="K19" s="24"/>
      <c r="L19" s="24"/>
      <c r="M19" s="24"/>
      <c r="N19" s="24"/>
    </row>
    <row r="20" spans="3:14" s="20" customFormat="1" ht="15.6">
      <c r="D20" s="27"/>
      <c r="E20" s="26"/>
      <c r="F20" s="11"/>
      <c r="G20" s="23"/>
      <c r="H20" s="24"/>
      <c r="I20" s="24"/>
      <c r="J20" s="24"/>
      <c r="K20" s="24"/>
      <c r="L20" s="24"/>
      <c r="M20" s="24"/>
      <c r="N20" s="24"/>
    </row>
    <row r="21" spans="3:14" s="20" customFormat="1" ht="15.6">
      <c r="D21" s="27"/>
      <c r="E21" s="26"/>
      <c r="F21" s="11"/>
      <c r="G21" s="23"/>
      <c r="H21" s="24"/>
      <c r="I21" s="24"/>
      <c r="J21" s="24"/>
      <c r="K21" s="24"/>
      <c r="L21" s="24"/>
      <c r="M21" s="24"/>
      <c r="N21" s="24"/>
    </row>
    <row r="22" spans="3:14" s="20" customFormat="1" ht="15.6">
      <c r="D22" s="27"/>
      <c r="E22" s="26"/>
      <c r="F22" s="11"/>
      <c r="G22" s="23"/>
      <c r="H22" s="24"/>
      <c r="I22" s="24"/>
      <c r="J22" s="24"/>
      <c r="K22" s="24"/>
      <c r="L22" s="24"/>
      <c r="M22" s="24"/>
      <c r="N22" s="24"/>
    </row>
    <row r="23" spans="3:14" s="20" customFormat="1" ht="15.6">
      <c r="D23" s="27" t="s">
        <v>109</v>
      </c>
      <c r="E23" s="26"/>
      <c r="F23" s="11"/>
      <c r="G23" s="23"/>
      <c r="H23" s="24"/>
      <c r="I23" s="24"/>
      <c r="J23" s="24"/>
      <c r="K23" s="24"/>
      <c r="L23" s="24"/>
      <c r="M23" s="24"/>
      <c r="N23" s="24"/>
    </row>
    <row r="24" spans="3:14" s="20" customFormat="1" ht="15.6">
      <c r="D24" s="27"/>
      <c r="E24" s="26"/>
      <c r="F24" s="11"/>
      <c r="G24" s="23"/>
      <c r="H24" s="24"/>
      <c r="I24" s="24"/>
      <c r="J24" s="24"/>
      <c r="K24" s="24"/>
      <c r="L24" s="24"/>
      <c r="M24" s="24"/>
      <c r="N24" s="24"/>
    </row>
    <row r="25" spans="3:14" s="20" customFormat="1" ht="16.2">
      <c r="D25" s="12" t="s">
        <v>110</v>
      </c>
      <c r="E25" s="26"/>
      <c r="F25" s="11"/>
      <c r="G25" s="23"/>
      <c r="H25" s="24"/>
      <c r="I25" s="24"/>
      <c r="J25" s="24"/>
      <c r="K25" s="24"/>
      <c r="L25" s="24"/>
      <c r="M25" s="24"/>
      <c r="N25" s="24"/>
    </row>
    <row r="26" spans="3:14" s="20" customFormat="1" ht="15.6">
      <c r="D26" s="12" t="s">
        <v>111</v>
      </c>
      <c r="E26" s="26"/>
      <c r="F26" s="11"/>
      <c r="G26" s="23"/>
      <c r="H26" s="24"/>
      <c r="I26" s="24"/>
      <c r="J26" s="24"/>
      <c r="K26" s="24"/>
      <c r="L26" s="24"/>
      <c r="M26" s="24"/>
      <c r="N26" s="24"/>
    </row>
    <row r="27" spans="3:14" s="20" customFormat="1" ht="15.6">
      <c r="D27" s="12" t="s">
        <v>112</v>
      </c>
      <c r="E27" s="26"/>
      <c r="F27" s="11"/>
      <c r="G27" s="23"/>
      <c r="H27" s="24"/>
      <c r="I27" s="24"/>
      <c r="J27" s="24"/>
      <c r="K27" s="24"/>
      <c r="L27" s="24"/>
      <c r="M27" s="24"/>
      <c r="N27" s="24"/>
    </row>
    <row r="28" spans="3:14" s="20" customFormat="1" ht="16.2">
      <c r="D28" s="12" t="s">
        <v>113</v>
      </c>
      <c r="E28" s="26"/>
      <c r="F28" s="11"/>
      <c r="G28" s="23"/>
      <c r="H28" s="24"/>
      <c r="I28" s="24"/>
      <c r="J28" s="24"/>
      <c r="K28" s="24"/>
      <c r="L28" s="24"/>
      <c r="M28" s="24"/>
      <c r="N28" s="24"/>
    </row>
    <row r="29" spans="3:14" s="20" customFormat="1" ht="15.6">
      <c r="D29" s="12" t="s">
        <v>114</v>
      </c>
      <c r="E29" s="26"/>
      <c r="F29" s="11"/>
      <c r="G29" s="23"/>
      <c r="H29" s="24"/>
      <c r="I29" s="24"/>
      <c r="J29" s="24"/>
      <c r="K29" s="24"/>
      <c r="L29" s="24"/>
      <c r="M29" s="24"/>
      <c r="N29" s="24"/>
    </row>
    <row r="30" spans="3:14" s="20" customFormat="1" ht="15.6">
      <c r="D30" s="12" t="s">
        <v>115</v>
      </c>
      <c r="E30" s="26"/>
      <c r="F30" s="11"/>
      <c r="G30" s="23"/>
      <c r="H30" s="24"/>
      <c r="I30" s="24"/>
      <c r="J30" s="24"/>
      <c r="K30" s="24"/>
      <c r="L30" s="24"/>
      <c r="M30" s="24"/>
      <c r="N30" s="24"/>
    </row>
    <row r="31" spans="3:14" s="20" customFormat="1" ht="16.2">
      <c r="D31" s="12" t="s">
        <v>116</v>
      </c>
      <c r="E31" s="26"/>
      <c r="F31" s="11"/>
      <c r="G31" s="23"/>
      <c r="H31" s="24"/>
      <c r="I31" s="24"/>
      <c r="J31" s="24"/>
      <c r="K31" s="24"/>
      <c r="L31" s="24"/>
      <c r="M31" s="24"/>
      <c r="N31" s="24"/>
    </row>
    <row r="32" spans="3:14" s="20" customFormat="1" ht="15.6">
      <c r="D32" s="12" t="s">
        <v>117</v>
      </c>
      <c r="E32" s="26"/>
      <c r="F32" s="11"/>
      <c r="G32" s="23"/>
      <c r="H32" s="24"/>
      <c r="I32" s="24"/>
      <c r="J32" s="24"/>
      <c r="K32" s="24"/>
      <c r="L32" s="24"/>
      <c r="M32" s="24"/>
      <c r="N32" s="24"/>
    </row>
    <row r="33" spans="3:14" s="20" customFormat="1" ht="15.6">
      <c r="D33" s="12" t="s">
        <v>123</v>
      </c>
      <c r="E33" s="26"/>
      <c r="F33" s="11"/>
      <c r="G33" s="23"/>
      <c r="H33" s="24"/>
      <c r="I33" s="24"/>
      <c r="J33" s="24"/>
      <c r="K33" s="24"/>
      <c r="L33" s="24"/>
      <c r="M33" s="24"/>
      <c r="N33" s="24"/>
    </row>
    <row r="34" spans="3:14" s="20" customFormat="1" ht="15.6">
      <c r="D34" s="12" t="s">
        <v>121</v>
      </c>
      <c r="E34" s="26"/>
      <c r="F34" s="11"/>
      <c r="G34" s="23"/>
      <c r="H34" s="24"/>
      <c r="I34" s="24"/>
      <c r="J34" s="24"/>
      <c r="K34" s="24"/>
      <c r="L34" s="24"/>
      <c r="M34" s="24"/>
      <c r="N34" s="24"/>
    </row>
    <row r="35" spans="3:14" s="20" customFormat="1" ht="16.2">
      <c r="D35" s="12" t="s">
        <v>118</v>
      </c>
      <c r="E35" s="26"/>
      <c r="F35" s="11"/>
      <c r="G35" s="23"/>
      <c r="H35" s="24"/>
      <c r="I35" s="24"/>
      <c r="J35" s="24"/>
      <c r="K35" s="24"/>
      <c r="L35" s="24"/>
      <c r="M35" s="24"/>
      <c r="N35" s="24"/>
    </row>
    <row r="36" spans="3:14" s="20" customFormat="1" ht="16.2">
      <c r="D36" s="12" t="s">
        <v>119</v>
      </c>
      <c r="E36" s="26"/>
      <c r="F36" s="11"/>
      <c r="G36" s="23"/>
      <c r="H36" s="24"/>
      <c r="I36" s="24"/>
      <c r="J36" s="24"/>
      <c r="K36" s="24"/>
      <c r="L36" s="24"/>
      <c r="M36" s="24"/>
      <c r="N36" s="24"/>
    </row>
    <row r="37" spans="3:14" s="20" customFormat="1" ht="15.6">
      <c r="D37" s="12" t="s">
        <v>122</v>
      </c>
      <c r="E37" s="26"/>
      <c r="F37" s="11"/>
      <c r="G37" s="23"/>
      <c r="H37" s="24"/>
      <c r="I37" s="24"/>
      <c r="J37" s="24"/>
      <c r="K37" s="24"/>
      <c r="L37" s="24"/>
      <c r="M37" s="24"/>
      <c r="N37" s="24"/>
    </row>
    <row r="38" spans="3:14" s="20" customFormat="1" ht="16.2">
      <c r="D38" s="12" t="s">
        <v>120</v>
      </c>
      <c r="E38" s="26"/>
      <c r="F38" s="11"/>
      <c r="G38" s="23"/>
      <c r="H38" s="24"/>
      <c r="I38" s="24"/>
      <c r="J38" s="24"/>
      <c r="K38" s="24"/>
      <c r="L38" s="24"/>
      <c r="M38" s="24"/>
      <c r="N38" s="24"/>
    </row>
    <row r="40" spans="3:14" s="20" customFormat="1" ht="15.6">
      <c r="D40" s="27"/>
      <c r="E40" s="26"/>
      <c r="F40" s="11"/>
      <c r="G40" s="28"/>
      <c r="H40" s="29"/>
      <c r="I40" s="29"/>
      <c r="J40" s="29"/>
      <c r="K40" s="29"/>
      <c r="L40" s="29"/>
      <c r="M40" s="29"/>
      <c r="N40" s="426"/>
    </row>
    <row r="41" spans="3:14" s="20" customFormat="1" ht="18">
      <c r="C41" s="84" t="s">
        <v>12</v>
      </c>
      <c r="D41" s="30" t="s">
        <v>124</v>
      </c>
      <c r="E41" s="31"/>
      <c r="F41" s="18"/>
      <c r="G41" s="32"/>
      <c r="H41" s="33"/>
      <c r="I41" s="33"/>
      <c r="J41" s="33"/>
      <c r="K41" s="33"/>
      <c r="L41" s="33"/>
      <c r="M41" s="428"/>
      <c r="N41" s="42"/>
    </row>
    <row r="42" spans="3:14" s="20" customFormat="1" ht="15.6">
      <c r="D42" s="34" t="s">
        <v>125</v>
      </c>
      <c r="E42" s="35"/>
      <c r="F42" s="19"/>
      <c r="G42" s="36"/>
      <c r="H42" s="37"/>
      <c r="I42" s="37"/>
      <c r="J42" s="37"/>
      <c r="K42" s="37"/>
      <c r="L42" s="37"/>
      <c r="M42" s="429"/>
      <c r="N42" s="427"/>
    </row>
    <row r="43" spans="3:14" s="20" customFormat="1" ht="15.6">
      <c r="D43" s="27"/>
      <c r="E43" s="26"/>
      <c r="F43" s="11"/>
      <c r="G43" s="38"/>
      <c r="H43" s="39"/>
      <c r="I43" s="39"/>
      <c r="J43" s="39"/>
      <c r="K43" s="39"/>
      <c r="L43" s="39"/>
      <c r="M43" s="39"/>
      <c r="N43" s="39"/>
    </row>
    <row r="44" spans="3:14" s="20" customFormat="1" ht="15.6">
      <c r="D44" s="27"/>
      <c r="E44" s="26"/>
      <c r="F44" s="11"/>
      <c r="G44" s="23"/>
      <c r="H44" s="24"/>
      <c r="I44" s="24"/>
      <c r="J44" s="24"/>
      <c r="K44" s="24"/>
      <c r="L44" s="24"/>
      <c r="M44" s="24"/>
      <c r="N44" s="24"/>
    </row>
    <row r="45" spans="3:14" s="20" customFormat="1" ht="15.6">
      <c r="D45" s="27"/>
      <c r="E45" s="26"/>
      <c r="F45" s="11"/>
      <c r="G45" s="23"/>
      <c r="H45" s="24"/>
      <c r="I45" s="29"/>
      <c r="J45" s="29"/>
      <c r="K45" s="24"/>
      <c r="L45" s="24"/>
      <c r="M45" s="24"/>
      <c r="N45" s="24"/>
    </row>
    <row r="46" spans="3:14" s="20" customFormat="1" ht="15.6">
      <c r="D46" s="27"/>
      <c r="E46" s="26"/>
      <c r="F46" s="11"/>
      <c r="G46" s="23"/>
      <c r="H46" s="40"/>
      <c r="I46" s="13"/>
      <c r="J46" s="13"/>
      <c r="K46" s="23"/>
      <c r="L46" s="24"/>
      <c r="M46" s="24"/>
      <c r="N46" s="24"/>
    </row>
    <row r="47" spans="3:14" s="20" customFormat="1"/>
    <row r="48" spans="3:14" s="20" customFormat="1"/>
    <row r="49" spans="4:7" s="20" customFormat="1">
      <c r="D49" s="70"/>
      <c r="E49" s="71"/>
      <c r="F49" s="72"/>
    </row>
    <row r="50" spans="4:7" s="20" customFormat="1">
      <c r="D50" s="73" t="s">
        <v>161</v>
      </c>
      <c r="E50" s="71"/>
      <c r="F50" s="72"/>
    </row>
    <row r="51" spans="4:7" s="20" customFormat="1">
      <c r="D51" s="73" t="s">
        <v>162</v>
      </c>
      <c r="E51" s="71"/>
      <c r="F51" s="72"/>
    </row>
    <row r="52" spans="4:7" s="20" customFormat="1">
      <c r="D52" s="73" t="s">
        <v>163</v>
      </c>
      <c r="E52" s="71"/>
      <c r="F52" s="72"/>
    </row>
    <row r="53" spans="4:7" s="20" customFormat="1" ht="15.6">
      <c r="D53" s="73" t="s">
        <v>164</v>
      </c>
      <c r="E53" s="71"/>
      <c r="F53" s="72"/>
    </row>
    <row r="54" spans="4:7" s="20" customFormat="1">
      <c r="D54" s="71"/>
      <c r="E54" s="71"/>
      <c r="F54" s="71"/>
    </row>
    <row r="55" spans="4:7" s="20" customFormat="1">
      <c r="D55" s="74" t="s">
        <v>199</v>
      </c>
      <c r="E55" s="75" t="s">
        <v>24</v>
      </c>
      <c r="F55" s="69" t="s">
        <v>703</v>
      </c>
      <c r="G55" s="366" t="s">
        <v>704</v>
      </c>
    </row>
    <row r="56" spans="4:7" s="20" customFormat="1">
      <c r="D56" s="76" t="s">
        <v>166</v>
      </c>
      <c r="E56" s="77" t="s">
        <v>167</v>
      </c>
      <c r="F56" s="424">
        <f>G56/$E$7</f>
        <v>0.253</v>
      </c>
      <c r="G56" s="423">
        <v>0.253</v>
      </c>
    </row>
    <row r="57" spans="4:7" s="20" customFormat="1">
      <c r="D57" s="63" t="s">
        <v>168</v>
      </c>
      <c r="E57" s="64" t="s">
        <v>169</v>
      </c>
      <c r="F57" s="424">
        <f t="shared" ref="F57:F65" si="0">G57/$E$7</f>
        <v>0</v>
      </c>
      <c r="G57" s="423"/>
    </row>
    <row r="58" spans="4:7" s="20" customFormat="1">
      <c r="D58" s="63" t="s">
        <v>170</v>
      </c>
      <c r="E58" s="64" t="s">
        <v>171</v>
      </c>
      <c r="F58" s="424">
        <f t="shared" si="0"/>
        <v>0.56200000000000006</v>
      </c>
      <c r="G58" s="423">
        <v>0.56200000000000006</v>
      </c>
    </row>
    <row r="59" spans="4:7" s="20" customFormat="1">
      <c r="D59" s="63" t="s">
        <v>172</v>
      </c>
      <c r="E59" s="64" t="s">
        <v>173</v>
      </c>
      <c r="F59" s="424">
        <f t="shared" si="0"/>
        <v>0</v>
      </c>
      <c r="G59" s="423"/>
    </row>
    <row r="60" spans="4:7" s="20" customFormat="1">
      <c r="D60" s="63" t="s">
        <v>174</v>
      </c>
      <c r="E60" s="64" t="s">
        <v>175</v>
      </c>
      <c r="F60" s="424">
        <f t="shared" si="0"/>
        <v>0</v>
      </c>
      <c r="G60" s="423"/>
    </row>
    <row r="61" spans="4:7" s="20" customFormat="1">
      <c r="D61" s="63" t="s">
        <v>176</v>
      </c>
      <c r="E61" s="64" t="s">
        <v>177</v>
      </c>
      <c r="F61" s="424">
        <f t="shared" si="0"/>
        <v>0</v>
      </c>
      <c r="G61" s="423"/>
    </row>
    <row r="62" spans="4:7" s="20" customFormat="1">
      <c r="D62" s="63" t="s">
        <v>178</v>
      </c>
      <c r="E62" s="64" t="s">
        <v>179</v>
      </c>
      <c r="F62" s="424">
        <f t="shared" si="0"/>
        <v>0</v>
      </c>
      <c r="G62" s="423"/>
    </row>
    <row r="63" spans="4:7" s="20" customFormat="1">
      <c r="D63" s="63" t="s">
        <v>207</v>
      </c>
      <c r="E63" s="64" t="s">
        <v>204</v>
      </c>
      <c r="F63" s="424">
        <f t="shared" si="0"/>
        <v>0.11700000000000001</v>
      </c>
      <c r="G63" s="423">
        <v>0.11700000000000001</v>
      </c>
    </row>
    <row r="64" spans="4:7" s="20" customFormat="1">
      <c r="D64" s="63" t="s">
        <v>208</v>
      </c>
      <c r="E64" s="64" t="s">
        <v>205</v>
      </c>
      <c r="F64" s="424">
        <f t="shared" si="0"/>
        <v>3.5999999999999997E-2</v>
      </c>
      <c r="G64" s="423">
        <v>3.5999999999999997E-2</v>
      </c>
    </row>
    <row r="65" spans="4:7" s="20" customFormat="1">
      <c r="D65" s="63" t="s">
        <v>671</v>
      </c>
      <c r="E65" s="64" t="s">
        <v>206</v>
      </c>
      <c r="F65" s="424">
        <f t="shared" si="0"/>
        <v>2.5999999999999999E-2</v>
      </c>
      <c r="G65" s="423">
        <v>2.5999999999999999E-2</v>
      </c>
    </row>
    <row r="66" spans="4:7" s="20" customFormat="1">
      <c r="D66" s="65" t="s">
        <v>180</v>
      </c>
      <c r="E66" s="66" t="s">
        <v>181</v>
      </c>
      <c r="F66" s="425">
        <f>IF(SUM(F56:F65)&gt;1, "Erro! &gt;100%", 1-(SUM(F56:F65)))</f>
        <v>5.9999999999998943E-3</v>
      </c>
    </row>
    <row r="67" spans="4:7" s="20" customFormat="1">
      <c r="D67" s="67" t="s">
        <v>182</v>
      </c>
      <c r="E67" s="68" t="s">
        <v>183</v>
      </c>
      <c r="F67" s="69">
        <f>((F56*0.4)+(F57*0.24)+(F58*0.15)+(F59*0.43)+(F60*0.2)+(F61*0.24)+(F62*0.39))</f>
        <v>0.1855</v>
      </c>
    </row>
    <row r="68" spans="4:7" s="20" customFormat="1">
      <c r="F68" s="93"/>
    </row>
  </sheetData>
  <mergeCells count="1">
    <mergeCell ref="B6:C6"/>
  </mergeCells>
  <conditionalFormatting sqref="F66">
    <cfRule type="cellIs" dxfId="4" priority="6" stopIfTrue="1" operator="equal">
      <formula>"Erro! &gt;100%"</formula>
    </cfRule>
  </conditionalFormatting>
  <dataValidations count="1">
    <dataValidation type="decimal" operator="lessThanOrEqual" allowBlank="1" showInputMessage="1" showErrorMessage="1" errorTitle="Entre com um número válido!" error="Entre com uma porcentagem entre 0 e 100%." sqref="F56:G65" xr:uid="{00000000-0002-0000-0900-000000000000}">
      <formula1>1</formula1>
    </dataValidation>
  </dataValidations>
  <hyperlinks>
    <hyperlink ref="C18" location="Referencias!A1" display="Referências" xr:uid="{00000000-0004-0000-0900-000000000000}"/>
    <hyperlink ref="M6" location="Inicio!A1" display="Início" xr:uid="{00000000-0004-0000-0900-000001000000}"/>
  </hyperlinks>
  <pageMargins left="0.511811024" right="0.511811024" top="0.78740157499999996" bottom="0.78740157499999996" header="0.31496062000000002" footer="0.31496062000000002"/>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9DB30-2AD2-1542-8DF6-6C185AF98B50}">
  <sheetPr>
    <tabColor theme="6"/>
  </sheetPr>
  <dimension ref="B6:AM68"/>
  <sheetViews>
    <sheetView showGridLines="0" topLeftCell="A46" zoomScaleNormal="100" zoomScalePageLayoutView="200" workbookViewId="0">
      <selection activeCell="K68" sqref="K68"/>
    </sheetView>
  </sheetViews>
  <sheetFormatPr defaultColWidth="8.77734375" defaultRowHeight="14.4"/>
  <cols>
    <col min="2" max="2" width="14.44140625" bestFit="1" customWidth="1"/>
    <col min="3" max="3" width="12.109375" style="20" customWidth="1"/>
    <col min="4" max="4" width="32.109375" style="20" customWidth="1"/>
    <col min="5" max="5" width="15" style="20" bestFit="1" customWidth="1"/>
    <col min="6" max="6" width="19.77734375" style="20" customWidth="1"/>
    <col min="7" max="7" width="23.6640625" style="20" customWidth="1"/>
    <col min="8" max="13" width="8.77734375" style="20"/>
    <col min="14" max="14" width="49.6640625" style="20" customWidth="1"/>
    <col min="15" max="39" width="8.77734375" style="20"/>
  </cols>
  <sheetData>
    <row r="6" spans="2:14" ht="23.4">
      <c r="B6" s="485" t="s">
        <v>678</v>
      </c>
      <c r="C6" s="485"/>
      <c r="M6" s="192" t="s">
        <v>299</v>
      </c>
    </row>
    <row r="7" spans="2:14" s="20" customFormat="1">
      <c r="D7" s="175" t="s">
        <v>136</v>
      </c>
      <c r="E7" s="78">
        <v>1</v>
      </c>
    </row>
    <row r="8" spans="2:14" s="20" customFormat="1" ht="15.6">
      <c r="C8" s="84" t="s">
        <v>309</v>
      </c>
      <c r="D8" s="183" t="s">
        <v>291</v>
      </c>
      <c r="E8" s="15">
        <v>0.9</v>
      </c>
      <c r="F8" s="14" t="s">
        <v>126</v>
      </c>
      <c r="G8" s="21"/>
      <c r="H8" s="22"/>
      <c r="I8" s="13"/>
      <c r="J8" s="13"/>
      <c r="K8" s="23"/>
      <c r="L8" s="24"/>
      <c r="M8" s="24"/>
      <c r="N8" s="24"/>
    </row>
    <row r="9" spans="2:14" s="20" customFormat="1" ht="15.6">
      <c r="D9" s="183" t="s">
        <v>127</v>
      </c>
      <c r="E9" s="15">
        <v>0</v>
      </c>
      <c r="F9" s="14" t="s">
        <v>128</v>
      </c>
      <c r="G9" s="21"/>
      <c r="H9" s="22"/>
      <c r="I9" s="13"/>
      <c r="J9" s="13"/>
      <c r="K9" s="23"/>
      <c r="L9" s="24"/>
      <c r="M9" s="24"/>
      <c r="N9" s="24"/>
    </row>
    <row r="10" spans="2:14" s="20" customFormat="1" ht="15.6">
      <c r="D10" s="183" t="s">
        <v>129</v>
      </c>
      <c r="E10" s="16">
        <f>16/12</f>
        <v>1.3333333333333333</v>
      </c>
      <c r="F10" s="14" t="s">
        <v>130</v>
      </c>
      <c r="G10" s="21"/>
      <c r="H10" s="22"/>
      <c r="I10" s="13"/>
      <c r="J10" s="13"/>
      <c r="K10" s="23"/>
      <c r="L10" s="24"/>
      <c r="M10" s="24"/>
      <c r="N10" s="24"/>
    </row>
    <row r="11" spans="2:14" s="20" customFormat="1" ht="15.6">
      <c r="D11" s="183" t="s">
        <v>131</v>
      </c>
      <c r="E11" s="15">
        <v>0.5</v>
      </c>
      <c r="F11" s="14" t="s">
        <v>132</v>
      </c>
      <c r="G11" s="21"/>
      <c r="H11" s="22"/>
      <c r="I11" s="13"/>
      <c r="J11" s="13"/>
      <c r="K11" s="23"/>
      <c r="L11" s="24"/>
      <c r="M11" s="24"/>
      <c r="N11" s="24"/>
    </row>
    <row r="12" spans="2:14" s="20" customFormat="1" ht="16.2">
      <c r="D12" s="183" t="s">
        <v>292</v>
      </c>
      <c r="E12" s="17">
        <v>0.5</v>
      </c>
      <c r="F12" s="14" t="s">
        <v>133</v>
      </c>
      <c r="G12" s="21"/>
      <c r="H12" s="22"/>
      <c r="I12" s="13"/>
      <c r="J12" s="13"/>
      <c r="K12" s="23"/>
      <c r="L12" s="24"/>
      <c r="M12" s="24"/>
      <c r="N12" s="24"/>
    </row>
    <row r="13" spans="2:14" s="20" customFormat="1" ht="15.6">
      <c r="D13" s="183" t="s">
        <v>134</v>
      </c>
      <c r="E13" s="15">
        <v>1</v>
      </c>
      <c r="F13" s="14" t="s">
        <v>128</v>
      </c>
      <c r="G13" s="21"/>
      <c r="H13" s="22"/>
      <c r="I13" s="13"/>
      <c r="J13" s="13"/>
      <c r="K13" s="23"/>
      <c r="L13" s="24"/>
      <c r="M13" s="24"/>
      <c r="N13" s="24"/>
    </row>
    <row r="14" spans="2:14" s="20" customFormat="1" ht="16.2">
      <c r="D14" s="183" t="s">
        <v>293</v>
      </c>
      <c r="E14" s="16">
        <f>F67</f>
        <v>0.1855</v>
      </c>
      <c r="F14" s="14" t="s">
        <v>135</v>
      </c>
      <c r="G14" s="21"/>
      <c r="H14" s="22"/>
      <c r="I14" s="13"/>
      <c r="J14" s="13"/>
      <c r="K14" s="23"/>
      <c r="L14" s="24"/>
      <c r="M14" s="24"/>
      <c r="N14" s="24"/>
    </row>
    <row r="15" spans="2:14" s="20" customFormat="1" ht="15.6">
      <c r="D15" s="183" t="s">
        <v>137</v>
      </c>
      <c r="E15" s="80">
        <f>E7*E8*(1-E9)*E10*E11*E12*E13*E14</f>
        <v>5.5649999999999998E-2</v>
      </c>
      <c r="F15" s="14" t="s">
        <v>184</v>
      </c>
      <c r="G15" s="41"/>
      <c r="H15" s="41"/>
      <c r="I15" s="13"/>
      <c r="J15" s="13"/>
      <c r="K15" s="42"/>
      <c r="L15" s="42"/>
      <c r="M15" s="42"/>
      <c r="N15" s="42"/>
    </row>
    <row r="16" spans="2:14" s="20" customFormat="1" ht="15.6">
      <c r="D16" s="183" t="s">
        <v>138</v>
      </c>
      <c r="E16" s="80">
        <f>E15*25</f>
        <v>1.3912499999999999</v>
      </c>
      <c r="F16" s="14" t="s">
        <v>185</v>
      </c>
      <c r="G16" s="41"/>
      <c r="H16" s="41"/>
      <c r="I16" s="13"/>
      <c r="J16" s="13"/>
      <c r="K16" s="42"/>
      <c r="L16" s="42"/>
      <c r="M16" s="42"/>
      <c r="N16" s="42"/>
    </row>
    <row r="17" spans="3:14" s="20" customFormat="1"/>
    <row r="18" spans="3:14" s="20" customFormat="1" ht="15.6">
      <c r="C18" s="186" t="s">
        <v>11</v>
      </c>
      <c r="D18" s="25" t="s">
        <v>107</v>
      </c>
      <c r="E18" s="26"/>
      <c r="F18" s="11"/>
      <c r="G18" s="23"/>
      <c r="H18" s="24"/>
      <c r="I18" s="24"/>
      <c r="J18" s="24"/>
      <c r="K18" s="24"/>
      <c r="L18" s="24"/>
      <c r="M18" s="24"/>
      <c r="N18" s="24"/>
    </row>
    <row r="19" spans="3:14" s="20" customFormat="1" ht="18">
      <c r="D19" s="25" t="s">
        <v>108</v>
      </c>
      <c r="E19" s="26"/>
      <c r="F19" s="11"/>
      <c r="G19" s="23"/>
      <c r="H19" s="24"/>
      <c r="I19" s="24"/>
      <c r="J19" s="24"/>
      <c r="K19" s="24"/>
      <c r="L19" s="24"/>
      <c r="M19" s="24"/>
      <c r="N19" s="24"/>
    </row>
    <row r="20" spans="3:14" s="20" customFormat="1" ht="15.6">
      <c r="D20" s="27"/>
      <c r="E20" s="26"/>
      <c r="F20" s="11"/>
      <c r="G20" s="23"/>
      <c r="H20" s="24"/>
      <c r="I20" s="24"/>
      <c r="J20" s="24"/>
      <c r="K20" s="24"/>
      <c r="L20" s="24"/>
      <c r="M20" s="24"/>
      <c r="N20" s="24"/>
    </row>
    <row r="21" spans="3:14" s="20" customFormat="1" ht="15.6">
      <c r="D21" s="27"/>
      <c r="E21" s="26"/>
      <c r="F21" s="11"/>
      <c r="G21" s="23"/>
      <c r="H21" s="24"/>
      <c r="I21" s="24"/>
      <c r="J21" s="24"/>
      <c r="K21" s="24"/>
      <c r="L21" s="24"/>
      <c r="M21" s="24"/>
      <c r="N21" s="24"/>
    </row>
    <row r="22" spans="3:14" s="20" customFormat="1" ht="15.6">
      <c r="D22" s="27"/>
      <c r="E22" s="26"/>
      <c r="F22" s="11"/>
      <c r="G22" s="23"/>
      <c r="H22" s="24"/>
      <c r="I22" s="24"/>
      <c r="J22" s="24"/>
      <c r="K22" s="24"/>
      <c r="L22" s="24"/>
      <c r="M22" s="24"/>
      <c r="N22" s="24"/>
    </row>
    <row r="23" spans="3:14" s="20" customFormat="1" ht="15.6">
      <c r="D23" s="27" t="s">
        <v>109</v>
      </c>
      <c r="E23" s="26"/>
      <c r="F23" s="11"/>
      <c r="G23" s="23"/>
      <c r="H23" s="24"/>
      <c r="I23" s="24"/>
      <c r="J23" s="24"/>
      <c r="K23" s="24"/>
      <c r="L23" s="24"/>
      <c r="M23" s="24"/>
      <c r="N23" s="24"/>
    </row>
    <row r="24" spans="3:14" s="20" customFormat="1" ht="15.6">
      <c r="D24" s="27"/>
      <c r="E24" s="26"/>
      <c r="F24" s="11"/>
      <c r="G24" s="23"/>
      <c r="H24" s="24"/>
      <c r="I24" s="24"/>
      <c r="J24" s="24"/>
      <c r="K24" s="24"/>
      <c r="L24" s="24"/>
      <c r="M24" s="24"/>
      <c r="N24" s="24"/>
    </row>
    <row r="25" spans="3:14" s="20" customFormat="1" ht="16.2">
      <c r="D25" s="12" t="s">
        <v>110</v>
      </c>
      <c r="E25" s="26"/>
      <c r="F25" s="11"/>
      <c r="G25" s="23"/>
      <c r="H25" s="24"/>
      <c r="I25" s="24"/>
      <c r="J25" s="24"/>
      <c r="K25" s="24"/>
      <c r="L25" s="24"/>
      <c r="M25" s="24"/>
      <c r="N25" s="24"/>
    </row>
    <row r="26" spans="3:14" s="20" customFormat="1" ht="15.6">
      <c r="D26" s="12" t="s">
        <v>111</v>
      </c>
      <c r="E26" s="26"/>
      <c r="F26" s="11"/>
      <c r="G26" s="23"/>
      <c r="H26" s="24"/>
      <c r="I26" s="24"/>
      <c r="J26" s="24"/>
      <c r="K26" s="24"/>
      <c r="L26" s="24"/>
      <c r="M26" s="24"/>
      <c r="N26" s="24"/>
    </row>
    <row r="27" spans="3:14" s="20" customFormat="1" ht="15.6">
      <c r="D27" s="12" t="s">
        <v>112</v>
      </c>
      <c r="E27" s="26"/>
      <c r="F27" s="11"/>
      <c r="G27" s="23"/>
      <c r="H27" s="24"/>
      <c r="I27" s="24"/>
      <c r="J27" s="24"/>
      <c r="K27" s="24"/>
      <c r="L27" s="24"/>
      <c r="M27" s="24"/>
      <c r="N27" s="24"/>
    </row>
    <row r="28" spans="3:14" s="20" customFormat="1" ht="16.2">
      <c r="D28" s="12" t="s">
        <v>113</v>
      </c>
      <c r="E28" s="26"/>
      <c r="F28" s="11"/>
      <c r="G28" s="23"/>
      <c r="H28" s="24"/>
      <c r="I28" s="24"/>
      <c r="J28" s="24"/>
      <c r="K28" s="24"/>
      <c r="L28" s="24"/>
      <c r="M28" s="24"/>
      <c r="N28" s="24"/>
    </row>
    <row r="29" spans="3:14" s="20" customFormat="1" ht="15.6">
      <c r="D29" s="12" t="s">
        <v>114</v>
      </c>
      <c r="E29" s="26"/>
      <c r="F29" s="11"/>
      <c r="G29" s="23"/>
      <c r="H29" s="24"/>
      <c r="I29" s="24"/>
      <c r="J29" s="24"/>
      <c r="K29" s="24"/>
      <c r="L29" s="24"/>
      <c r="M29" s="24"/>
      <c r="N29" s="24"/>
    </row>
    <row r="30" spans="3:14" s="20" customFormat="1" ht="15.6">
      <c r="D30" s="12" t="s">
        <v>115</v>
      </c>
      <c r="E30" s="26"/>
      <c r="F30" s="11"/>
      <c r="G30" s="23"/>
      <c r="H30" s="24"/>
      <c r="I30" s="24"/>
      <c r="J30" s="24"/>
      <c r="K30" s="24"/>
      <c r="L30" s="24"/>
      <c r="M30" s="24"/>
      <c r="N30" s="24"/>
    </row>
    <row r="31" spans="3:14" s="20" customFormat="1" ht="16.2">
      <c r="D31" s="12" t="s">
        <v>116</v>
      </c>
      <c r="E31" s="26"/>
      <c r="F31" s="11"/>
      <c r="G31" s="23"/>
      <c r="H31" s="24"/>
      <c r="I31" s="24"/>
      <c r="J31" s="24"/>
      <c r="K31" s="24"/>
      <c r="L31" s="24"/>
      <c r="M31" s="24"/>
      <c r="N31" s="24"/>
    </row>
    <row r="32" spans="3:14" s="20" customFormat="1" ht="15.6">
      <c r="D32" s="12" t="s">
        <v>117</v>
      </c>
      <c r="E32" s="26"/>
      <c r="F32" s="11"/>
      <c r="G32" s="23"/>
      <c r="H32" s="24"/>
      <c r="I32" s="24"/>
      <c r="J32" s="24"/>
      <c r="K32" s="24"/>
      <c r="L32" s="24"/>
      <c r="M32" s="24"/>
      <c r="N32" s="24"/>
    </row>
    <row r="33" spans="3:14" s="20" customFormat="1" ht="15.6">
      <c r="D33" s="12" t="s">
        <v>123</v>
      </c>
      <c r="E33" s="26"/>
      <c r="F33" s="11"/>
      <c r="G33" s="23"/>
      <c r="H33" s="24"/>
      <c r="I33" s="24"/>
      <c r="J33" s="24"/>
      <c r="K33" s="24"/>
      <c r="L33" s="24"/>
      <c r="M33" s="24"/>
      <c r="N33" s="24"/>
    </row>
    <row r="34" spans="3:14" s="20" customFormat="1" ht="15.6">
      <c r="D34" s="12" t="s">
        <v>121</v>
      </c>
      <c r="E34" s="26"/>
      <c r="F34" s="11"/>
      <c r="G34" s="23"/>
      <c r="H34" s="24"/>
      <c r="I34" s="24"/>
      <c r="J34" s="24"/>
      <c r="K34" s="24"/>
      <c r="L34" s="24"/>
      <c r="M34" s="24"/>
      <c r="N34" s="24"/>
    </row>
    <row r="35" spans="3:14" s="20" customFormat="1" ht="16.2">
      <c r="D35" s="12" t="s">
        <v>118</v>
      </c>
      <c r="E35" s="26"/>
      <c r="F35" s="11"/>
      <c r="G35" s="23"/>
      <c r="H35" s="24"/>
      <c r="I35" s="24"/>
      <c r="J35" s="24"/>
      <c r="K35" s="24"/>
      <c r="L35" s="24"/>
      <c r="M35" s="24"/>
      <c r="N35" s="24"/>
    </row>
    <row r="36" spans="3:14" s="20" customFormat="1" ht="16.2">
      <c r="D36" s="12" t="s">
        <v>119</v>
      </c>
      <c r="E36" s="26"/>
      <c r="F36" s="11"/>
      <c r="G36" s="23"/>
      <c r="H36" s="24"/>
      <c r="I36" s="24"/>
      <c r="J36" s="24"/>
      <c r="K36" s="24"/>
      <c r="L36" s="24"/>
      <c r="M36" s="24"/>
      <c r="N36" s="24"/>
    </row>
    <row r="37" spans="3:14" s="20" customFormat="1" ht="15.6">
      <c r="D37" s="12" t="s">
        <v>122</v>
      </c>
      <c r="E37" s="26"/>
      <c r="F37" s="11"/>
      <c r="G37" s="23"/>
      <c r="H37" s="24"/>
      <c r="I37" s="24"/>
      <c r="J37" s="24"/>
      <c r="K37" s="24"/>
      <c r="L37" s="24"/>
      <c r="M37" s="24"/>
      <c r="N37" s="24"/>
    </row>
    <row r="38" spans="3:14" s="20" customFormat="1" ht="16.2">
      <c r="D38" s="12" t="s">
        <v>120</v>
      </c>
      <c r="E38" s="26"/>
      <c r="F38" s="11"/>
      <c r="G38" s="23"/>
      <c r="H38" s="24"/>
      <c r="I38" s="24"/>
      <c r="J38" s="24"/>
      <c r="K38" s="24"/>
      <c r="L38" s="24"/>
      <c r="M38" s="24"/>
      <c r="N38" s="24"/>
    </row>
    <row r="40" spans="3:14" s="20" customFormat="1" ht="15.6">
      <c r="D40" s="27"/>
      <c r="E40" s="26"/>
      <c r="F40" s="11"/>
      <c r="G40" s="28"/>
      <c r="H40" s="29"/>
      <c r="I40" s="29"/>
      <c r="J40" s="29"/>
      <c r="K40" s="29"/>
      <c r="L40" s="29"/>
      <c r="M40" s="29"/>
      <c r="N40" s="426"/>
    </row>
    <row r="41" spans="3:14" s="20" customFormat="1" ht="18">
      <c r="C41" s="84" t="s">
        <v>12</v>
      </c>
      <c r="D41" s="30" t="s">
        <v>124</v>
      </c>
      <c r="E41" s="31"/>
      <c r="F41" s="18"/>
      <c r="G41" s="32"/>
      <c r="H41" s="33"/>
      <c r="I41" s="33"/>
      <c r="J41" s="33"/>
      <c r="K41" s="33"/>
      <c r="L41" s="33"/>
      <c r="M41" s="428"/>
      <c r="N41" s="427"/>
    </row>
    <row r="42" spans="3:14" s="20" customFormat="1" ht="15.6">
      <c r="D42" s="34" t="s">
        <v>125</v>
      </c>
      <c r="E42" s="35"/>
      <c r="F42" s="19"/>
      <c r="G42" s="36"/>
      <c r="H42" s="37"/>
      <c r="I42" s="37"/>
      <c r="J42" s="37"/>
      <c r="K42" s="37"/>
      <c r="L42" s="37"/>
      <c r="M42" s="429"/>
      <c r="N42" s="427"/>
    </row>
    <row r="43" spans="3:14" s="20" customFormat="1" ht="15.6">
      <c r="D43" s="27"/>
      <c r="E43" s="26"/>
      <c r="F43" s="11"/>
      <c r="G43" s="38"/>
      <c r="H43" s="39"/>
      <c r="I43" s="39"/>
      <c r="J43" s="39"/>
      <c r="K43" s="39"/>
      <c r="L43" s="39"/>
      <c r="M43" s="39"/>
      <c r="N43" s="39"/>
    </row>
    <row r="44" spans="3:14" s="20" customFormat="1" ht="15.6">
      <c r="D44" s="27"/>
      <c r="E44" s="26"/>
      <c r="F44" s="11"/>
      <c r="G44" s="23"/>
      <c r="H44" s="24"/>
      <c r="I44" s="24"/>
      <c r="J44" s="24"/>
      <c r="K44" s="24"/>
      <c r="L44" s="24"/>
      <c r="M44" s="24"/>
      <c r="N44" s="24"/>
    </row>
    <row r="45" spans="3:14" s="20" customFormat="1" ht="15.6">
      <c r="D45" s="27"/>
      <c r="E45" s="26"/>
      <c r="F45" s="11"/>
      <c r="G45" s="23"/>
      <c r="H45" s="24"/>
      <c r="I45" s="29"/>
      <c r="J45" s="29"/>
      <c r="K45" s="24"/>
      <c r="L45" s="24"/>
      <c r="M45" s="24"/>
      <c r="N45" s="24"/>
    </row>
    <row r="46" spans="3:14" s="20" customFormat="1" ht="15.6">
      <c r="D46" s="27"/>
      <c r="E46" s="26"/>
      <c r="F46" s="11"/>
      <c r="G46" s="23"/>
      <c r="H46" s="40"/>
      <c r="I46" s="13"/>
      <c r="J46" s="13"/>
      <c r="K46" s="23"/>
      <c r="L46" s="24"/>
      <c r="M46" s="24"/>
      <c r="N46" s="24"/>
    </row>
    <row r="47" spans="3:14" s="20" customFormat="1"/>
    <row r="48" spans="3:14" s="20" customFormat="1"/>
    <row r="49" spans="4:7" s="20" customFormat="1">
      <c r="D49" s="70"/>
      <c r="E49" s="71"/>
      <c r="F49" s="72"/>
    </row>
    <row r="50" spans="4:7" s="20" customFormat="1">
      <c r="D50" s="73" t="s">
        <v>161</v>
      </c>
      <c r="E50" s="71"/>
      <c r="F50" s="72"/>
    </row>
    <row r="51" spans="4:7" s="20" customFormat="1">
      <c r="D51" s="73" t="s">
        <v>162</v>
      </c>
      <c r="E51" s="71"/>
      <c r="F51" s="72"/>
    </row>
    <row r="52" spans="4:7" s="20" customFormat="1">
      <c r="D52" s="73" t="s">
        <v>163</v>
      </c>
      <c r="E52" s="71"/>
      <c r="F52" s="72"/>
    </row>
    <row r="53" spans="4:7" s="20" customFormat="1" ht="15.6">
      <c r="D53" s="73" t="s">
        <v>164</v>
      </c>
      <c r="E53" s="71"/>
      <c r="F53" s="72"/>
    </row>
    <row r="54" spans="4:7" s="20" customFormat="1">
      <c r="D54" s="71"/>
      <c r="E54" s="71"/>
      <c r="F54" s="71"/>
    </row>
    <row r="55" spans="4:7" s="20" customFormat="1">
      <c r="D55" s="74" t="s">
        <v>199</v>
      </c>
      <c r="E55" s="75" t="s">
        <v>24</v>
      </c>
      <c r="F55" s="69" t="s">
        <v>703</v>
      </c>
      <c r="G55" s="366" t="s">
        <v>704</v>
      </c>
    </row>
    <row r="56" spans="4:7" s="20" customFormat="1">
      <c r="D56" s="76" t="s">
        <v>166</v>
      </c>
      <c r="E56" s="77" t="s">
        <v>167</v>
      </c>
      <c r="F56" s="424">
        <f>G56/$E$7</f>
        <v>0.253</v>
      </c>
      <c r="G56" s="423">
        <v>0.253</v>
      </c>
    </row>
    <row r="57" spans="4:7" s="20" customFormat="1">
      <c r="D57" s="63" t="s">
        <v>168</v>
      </c>
      <c r="E57" s="64" t="s">
        <v>169</v>
      </c>
      <c r="F57" s="424">
        <f t="shared" ref="F57:F65" si="0">G57/$E$7</f>
        <v>0</v>
      </c>
      <c r="G57" s="423"/>
    </row>
    <row r="58" spans="4:7" s="20" customFormat="1">
      <c r="D58" s="63" t="s">
        <v>170</v>
      </c>
      <c r="E58" s="64" t="s">
        <v>171</v>
      </c>
      <c r="F58" s="424">
        <f t="shared" si="0"/>
        <v>0.56200000000000006</v>
      </c>
      <c r="G58" s="423">
        <v>0.56200000000000006</v>
      </c>
    </row>
    <row r="59" spans="4:7" s="20" customFormat="1">
      <c r="D59" s="63" t="s">
        <v>172</v>
      </c>
      <c r="E59" s="64" t="s">
        <v>173</v>
      </c>
      <c r="F59" s="424">
        <f t="shared" si="0"/>
        <v>0</v>
      </c>
      <c r="G59" s="423"/>
    </row>
    <row r="60" spans="4:7" s="20" customFormat="1">
      <c r="D60" s="63" t="s">
        <v>174</v>
      </c>
      <c r="E60" s="64" t="s">
        <v>175</v>
      </c>
      <c r="F60" s="424">
        <f t="shared" si="0"/>
        <v>0</v>
      </c>
      <c r="G60" s="423"/>
    </row>
    <row r="61" spans="4:7" s="20" customFormat="1">
      <c r="D61" s="63" t="s">
        <v>176</v>
      </c>
      <c r="E61" s="64" t="s">
        <v>177</v>
      </c>
      <c r="F61" s="424">
        <f t="shared" si="0"/>
        <v>0</v>
      </c>
      <c r="G61" s="423"/>
    </row>
    <row r="62" spans="4:7" s="20" customFormat="1">
      <c r="D62" s="63" t="s">
        <v>178</v>
      </c>
      <c r="E62" s="64" t="s">
        <v>179</v>
      </c>
      <c r="F62" s="424">
        <f t="shared" si="0"/>
        <v>0</v>
      </c>
      <c r="G62" s="423"/>
    </row>
    <row r="63" spans="4:7" s="20" customFormat="1">
      <c r="D63" s="63" t="s">
        <v>207</v>
      </c>
      <c r="E63" s="64" t="s">
        <v>204</v>
      </c>
      <c r="F63" s="424">
        <f t="shared" si="0"/>
        <v>0.11700000000000001</v>
      </c>
      <c r="G63" s="423">
        <v>0.11700000000000001</v>
      </c>
    </row>
    <row r="64" spans="4:7" s="20" customFormat="1">
      <c r="D64" s="63" t="s">
        <v>208</v>
      </c>
      <c r="E64" s="64" t="s">
        <v>205</v>
      </c>
      <c r="F64" s="424">
        <f t="shared" si="0"/>
        <v>3.5999999999999997E-2</v>
      </c>
      <c r="G64" s="423">
        <v>3.5999999999999997E-2</v>
      </c>
    </row>
    <row r="65" spans="4:7" s="20" customFormat="1">
      <c r="D65" s="63" t="s">
        <v>671</v>
      </c>
      <c r="E65" s="64" t="s">
        <v>206</v>
      </c>
      <c r="F65" s="424">
        <f t="shared" si="0"/>
        <v>2.5999999999999999E-2</v>
      </c>
      <c r="G65" s="423">
        <v>2.5999999999999999E-2</v>
      </c>
    </row>
    <row r="66" spans="4:7" s="20" customFormat="1">
      <c r="D66" s="65" t="s">
        <v>180</v>
      </c>
      <c r="E66" s="66" t="s">
        <v>181</v>
      </c>
      <c r="F66" s="425">
        <f>IF(SUM(F56:F65)&gt;1, "Erro! &gt;100%", 1-(SUM(F56:F65)))</f>
        <v>5.9999999999998943E-3</v>
      </c>
    </row>
    <row r="67" spans="4:7" s="20" customFormat="1">
      <c r="D67" s="67" t="s">
        <v>182</v>
      </c>
      <c r="E67" s="68" t="s">
        <v>183</v>
      </c>
      <c r="F67" s="69">
        <f>((F56*0.4)+(F57*0.24)+(F58*0.15)+(F59*0.43)+(F60*0.2)+(F61*0.24)+(F62*0.39))</f>
        <v>0.1855</v>
      </c>
    </row>
    <row r="68" spans="4:7" s="20" customFormat="1">
      <c r="F68" s="93"/>
    </row>
  </sheetData>
  <mergeCells count="1">
    <mergeCell ref="B6:C6"/>
  </mergeCells>
  <conditionalFormatting sqref="F66">
    <cfRule type="cellIs" dxfId="3" priority="1" stopIfTrue="1" operator="equal">
      <formula>"Erro! &gt;100%"</formula>
    </cfRule>
  </conditionalFormatting>
  <dataValidations disablePrompts="1" count="1">
    <dataValidation type="decimal" operator="lessThanOrEqual" allowBlank="1" showInputMessage="1" showErrorMessage="1" errorTitle="Entre com um número válido!" error="Entre com uma porcentagem entre 0 e 100%." sqref="F56:G65" xr:uid="{BE090DBE-1F39-4A42-A6A1-CC59558FF339}">
      <formula1>1</formula1>
    </dataValidation>
  </dataValidations>
  <hyperlinks>
    <hyperlink ref="C18" location="Referencias!A1" display="Referências" xr:uid="{503E75FD-1BE3-9A4B-BC00-5470630A5235}"/>
    <hyperlink ref="M6" location="Inicio!A1" display="Início" xr:uid="{B3A7415B-0768-1843-99A3-6F939E59088A}"/>
  </hyperlinks>
  <pageMargins left="0.511811024" right="0.511811024" top="0.78740157499999996" bottom="0.78740157499999996" header="0.31496062000000002" footer="0.31496062000000002"/>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20</vt:i4>
      </vt:variant>
    </vt:vector>
  </HeadingPairs>
  <TitlesOfParts>
    <vt:vector size="20" baseType="lpstr">
      <vt:lpstr>Inicio</vt:lpstr>
      <vt:lpstr>Gap e Considerações</vt:lpstr>
      <vt:lpstr>CalculotCO2e</vt:lpstr>
      <vt:lpstr>Energia</vt:lpstr>
      <vt:lpstr>Efluentes</vt:lpstr>
      <vt:lpstr>GasesRefrigerantes</vt:lpstr>
      <vt:lpstr>Combustivel</vt:lpstr>
      <vt:lpstr>Residuos (A)</vt:lpstr>
      <vt:lpstr>Residuos (M)</vt:lpstr>
      <vt:lpstr>Compostagem</vt:lpstr>
      <vt:lpstr>Transp. Carga (E)</vt:lpstr>
      <vt:lpstr>Transp. Carga (S)</vt:lpstr>
      <vt:lpstr>Transp. Pessoas</vt:lpstr>
      <vt:lpstr>Painel Solar</vt:lpstr>
      <vt:lpstr>Tratamento Térmico (A)</vt:lpstr>
      <vt:lpstr>Tratamento Térmico (M)</vt:lpstr>
      <vt:lpstr>Residuos Reciclados (A)</vt:lpstr>
      <vt:lpstr>Residuos Reciclados (M)</vt:lpstr>
      <vt:lpstr>Referencias</vt:lpstr>
      <vt:lpstr>Comunicação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PersonalCO2Zero</dc:creator>
  <cp:keywords/>
  <dc:description/>
  <cp:lastModifiedBy>Vagner Castro</cp:lastModifiedBy>
  <dcterms:created xsi:type="dcterms:W3CDTF">2015-05-14T17:05:23Z</dcterms:created>
  <dcterms:modified xsi:type="dcterms:W3CDTF">2021-11-11T22:39:29Z</dcterms:modified>
  <cp:category/>
</cp:coreProperties>
</file>