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est/Downloads/"/>
    </mc:Choice>
  </mc:AlternateContent>
  <xr:revisionPtr revIDLastSave="0" documentId="13_ncr:1_{98A0899C-8BAE-0641-8DD1-5A243C538252}" xr6:coauthVersionLast="47" xr6:coauthVersionMax="47" xr10:uidLastSave="{00000000-0000-0000-0000-000000000000}"/>
  <bookViews>
    <workbookView xWindow="0" yWindow="500" windowWidth="28800" windowHeight="15840" tabRatio="875" activeTab="2" xr2:uid="{6D15F738-9FCC-4789-AF5B-E4EC9B968794}"/>
  </bookViews>
  <sheets>
    <sheet name="Cover page " sheetId="61" r:id="rId1"/>
    <sheet name="Raw Data" sheetId="2" r:id="rId2"/>
    <sheet name="IS normalized" sheetId="28" r:id="rId3"/>
    <sheet name="Decomposed SFP" sheetId="32" r:id="rId4"/>
    <sheet name="Assumptions" sheetId="48" r:id="rId5"/>
    <sheet name="CF" sheetId="4" r:id="rId6"/>
    <sheet name="Ratios Tables" sheetId="46" r:id="rId7"/>
    <sheet name="Cost of Capital" sheetId="49" r:id="rId8"/>
    <sheet name="Valution" sheetId="59" r:id="rId9"/>
    <sheet name="United Kingdom 10-Year Bond Yie" sheetId="55" state="hidden" r:id="rId10"/>
  </sheets>
  <externalReferences>
    <externalReference r:id="rId11"/>
    <externalReference r:id="rId12"/>
    <externalReference r:id="rId13"/>
  </externalReferences>
  <definedNames>
    <definedName name="__FDS_HYPERLINK_TOGGLE_STATE__" hidden="1">"ON"</definedName>
    <definedName name="_Analysis" hidden="1">#REF!</definedName>
    <definedName name="_Financials" hidden="1">#REF!</definedName>
    <definedName name="_Order1" hidden="1">0</definedName>
    <definedName name="Adj_EBITA_P2">'[1]Forecast Drivers'!$T$297:$AD$297</definedName>
    <definedName name="Capex">'[1]Forecast Drivers'!$E$72:$S$72</definedName>
    <definedName name="Cash">'[1]Forecast Drivers'!$E$199:$S$199</definedName>
    <definedName name="CashTax_P2">'[1]Forecast Drivers'!$T$299:$AD$299</definedName>
    <definedName name="Chart" localSheetId="4" hidden="1">{#N/A,#N/A,FALSE,"New Depr Sch-150% DB";#N/A,#N/A,FALSE,"Cash Flows RLP";#N/A,#N/A,FALSE,"IRR";#N/A,#N/A,FALSE,"Proforma IS";#N/A,#N/A,FALSE,"Assumptions"}</definedName>
    <definedName name="Chart" localSheetId="0" hidden="1">{#N/A,#N/A,FALSE,"New Depr Sch-150% DB";#N/A,#N/A,FALSE,"Cash Flows RLP";#N/A,#N/A,FALSE,"IRR";#N/A,#N/A,FALSE,"Proforma IS";#N/A,#N/A,FALSE,"Assumptions"}</definedName>
    <definedName name="Chart" hidden="1">{#N/A,#N/A,FALSE,"New Depr Sch-150% DB";#N/A,#N/A,FALSE,"Cash Flows RLP";#N/A,#N/A,FALSE,"IRR";#N/A,#N/A,FALSE,"Proforma IS";#N/A,#N/A,FALSE,"Assumptions"}</definedName>
    <definedName name="CIQWBGuid" hidden="1">"2cd8126d-26c3-430c-b7fa-a069e3a1fc62"</definedName>
    <definedName name="COGS">'[1]Forecast Drivers'!$E$31:$S$31</definedName>
    <definedName name="Company_name">'[2]General Information'!$E$10</definedName>
    <definedName name="Currency">'[1]Forecast Drivers'!$D$14</definedName>
    <definedName name="CVY">'[1]Forecast Drivers'!$O$338:$AD$338</definedName>
    <definedName name="CVY_Date">'[1]Forecast Drivers'!$D$13</definedName>
    <definedName name="Dates">'[1]Forecast Drivers'!$E$336:$AD$336</definedName>
    <definedName name="DefTax_Bal">'[1]Forecast Drivers'!$E$287:$S$287</definedName>
    <definedName name="DefTax_Delta">'[1]Forecast Drivers'!$E$286:$S$286</definedName>
    <definedName name="DefTaxA_Bal">'[1]Forecast Drivers'!$E$284:$S$284</definedName>
    <definedName name="DefTaxA_Delta">'[1]Forecast Drivers'!$E$283:$S$283</definedName>
    <definedName name="Depn">'[1]Forecast Drivers'!$E$75:$S$75</definedName>
    <definedName name="Div_Bal">'[1]Forecast Drivers'!$E$262:$S$262</definedName>
    <definedName name="Div_Cash">'[1]Forecast Drivers'!$E$261:$S$261</definedName>
    <definedName name="Div_Com">'[1]Forecast Drivers'!$E$241:$S$241</definedName>
    <definedName name="EBITA_Adj">#REF!</definedName>
    <definedName name="EMS">'[1]Forecast Drivers'!$D$135</definedName>
    <definedName name="End_DF">'[1]Forecast Drivers'!$D$12</definedName>
    <definedName name="EP">#REF!</definedName>
    <definedName name="Equity_Adj">'[1]Forecast Drivers'!$E$245:$S$245</definedName>
    <definedName name="Equity_Bal">'[1]Forecast Drivers'!$E$246:$S$246</definedName>
    <definedName name="Equity_Bal_BF">'[1]Forecast Drivers'!$F$238:$S$238</definedName>
    <definedName name="Equity_Cash">'[1]Forecast Drivers'!$E$243:$S$243</definedName>
    <definedName name="ExternalData_1" localSheetId="1" hidden="1">'Raw Data'!#REF!</definedName>
    <definedName name="ExtraOrdItem">'[1]Forecast Drivers'!$E$157:$S$157</definedName>
    <definedName name="FA_Hist">'[1]Forecast Drivers'!$E$78:$S$78</definedName>
    <definedName name="FCF">#REF!</definedName>
    <definedName name="FFA">'[1]Forecast Drivers'!$D$136</definedName>
    <definedName name="FinancialModel2" localSheetId="0" hidden="1">#REF!</definedName>
    <definedName name="FinancialModel2" hidden="1">#REF!</definedName>
    <definedName name="FinancialModelBackup" localSheetId="0" hidden="1">#REF!</definedName>
    <definedName name="FinancialModelBackup" hidden="1">#REF!</definedName>
    <definedName name="Future_Options">'[1]Forecast Drivers'!$D$146</definedName>
    <definedName name="FY">'[1]Forecast Drivers'!$E$340</definedName>
    <definedName name="g">'[1]Forecast Drivers'!$D$323</definedName>
    <definedName name="GW_Amort">'[1]Forecast Drivers'!$E$83:$S$83</definedName>
    <definedName name="GW_Bal">'[1]Forecast Drivers'!$E$84:$S$84</definedName>
    <definedName name="GW_Cash">'[1]Forecast Drivers'!$E$82:$S$82</definedName>
    <definedName name="GW_Init">'[1]Forecast Drivers'!$D$85</definedName>
    <definedName name="GW_Writeoff">'[1]Forecast Drivers'!$E$244:$S$244</definedName>
    <definedName name="High">'[1]Forecast Drivers'!$D$18</definedName>
    <definedName name="Int_Exp">'[1]Forecast Drivers'!$E$219:$S$219</definedName>
    <definedName name="Int_Inc">'[1]Forecast Drivers'!$E$214:$S$214</definedName>
    <definedName name="Intang_Amort">'[1]Forecast Drivers'!$E$90:$S$90</definedName>
    <definedName name="Intang_Bal">'[1]Forecast Drivers'!$E$91:$S$91</definedName>
    <definedName name="Intang_Cash">'[1]Forecast Drivers'!$E$89:$S$89</definedName>
    <definedName name="Intang_Init">'[1]Forecast Drivers'!$D$92</definedName>
    <definedName name="Inv">'[1]Forecast Drivers'!$E$45:$S$45</definedName>
    <definedName name="Inv_Bal">'[1]Forecast Drivers'!$E$123:$S$123</definedName>
    <definedName name="Inv_Cap">#REF!</definedName>
    <definedName name="Inv_Cap_P2">'[1]Forecast Drivers'!$T$310:$AD$310</definedName>
    <definedName name="Inv_CapP_P2">'[1]Forecast Drivers'!$O$307:$AD$307</definedName>
    <definedName name="Inv_Cash">'[1]Forecast Drivers'!$E$122:$S$122</definedName>
    <definedName name="IQ_ADDIN" hidden="1">"AUTO"</definedName>
    <definedName name="IQ_AVG_PRICE_TARGET" hidden="1">"c82"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EPS_PRIMARY_EST" hidden="1">"c2226"</definedName>
    <definedName name="IQ_EPS_PRIMARY_HIGH_EST" hidden="1">"c2228"</definedName>
    <definedName name="IQ_EPS_PRIMARY_LOW_EST" hidden="1">"c2229"</definedName>
    <definedName name="IQ_EPS_PRIMARY_MEDIAN_EST" hidden="1">"c2227"</definedName>
    <definedName name="IQ_EPS_PRIMARY_NUM_EST" hidden="1">"c2230"</definedName>
    <definedName name="IQ_EPS_PRIMARY_STDDEV_EST" hidden="1">"c2231"</definedName>
    <definedName name="IQ_EST_ACT_EPS_PRIMARY" hidden="1">"c2232"</definedName>
    <definedName name="IQ_EST_EPS_SURPRISE" hidden="1">"c1635"</definedName>
    <definedName name="IQ_EST_NUM_BUY_REUT" hidden="1">"c3869"</definedName>
    <definedName name="IQ_EST_NUM_BUY_THOM" hidden="1">"c5165"</definedName>
    <definedName name="IQ_EST_NUM_HOLD_REUT" hidden="1">"c3871"</definedName>
    <definedName name="IQ_EST_NUM_HOLD_THOM" hidden="1">"c5167"</definedName>
    <definedName name="IQ_EST_NUM_OUTPERFORM_REUT" hidden="1">"c3870"</definedName>
    <definedName name="IQ_EST_NUM_OUTPERFORM_THOM" hidden="1">"c5166"</definedName>
    <definedName name="IQ_EST_NUM_SELL_REUT" hidden="1">"c3873"</definedName>
    <definedName name="IQ_EST_NUM_SELL_THOM" hidden="1">"c5169"</definedName>
    <definedName name="IQ_EST_NUM_UNDERPERFORM_REUT" hidden="1">"c3872"</definedName>
    <definedName name="IQ_EST_NUM_UNDERPERFORM_THOM" hidden="1">"c5168"</definedName>
    <definedName name="IQ_EXPENSE_CODE_" hidden="1">"test"</definedName>
    <definedName name="IQ_FH">100000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AV_ACT_OR_EST" hidden="1">"c2225"</definedName>
    <definedName name="IQ_NTM">6000</definedName>
    <definedName name="IQ_OG_TOTAL_OIL_PRODUCTON" hidden="1">"c2059"</definedName>
    <definedName name="IQ_OPENED55" hidden="1">1</definedName>
    <definedName name="IQ_PRIMARY_EPS_TYPE_THOM" hidden="1">"c5297"</definedName>
    <definedName name="IQ_QTD" hidden="1">750000</definedName>
    <definedName name="IQ_SHAREOUTSTANDING" hidden="1">"c1347"</definedName>
    <definedName name="IQ_TODAY" hidden="1">0</definedName>
    <definedName name="IQ_TOTAL_PENSION_OBLIGATION" hidden="1">"c1292"</definedName>
    <definedName name="IQ_WEEK">50000</definedName>
    <definedName name="IQ_YTD">3000</definedName>
    <definedName name="IQ_YTDMONTH" hidden="1">130000</definedName>
    <definedName name="IQRWACCAnalysisBB10" hidden="1">#REF!</definedName>
    <definedName name="IQRWACCAnalysisBC10" hidden="1">#REF!</definedName>
    <definedName name="IQRWACCAnalysisBF10" hidden="1">#REF!</definedName>
    <definedName name="IQRWACCAnalysisBH10" hidden="1">#REF!</definedName>
    <definedName name="IQRWACCAnalysisBJ10" hidden="1">#REF!</definedName>
    <definedName name="IQRWACCAnalysisBK10" hidden="1">#REF!</definedName>
    <definedName name="IQRWACCAnalysisBL10" hidden="1">#REF!</definedName>
    <definedName name="IQRWACCAnalysisBM10" hidden="1">#REF!</definedName>
    <definedName name="IQRWACCAnalysisBN10" hidden="1">#REF!</definedName>
    <definedName name="IQRWACCAnalysisBO10" hidden="1">#REF!</definedName>
    <definedName name="IQRWACCAnalysisBP10" hidden="1">#REF!</definedName>
    <definedName name="IQRWACCAnalysisBQ10" hidden="1">#REF!</definedName>
    <definedName name="IQRWACCAnalysisBR10" hidden="1">#REF!</definedName>
    <definedName name="IQRWACCAnalysisBS10" hidden="1">#REF!</definedName>
    <definedName name="IQRWACCAnalysisBT10" hidden="1">#REF!</definedName>
    <definedName name="IQRWACCAnalysisBU10" hidden="1">#REF!</definedName>
    <definedName name="IQRWACCAnalysisBV10" hidden="1">#REF!</definedName>
    <definedName name="IQRWACCAnalysisBW10" hidden="1">#REF!</definedName>
    <definedName name="IQRWACCAnalysisBX10" hidden="1">#REF!</definedName>
    <definedName name="IQRWACCAnalysisBY10" hidden="1">#REF!</definedName>
    <definedName name="IQRWACCAnalysisBZ10" hidden="1">#REF!</definedName>
    <definedName name="IQRWACCAnalysisCA10" hidden="1">#REF!</definedName>
    <definedName name="IQRWACCAnalysisCB10" hidden="1">#REF!</definedName>
    <definedName name="IQRWACCAnalysisCC10" hidden="1">#REF!</definedName>
    <definedName name="IQRWACCAnalysisCD10" hidden="1">#REF!</definedName>
    <definedName name="IQRWACCAnalysisformulas2BF10" hidden="1">#REF!</definedName>
    <definedName name="IQRWACCAnalysisformulas2BN10" hidden="1">#REF!</definedName>
    <definedName name="IQRWACCAnalysisformulasBF10" hidden="1">#REF!</definedName>
    <definedName name="IQRWACCAnalysisformulasBN10" hidden="1">#REF!</definedName>
    <definedName name="IQRWACCAnalysishardcodeBF10" hidden="1">#REF!</definedName>
    <definedName name="IQRWACCAnalysishardcodeBN10" hidden="1">#REF!</definedName>
    <definedName name="IQRWACCformulasBF10" hidden="1">#REF!</definedName>
    <definedName name="IQRWACCformulasBN10" hidden="1">#REF!</definedName>
    <definedName name="IQRWACChardcodeBF10" hidden="1">#REF!</definedName>
    <definedName name="IQRWACChardcodeBF9" hidden="1">#REF!</definedName>
    <definedName name="IQRWACChardcodeBN10" hidden="1">#REF!</definedName>
    <definedName name="IQRWACChardcodeBN9" hidden="1">#REF!</definedName>
    <definedName name="ListOffset" hidden="1">1</definedName>
    <definedName name="LOP_Bal">'[1]Forecast Drivers'!$E$179:$S$179</definedName>
    <definedName name="LOP_Cash">'[1]Forecast Drivers'!$F$180:$S$180</definedName>
    <definedName name="LOP_Int">'[1]Forecast Drivers'!$F$176:$S$176</definedName>
    <definedName name="Low">'[1]Forecast Drivers'!$D$19</definedName>
    <definedName name="LTD_Bal">'[1]Forecast Drivers'!$E$205:$S$205</definedName>
    <definedName name="LTD_Cash">'[1]Forecast Drivers'!$E$211:$S$211</definedName>
    <definedName name="Min_Bal">'[1]Forecast Drivers'!$E$186:$S$186</definedName>
    <definedName name="Min_Cash">'[1]Forecast Drivers'!$E$185:$S$185</definedName>
    <definedName name="Min_Prof">'[1]Forecast Drivers'!$E$184:$S$184</definedName>
    <definedName name="MIY">'[1]Forecast Drivers'!$D$329</definedName>
    <definedName name="MV_Debt">'[1]Forecast Drivers'!$D$138</definedName>
    <definedName name="MV_LTOp">'[1]Forecast Drivers'!$D$144</definedName>
    <definedName name="MV_Min">'[1]Forecast Drivers'!$D$142</definedName>
    <definedName name="MV_OpLease">'[1]Forecast Drivers'!$D$139</definedName>
    <definedName name="MV_Prefs">'[1]Forecast Drivers'!$D$141</definedName>
    <definedName name="MV_Restr">'[1]Forecast Drivers'!$D$143</definedName>
    <definedName name="MV_RetRel">'[1]Forecast Drivers'!$D$140</definedName>
    <definedName name="MYAF">'[1]Forecast Drivers'!$D$341</definedName>
    <definedName name="Name">'[1]Forecast Drivers'!$D$8</definedName>
    <definedName name="Net_Inv_P2">'[1]Forecast Drivers'!$T$311:$AD$311</definedName>
    <definedName name="NOA_Bal">'[1]Forecast Drivers'!$E$107:$S$107</definedName>
    <definedName name="NOA_Cash">'[1]Forecast Drivers'!$E$106:$S$106</definedName>
    <definedName name="NOI">'[1]Forecast Drivers'!$E$153:$S$153</definedName>
    <definedName name="NOPLAT">#REF!</definedName>
    <definedName name="NOPLAT_P2">'[1]Forecast Drivers'!$T$300:$AD$300</definedName>
    <definedName name="o" localSheetId="4" hidden="1">{#N/A,#N/A,FALSE,"New Depr Sch-150% DB";#N/A,#N/A,FALSE,"Cash Flows RLP";#N/A,#N/A,FALSE,"IRR";#N/A,#N/A,FALSE,"Proforma IS";#N/A,#N/A,FALSE,"Assumptions"}</definedName>
    <definedName name="o" localSheetId="0" hidden="1">{#N/A,#N/A,FALSE,"New Depr Sch-150% DB";#N/A,#N/A,FALSE,"Cash Flows RLP";#N/A,#N/A,FALSE,"IRR";#N/A,#N/A,FALSE,"Proforma IS";#N/A,#N/A,FALSE,"Assumptions"}</definedName>
    <definedName name="o" hidden="1">{#N/A,#N/A,FALSE,"New Depr Sch-150% DB";#N/A,#N/A,FALSE,"Cash Flows RLP";#N/A,#N/A,FALSE,"IRR";#N/A,#N/A,FALSE,"Proforma IS";#N/A,#N/A,FALSE,"Assumptions"}</definedName>
    <definedName name="OCA">'[1]Forecast Drivers'!$E$54:$S$54</definedName>
    <definedName name="OCL">'[1]Forecast Drivers'!$E$57:$S$57</definedName>
    <definedName name="OD">'[1]Forecast Drivers'!$E$200:$S$200</definedName>
    <definedName name="One">'[1]Forecast Drivers'!$D$330</definedName>
    <definedName name="OOA_Bal">'[1]Forecast Drivers'!$E$97:$S$97</definedName>
    <definedName name="OOA_Cash">'[1]Forecast Drivers'!$E$96:$S$96</definedName>
    <definedName name="OOE">'[1]Forecast Drivers'!$E$37:$S$37</definedName>
    <definedName name="OOL_Bal">'[1]Forecast Drivers'!$E$102:$S$102</definedName>
    <definedName name="OOL_Cash">'[1]Forecast Drivers'!$E$101:$S$101</definedName>
    <definedName name="OOP_Bal">'[1]Forecast Drivers'!$E$166:$S$166</definedName>
    <definedName name="OOP_Cash">'[1]Forecast Drivers'!$F$165:$S$165</definedName>
    <definedName name="OOR">'[1]Forecast Drivers'!$E$28:$S$28</definedName>
    <definedName name="OpCash">'[1]Forecast Drivers'!$E$42:$S$42</definedName>
    <definedName name="OpLease_Bal">'[1]Forecast Drivers'!$E$128:$S$128</definedName>
    <definedName name="OpLease_Cash">'[1]Forecast Drivers'!$E$129:$S$129</definedName>
    <definedName name="OpLease_Int">'[1]Forecast Drivers'!$E$131:$S$131</definedName>
    <definedName name="Options">'[1]Forecast Drivers'!$D$145</definedName>
    <definedName name="Pen_Excess">'[1]Forecast Drivers'!$D$137</definedName>
    <definedName name="PPE_Net">'[1]Forecast Drivers'!$E$66:$S$66</definedName>
    <definedName name="Prefs_Bal">'[1]Forecast Drivers'!$E$231:$S$231</definedName>
    <definedName name="Prefs_Cash">'[1]Forecast Drivers'!$E$230:$S$230</definedName>
    <definedName name="Prefs_Div">'[1]Forecast Drivers'!$E$233:$S$233</definedName>
    <definedName name="Prov_Bal">'[1]Forecast Drivers'!$E$161:$S$161</definedName>
    <definedName name="Prov_Cash">'[1]Forecast Drivers'!$E$160:$S$160</definedName>
    <definedName name="Restr_Bal">'[1]Forecast Drivers'!$E$172:$S$172</definedName>
    <definedName name="Restr_Cash">'[1]Forecast Drivers'!$E$171:$S$171</definedName>
    <definedName name="Restr_Prof">'[1]Forecast Drivers'!$E$170:$S$170</definedName>
    <definedName name="RetRel_Bal">'[1]Forecast Drivers'!$E$116:$S$116</definedName>
    <definedName name="RetRel_Cash">'[1]Forecast Drivers'!$E$115:$S$115</definedName>
    <definedName name="RetRel_Int">'[1]Forecast Drivers'!#REF!</definedName>
    <definedName name="RetRel_Nonop">'[1]Forecast Drivers'!$E$118:$S$118</definedName>
    <definedName name="RetRelA_Bal">'[1]Forecast Drivers'!$E$112:$S$112</definedName>
    <definedName name="RetRelA_Cash">'[1]Forecast Drivers'!$F$111:$S$111</definedName>
    <definedName name="Rev">'[1]Forecast Drivers'!$E$25:$S$25</definedName>
    <definedName name="Rev_P2">'[1]Forecast Drivers'!$T$294:$AD$294</definedName>
    <definedName name="ROIC">'[1]Forecast Drivers'!$D$321</definedName>
    <definedName name="Scenario">'[1]Forecast Drivers'!$D$9</definedName>
    <definedName name="SGA">'[1]Forecast Drivers'!$E$34:$S$34</definedName>
    <definedName name="Shares_Av">'[1]Forecast Drivers'!$E$250:$S$250</definedName>
    <definedName name="Shares_FD_Av">'[1]Forecast Drivers'!$E$255:$S$255</definedName>
    <definedName name="Shares_Outst">'[2]General Information'!$K$12</definedName>
    <definedName name="Shares2">'[1]Forecast Drivers'!$N$252</definedName>
    <definedName name="SpecItem">'[1]Forecast Drivers'!$E$155:$S$155</definedName>
    <definedName name="SPWS_WBID">"FF2F8A43-5A64-4DCD-BC03-1C90566C04FC"</definedName>
    <definedName name="STD_Bal">'[1]Forecast Drivers'!$E$202:$S$202</definedName>
    <definedName name="STD_Cash">'[1]Forecast Drivers'!$E$208:$S$208</definedName>
    <definedName name="Tax_Charge">'[1]Forecast Drivers'!$E$269:$S$269</definedName>
    <definedName name="Tax_Cred_Bal">'[1]Forecast Drivers'!$E$274:$S$274</definedName>
    <definedName name="Tax_Cred_Delta">'[1]Forecast Drivers'!$F$275:$S$275</definedName>
    <definedName name="Tax_Paid">'[1]Forecast Drivers'!$F$273:$S$273</definedName>
    <definedName name="TradCred">'[1]Forecast Drivers'!$E$51:$S$51</definedName>
    <definedName name="TradDebt">'[1]Forecast Drivers'!$E$48:$S$48</definedName>
    <definedName name="Translation">'[1]Forecast Drivers'!$E$242:$S$242</definedName>
    <definedName name="Unit_label">'[1]Forecast Drivers'!$D$331</definedName>
    <definedName name="Units">'[1]Forecast Drivers'!$D$15</definedName>
    <definedName name="WACC">'[1]Forecast Drivers'!$F$223:$AD$223</definedName>
    <definedName name="WACCF">'[1]Forecast Drivers'!$O$223</definedName>
    <definedName name="WC_Bal">'[1]Forecast Drivers'!$E$59:$S$59</definedName>
    <definedName name="WC_Delta">'[1]Forecast Drivers'!$E$60:$Z$60</definedName>
    <definedName name="wrn.Basic._.Report." localSheetId="4" hidden="1">{#N/A,#N/A,FALSE,"New Depr Sch-150% DB";#N/A,#N/A,FALSE,"Cash Flows RLP";#N/A,#N/A,FALSE,"IRR";#N/A,#N/A,FALSE,"Proforma IS";#N/A,#N/A,FALSE,"Assumptions"}</definedName>
    <definedName name="wrn.Basic._.Report." localSheetId="0" hidden="1">{#N/A,#N/A,FALSE,"New Depr Sch-150% DB";#N/A,#N/A,FALSE,"Cash Flows RLP";#N/A,#N/A,FALSE,"IRR";#N/A,#N/A,FALSE,"Proforma IS";#N/A,#N/A,FALSE,"Assumptions"}</definedName>
    <definedName name="wrn.Basic._.Report." hidden="1">{#N/A,#N/A,FALSE,"New Depr Sch-150% DB";#N/A,#N/A,FALSE,"Cash Flows RLP";#N/A,#N/A,FALSE,"IRR";#N/A,#N/A,FALSE,"Proforma IS";#N/A,#N/A,FALSE,"Assumptions"}</definedName>
    <definedName name="wrn.clientcopy." localSheetId="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" localSheetId="0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plete._.Report." localSheetId="4" hidden="1">{#N/A,#N/A,FALSE,"Assumptions";#N/A,#N/A,FALSE,"Proforma IS";#N/A,#N/A,FALSE,"Cash Flows RLP";#N/A,#N/A,FALSE,"IRR";#N/A,#N/A,FALSE,"New Depr Sch-150% DB";#N/A,#N/A,FALSE,"Comments"}</definedName>
    <definedName name="wrn.Complete._.Report." localSheetId="0" hidden="1">{#N/A,#N/A,FALSE,"Assumptions";#N/A,#N/A,FALSE,"Proforma IS";#N/A,#N/A,FALSE,"Cash Flows RLP";#N/A,#N/A,FALSE,"IRR";#N/A,#N/A,FALSE,"New Depr Sch-150% DB";#N/A,#N/A,FALSE,"Comments"}</definedName>
    <definedName name="wrn.Complete._.Report." hidden="1">{#N/A,#N/A,FALSE,"Assumptions";#N/A,#N/A,FALSE,"Proforma IS";#N/A,#N/A,FALSE,"Cash Flows RLP";#N/A,#N/A,FALSE,"IRR";#N/A,#N/A,FALSE,"New Depr Sch-150% DB";#N/A,#N/A,FALSE,"Comments"}</definedName>
    <definedName name="wrn.filecopy." localSheetId="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" localSheetId="0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print." localSheetId="4" hidden="1">{#N/A,#N/A,FALSE,"Japan 2003";#N/A,#N/A,FALSE,"Sheet2"}</definedName>
    <definedName name="wrn.print." localSheetId="0" hidden="1">{#N/A,#N/A,FALSE,"Japan 2003";#N/A,#N/A,FALSE,"Sheet2"}</definedName>
    <definedName name="wrn.print." hidden="1">{#N/A,#N/A,FALSE,"Japan 2003";#N/A,#N/A,FALSE,"Sheet2"}</definedName>
    <definedName name="wrn.Print._.All._.A4.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wrn.Print._.All._.Letter.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  <definedName name="wrn.Print._.Results._.A4." hidden="1">{"Valuation",#N/A,TRUE,"Valuation Summary";"Financial Statements",#N/A,TRUE,"Results";"Results",#N/A,TRUE,"Results";"Ratios",#N/A,TRUE,"Results";"P2 Summary",#N/A,TRUE,"Results"}</definedName>
    <definedName name="wrn.Print._.Results._.Letter." hidden="1">{"Valuation - Letter",#N/A,TRUE,"Valuation Summary";"Financial Statements - Letter",#N/A,TRUE,"Results";"Results - Letter",#N/A,TRUE,"Results";"Ratios - Letter",#N/A,TRUE,"Results";"P2 Summary - Letter",#N/A,TRUE,"Results"}</definedName>
    <definedName name="YE">'[1]Forecast Drivers'!$D$10</definedName>
    <definedName name="Year">'[1]Forecast Drivers'!$E$337:$AD$337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9" l="1"/>
  <c r="Q12" i="59"/>
  <c r="O12" i="59"/>
  <c r="M185" i="59"/>
  <c r="J188" i="59"/>
  <c r="M173" i="59"/>
  <c r="J176" i="59"/>
  <c r="F185" i="59"/>
  <c r="C188" i="59"/>
  <c r="G133" i="59"/>
  <c r="N164" i="59"/>
  <c r="G163" i="59"/>
  <c r="L124" i="59"/>
  <c r="M124" i="59" s="1"/>
  <c r="N124" i="59" s="1"/>
  <c r="O124" i="59" s="1"/>
  <c r="P124" i="59" s="1"/>
  <c r="Q124" i="59" s="1"/>
  <c r="R124" i="59" s="1"/>
  <c r="S124" i="59" s="1"/>
  <c r="T124" i="59" s="1"/>
  <c r="U124" i="59" s="1"/>
  <c r="K124" i="59"/>
  <c r="J124" i="59"/>
  <c r="E173" i="59"/>
  <c r="D173" i="59" s="1"/>
  <c r="K173" i="59" s="1"/>
  <c r="G173" i="59"/>
  <c r="H173" i="59" s="1"/>
  <c r="O185" i="59" s="1"/>
  <c r="C175" i="59"/>
  <c r="C174" i="59" s="1"/>
  <c r="J186" i="59" s="1"/>
  <c r="C177" i="59"/>
  <c r="C178" i="59" s="1"/>
  <c r="J190" i="59" s="1"/>
  <c r="J177" i="59" l="1"/>
  <c r="Q13" i="59"/>
  <c r="C190" i="59"/>
  <c r="C187" i="59"/>
  <c r="O173" i="59"/>
  <c r="J189" i="59"/>
  <c r="C186" i="59"/>
  <c r="H185" i="59"/>
  <c r="N173" i="59"/>
  <c r="G185" i="59"/>
  <c r="J187" i="59"/>
  <c r="L173" i="59"/>
  <c r="K185" i="59"/>
  <c r="E185" i="59"/>
  <c r="N185" i="59"/>
  <c r="J174" i="59"/>
  <c r="D185" i="59"/>
  <c r="J178" i="59"/>
  <c r="L185" i="59"/>
  <c r="C189" i="59"/>
  <c r="J175" i="59"/>
  <c r="H222" i="32"/>
  <c r="D51" i="48"/>
  <c r="D50" i="48" l="1"/>
  <c r="C3" i="49" l="1"/>
  <c r="E22" i="49"/>
  <c r="D55" i="59"/>
  <c r="A78" i="59" l="1"/>
  <c r="B47" i="59"/>
  <c r="B109" i="59" s="1"/>
  <c r="B101" i="59"/>
  <c r="C9" i="59"/>
  <c r="M3" i="4"/>
  <c r="C8" i="59"/>
  <c r="B111" i="59"/>
  <c r="B100" i="59"/>
  <c r="B105" i="59"/>
  <c r="B108" i="59"/>
  <c r="C20" i="49"/>
  <c r="L3" i="55"/>
  <c r="L4" i="55"/>
  <c r="L5" i="55"/>
  <c r="L6" i="55"/>
  <c r="L7" i="55"/>
  <c r="L8" i="55"/>
  <c r="L9" i="55"/>
  <c r="L10" i="55"/>
  <c r="L11" i="55"/>
  <c r="L12" i="55"/>
  <c r="L13" i="55"/>
  <c r="L14" i="55"/>
  <c r="L15" i="55"/>
  <c r="L16" i="55"/>
  <c r="L17" i="55"/>
  <c r="L18" i="55"/>
  <c r="L19" i="55"/>
  <c r="L20" i="55"/>
  <c r="L21" i="55"/>
  <c r="L22" i="55"/>
  <c r="L23" i="55"/>
  <c r="L24" i="55"/>
  <c r="L25" i="55"/>
  <c r="L26" i="55"/>
  <c r="L27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60" i="55"/>
  <c r="L61" i="55"/>
  <c r="L62" i="55"/>
  <c r="L63" i="55"/>
  <c r="L64" i="55"/>
  <c r="L65" i="55"/>
  <c r="L66" i="55"/>
  <c r="L67" i="55"/>
  <c r="L68" i="55"/>
  <c r="L69" i="55"/>
  <c r="L70" i="55"/>
  <c r="L71" i="55"/>
  <c r="L72" i="55"/>
  <c r="L73" i="55"/>
  <c r="L74" i="55"/>
  <c r="L75" i="55"/>
  <c r="L76" i="55"/>
  <c r="L77" i="55"/>
  <c r="L78" i="55"/>
  <c r="L79" i="55"/>
  <c r="L80" i="55"/>
  <c r="L81" i="55"/>
  <c r="L82" i="55"/>
  <c r="L83" i="55"/>
  <c r="L84" i="55"/>
  <c r="L85" i="55"/>
  <c r="L86" i="55"/>
  <c r="L87" i="55"/>
  <c r="L88" i="55"/>
  <c r="L89" i="55"/>
  <c r="L90" i="55"/>
  <c r="L91" i="55"/>
  <c r="L92" i="55"/>
  <c r="L93" i="55"/>
  <c r="L94" i="55"/>
  <c r="L95" i="55"/>
  <c r="L96" i="55"/>
  <c r="L97" i="55"/>
  <c r="L98" i="55"/>
  <c r="L99" i="55"/>
  <c r="L100" i="55"/>
  <c r="L101" i="55"/>
  <c r="L102" i="55"/>
  <c r="L103" i="55"/>
  <c r="L104" i="55"/>
  <c r="L105" i="55"/>
  <c r="L106" i="55"/>
  <c r="L107" i="55"/>
  <c r="L108" i="55"/>
  <c r="L109" i="55"/>
  <c r="L110" i="55"/>
  <c r="L111" i="55"/>
  <c r="L112" i="55"/>
  <c r="L113" i="55"/>
  <c r="L114" i="55"/>
  <c r="L115" i="55"/>
  <c r="L116" i="55"/>
  <c r="L117" i="55"/>
  <c r="L118" i="55"/>
  <c r="L119" i="55"/>
  <c r="L120" i="55"/>
  <c r="L121" i="55"/>
  <c r="L122" i="55"/>
  <c r="L123" i="55"/>
  <c r="L124" i="55"/>
  <c r="L125" i="55"/>
  <c r="L126" i="55"/>
  <c r="L127" i="55"/>
  <c r="L128" i="55"/>
  <c r="L129" i="55"/>
  <c r="L130" i="55"/>
  <c r="L131" i="55"/>
  <c r="L132" i="55"/>
  <c r="L133" i="55"/>
  <c r="L134" i="55"/>
  <c r="L135" i="55"/>
  <c r="L136" i="55"/>
  <c r="L137" i="55"/>
  <c r="L138" i="55"/>
  <c r="L139" i="55"/>
  <c r="L140" i="55"/>
  <c r="L141" i="55"/>
  <c r="L142" i="55"/>
  <c r="L143" i="55"/>
  <c r="L144" i="55"/>
  <c r="L145" i="55"/>
  <c r="L146" i="55"/>
  <c r="L147" i="55"/>
  <c r="L148" i="55"/>
  <c r="L149" i="55"/>
  <c r="L150" i="55"/>
  <c r="L151" i="55"/>
  <c r="L152" i="55"/>
  <c r="L153" i="55"/>
  <c r="L154" i="55"/>
  <c r="L155" i="55"/>
  <c r="L156" i="55"/>
  <c r="L157" i="55"/>
  <c r="L158" i="55"/>
  <c r="L159" i="55"/>
  <c r="L160" i="55"/>
  <c r="L161" i="55"/>
  <c r="L162" i="55"/>
  <c r="L163" i="55"/>
  <c r="L164" i="55"/>
  <c r="L165" i="55"/>
  <c r="L166" i="55"/>
  <c r="L167" i="55"/>
  <c r="L168" i="55"/>
  <c r="L169" i="55"/>
  <c r="L170" i="55"/>
  <c r="L171" i="55"/>
  <c r="L172" i="55"/>
  <c r="L173" i="55"/>
  <c r="L174" i="55"/>
  <c r="L175" i="55"/>
  <c r="L176" i="55"/>
  <c r="L177" i="55"/>
  <c r="L178" i="55"/>
  <c r="L179" i="55"/>
  <c r="L180" i="55"/>
  <c r="L181" i="55"/>
  <c r="L182" i="55"/>
  <c r="L183" i="55"/>
  <c r="L184" i="55"/>
  <c r="L185" i="55"/>
  <c r="L186" i="55"/>
  <c r="L187" i="55"/>
  <c r="L188" i="55"/>
  <c r="L189" i="55"/>
  <c r="L190" i="55"/>
  <c r="L191" i="55"/>
  <c r="L192" i="55"/>
  <c r="L193" i="55"/>
  <c r="L194" i="55"/>
  <c r="L195" i="55"/>
  <c r="L196" i="55"/>
  <c r="L197" i="55"/>
  <c r="L198" i="55"/>
  <c r="L199" i="55"/>
  <c r="L200" i="55"/>
  <c r="L201" i="55"/>
  <c r="L202" i="55"/>
  <c r="L203" i="55"/>
  <c r="L204" i="55"/>
  <c r="L205" i="55"/>
  <c r="L206" i="55"/>
  <c r="L207" i="55"/>
  <c r="L208" i="55"/>
  <c r="L209" i="55"/>
  <c r="L210" i="55"/>
  <c r="L211" i="55"/>
  <c r="L212" i="55"/>
  <c r="L213" i="55"/>
  <c r="L214" i="55"/>
  <c r="L215" i="55"/>
  <c r="L216" i="55"/>
  <c r="L217" i="55"/>
  <c r="L218" i="55"/>
  <c r="L219" i="55"/>
  <c r="L220" i="55"/>
  <c r="L221" i="55"/>
  <c r="L222" i="55"/>
  <c r="L223" i="55"/>
  <c r="L224" i="55"/>
  <c r="L225" i="55"/>
  <c r="L2" i="55"/>
  <c r="AT20" i="49"/>
  <c r="AV20" i="49"/>
  <c r="N141" i="59" l="1"/>
  <c r="N163" i="59" s="1"/>
  <c r="D396" i="46"/>
  <c r="D397" i="46" s="1"/>
  <c r="AR21" i="49"/>
  <c r="AR22" i="49" s="1"/>
  <c r="AR23" i="49" s="1"/>
  <c r="AR24" i="49" s="1"/>
  <c r="AR25" i="49" s="1"/>
  <c r="AR26" i="49" s="1"/>
  <c r="AR27" i="49" s="1"/>
  <c r="AR28" i="49" s="1"/>
  <c r="AR29" i="49" s="1"/>
  <c r="AR30" i="49" s="1"/>
  <c r="AR31" i="49" s="1"/>
  <c r="AR32" i="49" s="1"/>
  <c r="AR33" i="49" s="1"/>
  <c r="AR34" i="49" s="1"/>
  <c r="AR35" i="49" s="1"/>
  <c r="AR36" i="49" s="1"/>
  <c r="AR37" i="49" s="1"/>
  <c r="AR38" i="49" s="1"/>
  <c r="AR39" i="49" s="1"/>
  <c r="AR40" i="49" s="1"/>
  <c r="AR41" i="49" s="1"/>
  <c r="AR42" i="49" s="1"/>
  <c r="AR43" i="49" s="1"/>
  <c r="AR44" i="49" s="1"/>
  <c r="AR45" i="49" s="1"/>
  <c r="AR46" i="49" s="1"/>
  <c r="AR47" i="49" s="1"/>
  <c r="AR48" i="49" s="1"/>
  <c r="AR49" i="49" s="1"/>
  <c r="AR50" i="49" s="1"/>
  <c r="AR51" i="49" s="1"/>
  <c r="AR52" i="49" s="1"/>
  <c r="AR53" i="49" s="1"/>
  <c r="AR54" i="49" s="1"/>
  <c r="AR55" i="49" s="1"/>
  <c r="AR56" i="49" s="1"/>
  <c r="AR57" i="49" s="1"/>
  <c r="AR58" i="49" s="1"/>
  <c r="AR59" i="49" s="1"/>
  <c r="AR60" i="49" s="1"/>
  <c r="AR61" i="49" s="1"/>
  <c r="AR62" i="49" s="1"/>
  <c r="AR63" i="49" s="1"/>
  <c r="AR64" i="49" s="1"/>
  <c r="AR65" i="49" s="1"/>
  <c r="AR66" i="49" s="1"/>
  <c r="AR67" i="49" s="1"/>
  <c r="AR68" i="49" s="1"/>
  <c r="AR69" i="49" s="1"/>
  <c r="AR70" i="49" s="1"/>
  <c r="AR71" i="49" s="1"/>
  <c r="AR72" i="49" s="1"/>
  <c r="AR73" i="49" s="1"/>
  <c r="AR74" i="49" s="1"/>
  <c r="AR75" i="49" s="1"/>
  <c r="AR76" i="49" s="1"/>
  <c r="AR77" i="49" s="1"/>
  <c r="AR78" i="49" s="1"/>
  <c r="AR79" i="49" s="1"/>
  <c r="AR80" i="49" s="1"/>
  <c r="AR81" i="49" s="1"/>
  <c r="AR82" i="49" s="1"/>
  <c r="AR83" i="49" s="1"/>
  <c r="AR84" i="49" s="1"/>
  <c r="AR85" i="49" s="1"/>
  <c r="AR86" i="49" s="1"/>
  <c r="AR87" i="49" s="1"/>
  <c r="AR88" i="49" s="1"/>
  <c r="AR89" i="49" s="1"/>
  <c r="AR90" i="49" s="1"/>
  <c r="AR91" i="49" s="1"/>
  <c r="AR92" i="49" s="1"/>
  <c r="AR93" i="49" s="1"/>
  <c r="AR94" i="49" s="1"/>
  <c r="AR95" i="49" s="1"/>
  <c r="AR96" i="49" s="1"/>
  <c r="AR97" i="49" s="1"/>
  <c r="AR98" i="49" s="1"/>
  <c r="AR99" i="49" s="1"/>
  <c r="AR100" i="49" s="1"/>
  <c r="AR101" i="49" s="1"/>
  <c r="AR102" i="49" s="1"/>
  <c r="AR103" i="49" s="1"/>
  <c r="AR104" i="49" s="1"/>
  <c r="AR105" i="49" s="1"/>
  <c r="AR106" i="49" s="1"/>
  <c r="AR107" i="49" s="1"/>
  <c r="AR108" i="49" s="1"/>
  <c r="AR109" i="49" s="1"/>
  <c r="AR110" i="49" s="1"/>
  <c r="AR111" i="49" s="1"/>
  <c r="AR112" i="49" s="1"/>
  <c r="AR113" i="49" s="1"/>
  <c r="AR114" i="49" s="1"/>
  <c r="AR115" i="49" s="1"/>
  <c r="AR116" i="49" s="1"/>
  <c r="AR117" i="49" s="1"/>
  <c r="AR118" i="49" s="1"/>
  <c r="AR119" i="49" s="1"/>
  <c r="AR120" i="49" s="1"/>
  <c r="AR121" i="49" s="1"/>
  <c r="AR122" i="49" s="1"/>
  <c r="AR123" i="49" s="1"/>
  <c r="AR124" i="49" s="1"/>
  <c r="AR125" i="49" s="1"/>
  <c r="AR126" i="49" s="1"/>
  <c r="AR127" i="49" s="1"/>
  <c r="AR128" i="49" s="1"/>
  <c r="AR129" i="49" s="1"/>
  <c r="AR130" i="49" s="1"/>
  <c r="AR131" i="49" s="1"/>
  <c r="AR132" i="49" s="1"/>
  <c r="AR133" i="49" s="1"/>
  <c r="AR134" i="49" s="1"/>
  <c r="AR135" i="49" s="1"/>
  <c r="AR136" i="49" s="1"/>
  <c r="AR137" i="49" s="1"/>
  <c r="AR138" i="49" s="1"/>
  <c r="AR139" i="49" s="1"/>
  <c r="AR140" i="49" s="1"/>
  <c r="AR141" i="49" s="1"/>
  <c r="AR142" i="49" s="1"/>
  <c r="AR143" i="49" s="1"/>
  <c r="AR144" i="49" s="1"/>
  <c r="AR145" i="49" s="1"/>
  <c r="AR146" i="49" s="1"/>
  <c r="AR147" i="49" s="1"/>
  <c r="AR148" i="49" s="1"/>
  <c r="AR149" i="49" s="1"/>
  <c r="AR150" i="49" s="1"/>
  <c r="AR151" i="49" s="1"/>
  <c r="AR152" i="49" s="1"/>
  <c r="AR153" i="49" s="1"/>
  <c r="AR154" i="49" s="1"/>
  <c r="AR155" i="49" s="1"/>
  <c r="AR156" i="49" s="1"/>
  <c r="AR157" i="49" s="1"/>
  <c r="AR158" i="49" s="1"/>
  <c r="AR159" i="49" s="1"/>
  <c r="AR160" i="49" s="1"/>
  <c r="AR161" i="49" s="1"/>
  <c r="AR162" i="49" s="1"/>
  <c r="AR163" i="49" s="1"/>
  <c r="AR164" i="49" s="1"/>
  <c r="AR165" i="49" s="1"/>
  <c r="AR166" i="49" s="1"/>
  <c r="AR167" i="49" s="1"/>
  <c r="AR168" i="49" s="1"/>
  <c r="AR169" i="49" s="1"/>
  <c r="AR170" i="49" s="1"/>
  <c r="AR171" i="49" s="1"/>
  <c r="AR172" i="49" s="1"/>
  <c r="AR173" i="49" s="1"/>
  <c r="AR174" i="49" s="1"/>
  <c r="AR175" i="49" s="1"/>
  <c r="AR176" i="49" s="1"/>
  <c r="AR177" i="49" s="1"/>
  <c r="AR178" i="49" s="1"/>
  <c r="AR179" i="49" s="1"/>
  <c r="AR180" i="49" s="1"/>
  <c r="AR181" i="49" s="1"/>
  <c r="AR182" i="49" s="1"/>
  <c r="AR183" i="49" s="1"/>
  <c r="AR184" i="49" s="1"/>
  <c r="AR185" i="49" s="1"/>
  <c r="AR186" i="49" s="1"/>
  <c r="AR187" i="49" s="1"/>
  <c r="AR188" i="49" s="1"/>
  <c r="AR189" i="49" s="1"/>
  <c r="AR190" i="49" s="1"/>
  <c r="AR191" i="49" s="1"/>
  <c r="AR192" i="49" s="1"/>
  <c r="AR193" i="49" s="1"/>
  <c r="AR194" i="49" s="1"/>
  <c r="AR195" i="49" s="1"/>
  <c r="AR196" i="49" s="1"/>
  <c r="AR197" i="49" s="1"/>
  <c r="AR198" i="49" s="1"/>
  <c r="AR199" i="49" s="1"/>
  <c r="AR200" i="49" s="1"/>
  <c r="AR201" i="49" s="1"/>
  <c r="AR202" i="49" s="1"/>
  <c r="AR203" i="49" s="1"/>
  <c r="AR204" i="49" s="1"/>
  <c r="AR205" i="49" s="1"/>
  <c r="AR206" i="49" s="1"/>
  <c r="AR207" i="49" s="1"/>
  <c r="AR208" i="49" s="1"/>
  <c r="AR209" i="49" s="1"/>
  <c r="AR210" i="49" s="1"/>
  <c r="AR211" i="49" s="1"/>
  <c r="AR212" i="49" s="1"/>
  <c r="AR213" i="49" s="1"/>
  <c r="AR214" i="49" s="1"/>
  <c r="AR215" i="49" s="1"/>
  <c r="AR216" i="49" s="1"/>
  <c r="AR217" i="49" s="1"/>
  <c r="AR218" i="49" s="1"/>
  <c r="AR219" i="49" s="1"/>
  <c r="AR220" i="49" s="1"/>
  <c r="AR221" i="49" s="1"/>
  <c r="AR222" i="49" s="1"/>
  <c r="AR223" i="49" s="1"/>
  <c r="AR224" i="49" s="1"/>
  <c r="AR225" i="49" s="1"/>
  <c r="AR226" i="49" s="1"/>
  <c r="AR227" i="49" s="1"/>
  <c r="AR228" i="49" s="1"/>
  <c r="AR229" i="49" s="1"/>
  <c r="AR230" i="49" s="1"/>
  <c r="AR231" i="49" s="1"/>
  <c r="AR232" i="49" s="1"/>
  <c r="AR233" i="49" s="1"/>
  <c r="AR234" i="49" s="1"/>
  <c r="AR235" i="49" s="1"/>
  <c r="AR236" i="49" s="1"/>
  <c r="AR237" i="49" s="1"/>
  <c r="AR238" i="49" s="1"/>
  <c r="AR239" i="49" s="1"/>
  <c r="AR240" i="49" s="1"/>
  <c r="AR241" i="49" s="1"/>
  <c r="AR242" i="49" s="1"/>
  <c r="AR243" i="49" s="1"/>
  <c r="AR244" i="49" s="1"/>
  <c r="AR245" i="49" s="1"/>
  <c r="AR246" i="49" s="1"/>
  <c r="AR247" i="49" s="1"/>
  <c r="AR248" i="49" s="1"/>
  <c r="AR249" i="49" s="1"/>
  <c r="AR250" i="49" s="1"/>
  <c r="AR251" i="49" s="1"/>
  <c r="AR252" i="49" s="1"/>
  <c r="AR253" i="49" s="1"/>
  <c r="AR254" i="49" s="1"/>
  <c r="AR255" i="49" s="1"/>
  <c r="AR256" i="49" s="1"/>
  <c r="AR257" i="49" s="1"/>
  <c r="AR258" i="49" s="1"/>
  <c r="AR259" i="49" s="1"/>
  <c r="AR260" i="49" s="1"/>
  <c r="AR261" i="49" s="1"/>
  <c r="AR262" i="49" s="1"/>
  <c r="AR263" i="49" s="1"/>
  <c r="AR264" i="49" s="1"/>
  <c r="AR265" i="49" s="1"/>
  <c r="AR266" i="49" s="1"/>
  <c r="AR267" i="49" s="1"/>
  <c r="AR268" i="49" s="1"/>
  <c r="AR269" i="49" s="1"/>
  <c r="AR270" i="49" s="1"/>
  <c r="AR271" i="49" s="1"/>
  <c r="AR272" i="49" s="1"/>
  <c r="AR273" i="49" s="1"/>
  <c r="AR274" i="49" s="1"/>
  <c r="AR275" i="49" s="1"/>
  <c r="AR276" i="49" s="1"/>
  <c r="AR277" i="49" s="1"/>
  <c r="AR278" i="49" s="1"/>
  <c r="AR279" i="49" s="1"/>
  <c r="AR280" i="49" s="1"/>
  <c r="AR281" i="49" s="1"/>
  <c r="AR282" i="49" s="1"/>
  <c r="AR283" i="49" s="1"/>
  <c r="AR284" i="49" s="1"/>
  <c r="AR285" i="49" s="1"/>
  <c r="AR286" i="49" s="1"/>
  <c r="AR287" i="49" s="1"/>
  <c r="AR288" i="49" s="1"/>
  <c r="AR289" i="49" s="1"/>
  <c r="AR290" i="49" s="1"/>
  <c r="AR291" i="49" s="1"/>
  <c r="AR292" i="49" s="1"/>
  <c r="AR293" i="49" s="1"/>
  <c r="AR294" i="49" s="1"/>
  <c r="AR295" i="49" s="1"/>
  <c r="AR296" i="49" s="1"/>
  <c r="AR297" i="49" s="1"/>
  <c r="AR298" i="49" s="1"/>
  <c r="AR299" i="49" s="1"/>
  <c r="AR300" i="49" s="1"/>
  <c r="AR301" i="49" s="1"/>
  <c r="AR302" i="49" s="1"/>
  <c r="AR303" i="49" s="1"/>
  <c r="AR304" i="49" s="1"/>
  <c r="AR305" i="49" s="1"/>
  <c r="AR306" i="49" s="1"/>
  <c r="AR307" i="49" s="1"/>
  <c r="AR308" i="49" s="1"/>
  <c r="AR309" i="49" s="1"/>
  <c r="AR310" i="49" s="1"/>
  <c r="AR311" i="49" s="1"/>
  <c r="AR312" i="49" s="1"/>
  <c r="AR313" i="49" s="1"/>
  <c r="AR314" i="49" s="1"/>
  <c r="AR315" i="49" s="1"/>
  <c r="AR316" i="49" s="1"/>
  <c r="AR317" i="49" s="1"/>
  <c r="AR318" i="49" s="1"/>
  <c r="AR319" i="49" s="1"/>
  <c r="AR320" i="49" s="1"/>
  <c r="AR321" i="49" s="1"/>
  <c r="AR322" i="49" s="1"/>
  <c r="AR323" i="49" s="1"/>
  <c r="AR324" i="49" s="1"/>
  <c r="AR325" i="49" s="1"/>
  <c r="AR326" i="49" s="1"/>
  <c r="AR327" i="49" s="1"/>
  <c r="AR328" i="49" s="1"/>
  <c r="AR329" i="49" s="1"/>
  <c r="AR330" i="49" s="1"/>
  <c r="AR331" i="49" s="1"/>
  <c r="AR332" i="49" s="1"/>
  <c r="AR333" i="49" s="1"/>
  <c r="AR334" i="49" s="1"/>
  <c r="AR335" i="49" s="1"/>
  <c r="AR336" i="49" s="1"/>
  <c r="AR337" i="49" s="1"/>
  <c r="AR338" i="49" s="1"/>
  <c r="AR339" i="49" s="1"/>
  <c r="AR340" i="49" s="1"/>
  <c r="AR341" i="49" s="1"/>
  <c r="AR342" i="49" s="1"/>
  <c r="AR343" i="49" s="1"/>
  <c r="AR344" i="49" s="1"/>
  <c r="AR345" i="49" s="1"/>
  <c r="AR346" i="49" s="1"/>
  <c r="AR347" i="49" s="1"/>
  <c r="AR348" i="49" s="1"/>
  <c r="AR349" i="49" s="1"/>
  <c r="AR350" i="49" s="1"/>
  <c r="AR351" i="49" s="1"/>
  <c r="AR352" i="49" s="1"/>
  <c r="AR353" i="49" s="1"/>
  <c r="AR354" i="49" s="1"/>
  <c r="AR355" i="49" s="1"/>
  <c r="AR356" i="49" s="1"/>
  <c r="AR357" i="49" s="1"/>
  <c r="AR358" i="49" s="1"/>
  <c r="AR359" i="49" s="1"/>
  <c r="AR360" i="49" s="1"/>
  <c r="AR361" i="49" s="1"/>
  <c r="AR362" i="49" s="1"/>
  <c r="AR363" i="49" s="1"/>
  <c r="AR364" i="49" s="1"/>
  <c r="AR365" i="49" s="1"/>
  <c r="AR366" i="49" s="1"/>
  <c r="AR367" i="49" s="1"/>
  <c r="AR368" i="49" s="1"/>
  <c r="AR369" i="49" s="1"/>
  <c r="AR370" i="49" s="1"/>
  <c r="AR371" i="49" s="1"/>
  <c r="AR372" i="49" s="1"/>
  <c r="AR373" i="49" s="1"/>
  <c r="AR374" i="49" s="1"/>
  <c r="AR375" i="49" s="1"/>
  <c r="AR376" i="49" s="1"/>
  <c r="AR377" i="49" s="1"/>
  <c r="AR378" i="49" s="1"/>
  <c r="AR379" i="49" s="1"/>
  <c r="AR380" i="49" s="1"/>
  <c r="AR381" i="49" s="1"/>
  <c r="AR382" i="49" s="1"/>
  <c r="AR383" i="49" s="1"/>
  <c r="AR384" i="49" s="1"/>
  <c r="AR385" i="49" s="1"/>
  <c r="AR386" i="49" s="1"/>
  <c r="AR387" i="49" s="1"/>
  <c r="AR388" i="49" s="1"/>
  <c r="AR389" i="49" s="1"/>
  <c r="AR390" i="49" s="1"/>
  <c r="AR391" i="49" s="1"/>
  <c r="AR392" i="49" s="1"/>
  <c r="AR393" i="49" s="1"/>
  <c r="AR394" i="49" s="1"/>
  <c r="AR395" i="49" s="1"/>
  <c r="AR396" i="49" s="1"/>
  <c r="AR397" i="49" s="1"/>
  <c r="AR398" i="49" s="1"/>
  <c r="AR399" i="49" s="1"/>
  <c r="AR400" i="49" s="1"/>
  <c r="AR401" i="49" s="1"/>
  <c r="AR402" i="49" s="1"/>
  <c r="AR403" i="49" s="1"/>
  <c r="AR404" i="49" s="1"/>
  <c r="AR405" i="49" s="1"/>
  <c r="AR406" i="49" s="1"/>
  <c r="AR407" i="49" s="1"/>
  <c r="AR408" i="49" s="1"/>
  <c r="AR409" i="49" s="1"/>
  <c r="AR410" i="49" s="1"/>
  <c r="AR411" i="49" s="1"/>
  <c r="AR412" i="49" s="1"/>
  <c r="AR413" i="49" s="1"/>
  <c r="AR414" i="49" s="1"/>
  <c r="AR415" i="49" s="1"/>
  <c r="AR416" i="49" s="1"/>
  <c r="AR417" i="49" s="1"/>
  <c r="AR418" i="49" s="1"/>
  <c r="AR419" i="49" s="1"/>
  <c r="AR420" i="49" s="1"/>
  <c r="AR421" i="49" s="1"/>
  <c r="AR422" i="49" s="1"/>
  <c r="AR423" i="49" s="1"/>
  <c r="AR424" i="49" s="1"/>
  <c r="AR425" i="49" s="1"/>
  <c r="AR426" i="49" s="1"/>
  <c r="AR427" i="49" s="1"/>
  <c r="AR428" i="49" s="1"/>
  <c r="AR429" i="49" s="1"/>
  <c r="AR430" i="49" s="1"/>
  <c r="AR431" i="49" s="1"/>
  <c r="AR432" i="49" s="1"/>
  <c r="AR433" i="49" s="1"/>
  <c r="AR434" i="49" s="1"/>
  <c r="AR435" i="49" s="1"/>
  <c r="AR436" i="49" s="1"/>
  <c r="AR437" i="49" s="1"/>
  <c r="AR438" i="49" s="1"/>
  <c r="AR439" i="49" s="1"/>
  <c r="AR440" i="49" s="1"/>
  <c r="AR441" i="49" s="1"/>
  <c r="AR442" i="49" s="1"/>
  <c r="AR443" i="49" s="1"/>
  <c r="AR444" i="49" s="1"/>
  <c r="AR445" i="49" s="1"/>
  <c r="AR446" i="49" s="1"/>
  <c r="AR447" i="49" s="1"/>
  <c r="AR448" i="49" s="1"/>
  <c r="AR449" i="49" s="1"/>
  <c r="AR450" i="49" s="1"/>
  <c r="AR451" i="49" s="1"/>
  <c r="AR452" i="49" s="1"/>
  <c r="AR453" i="49" s="1"/>
  <c r="AR454" i="49" s="1"/>
  <c r="AR455" i="49" s="1"/>
  <c r="AR456" i="49" s="1"/>
  <c r="AR457" i="49" s="1"/>
  <c r="AR458" i="49" s="1"/>
  <c r="AR459" i="49" s="1"/>
  <c r="AR460" i="49" s="1"/>
  <c r="AR461" i="49" s="1"/>
  <c r="AR462" i="49" s="1"/>
  <c r="AR463" i="49" s="1"/>
  <c r="AR464" i="49" s="1"/>
  <c r="AR465" i="49" s="1"/>
  <c r="AR466" i="49" s="1"/>
  <c r="AR467" i="49" s="1"/>
  <c r="AR468" i="49" s="1"/>
  <c r="AR469" i="49" s="1"/>
  <c r="AR470" i="49" s="1"/>
  <c r="AR471" i="49" s="1"/>
  <c r="AR472" i="49" s="1"/>
  <c r="AR473" i="49" s="1"/>
  <c r="AR474" i="49" s="1"/>
  <c r="AR475" i="49" s="1"/>
  <c r="AR476" i="49" s="1"/>
  <c r="AR477" i="49" s="1"/>
  <c r="AR478" i="49" s="1"/>
  <c r="AR479" i="49" s="1"/>
  <c r="AR480" i="49" s="1"/>
  <c r="AR481" i="49" s="1"/>
  <c r="AR482" i="49" s="1"/>
  <c r="AR483" i="49" s="1"/>
  <c r="AR484" i="49" s="1"/>
  <c r="AR485" i="49" s="1"/>
  <c r="AR486" i="49" s="1"/>
  <c r="AR487" i="49" s="1"/>
  <c r="AR488" i="49" s="1"/>
  <c r="AR489" i="49" s="1"/>
  <c r="AR490" i="49" s="1"/>
  <c r="AR491" i="49" s="1"/>
  <c r="AR492" i="49" s="1"/>
  <c r="AR493" i="49" s="1"/>
  <c r="AR494" i="49" s="1"/>
  <c r="AR495" i="49" s="1"/>
  <c r="AR496" i="49" s="1"/>
  <c r="AR497" i="49" s="1"/>
  <c r="AR498" i="49" s="1"/>
  <c r="AR499" i="49" s="1"/>
  <c r="AR500" i="49" s="1"/>
  <c r="AR501" i="49" s="1"/>
  <c r="AR502" i="49" s="1"/>
  <c r="AR503" i="49" s="1"/>
  <c r="AR504" i="49" s="1"/>
  <c r="AR505" i="49" s="1"/>
  <c r="AR506" i="49" s="1"/>
  <c r="AR507" i="49" s="1"/>
  <c r="AR508" i="49" s="1"/>
  <c r="AR509" i="49" s="1"/>
  <c r="AR510" i="49" s="1"/>
  <c r="AR511" i="49" s="1"/>
  <c r="AR512" i="49" s="1"/>
  <c r="AR513" i="49" s="1"/>
  <c r="AR514" i="49" s="1"/>
  <c r="AR515" i="49" s="1"/>
  <c r="AR516" i="49" s="1"/>
  <c r="AR517" i="49" s="1"/>
  <c r="AR518" i="49" s="1"/>
  <c r="AR519" i="49" s="1"/>
  <c r="AR520" i="49" s="1"/>
  <c r="AR521" i="49" s="1"/>
  <c r="AR522" i="49" s="1"/>
  <c r="AR523" i="49" s="1"/>
  <c r="AR524" i="49" s="1"/>
  <c r="AR525" i="49" s="1"/>
  <c r="AR526" i="49" s="1"/>
  <c r="AR527" i="49" s="1"/>
  <c r="AR528" i="49" s="1"/>
  <c r="AR529" i="49" s="1"/>
  <c r="AR530" i="49" s="1"/>
  <c r="AR531" i="49" s="1"/>
  <c r="AR532" i="49" s="1"/>
  <c r="AR533" i="49" s="1"/>
  <c r="AR534" i="49" s="1"/>
  <c r="AR535" i="49" s="1"/>
  <c r="AR536" i="49" s="1"/>
  <c r="AR537" i="49" s="1"/>
  <c r="AR538" i="49" s="1"/>
  <c r="AR539" i="49" s="1"/>
  <c r="AR540" i="49" s="1"/>
  <c r="AR541" i="49" s="1"/>
  <c r="AR542" i="49" s="1"/>
  <c r="AR543" i="49" s="1"/>
  <c r="AR544" i="49" s="1"/>
  <c r="AR545" i="49" s="1"/>
  <c r="AR546" i="49" s="1"/>
  <c r="AR547" i="49" s="1"/>
  <c r="AR548" i="49" s="1"/>
  <c r="AR549" i="49" s="1"/>
  <c r="AR550" i="49" s="1"/>
  <c r="AR551" i="49" s="1"/>
  <c r="AR552" i="49" s="1"/>
  <c r="AR553" i="49" s="1"/>
  <c r="AR554" i="49" s="1"/>
  <c r="AR555" i="49" s="1"/>
  <c r="AR556" i="49" s="1"/>
  <c r="AR557" i="49" s="1"/>
  <c r="AR558" i="49" s="1"/>
  <c r="AR559" i="49" s="1"/>
  <c r="AR560" i="49" s="1"/>
  <c r="AR561" i="49" s="1"/>
  <c r="AR562" i="49" s="1"/>
  <c r="AR563" i="49" s="1"/>
  <c r="AR564" i="49" s="1"/>
  <c r="AR565" i="49" s="1"/>
  <c r="AR566" i="49" s="1"/>
  <c r="AR567" i="49" s="1"/>
  <c r="AR568" i="49" s="1"/>
  <c r="AR569" i="49" s="1"/>
  <c r="AR570" i="49" s="1"/>
  <c r="AR571" i="49" s="1"/>
  <c r="AR572" i="49" s="1"/>
  <c r="AR573" i="49" s="1"/>
  <c r="AR574" i="49" s="1"/>
  <c r="AR575" i="49" s="1"/>
  <c r="AR576" i="49" s="1"/>
  <c r="AR577" i="49" s="1"/>
  <c r="AR578" i="49" s="1"/>
  <c r="AR579" i="49" s="1"/>
  <c r="AR580" i="49" s="1"/>
  <c r="AR581" i="49" s="1"/>
  <c r="AR582" i="49" s="1"/>
  <c r="AR583" i="49" s="1"/>
  <c r="AR584" i="49" s="1"/>
  <c r="AR585" i="49" s="1"/>
  <c r="AR586" i="49" s="1"/>
  <c r="AR587" i="49" s="1"/>
  <c r="AR588" i="49" s="1"/>
  <c r="AR589" i="49" s="1"/>
  <c r="AR590" i="49" s="1"/>
  <c r="AR591" i="49" s="1"/>
  <c r="AR592" i="49" s="1"/>
  <c r="AR593" i="49" s="1"/>
  <c r="AR594" i="49" s="1"/>
  <c r="AR595" i="49" s="1"/>
  <c r="AR596" i="49" s="1"/>
  <c r="AR597" i="49" s="1"/>
  <c r="AR598" i="49" s="1"/>
  <c r="AR599" i="49" s="1"/>
  <c r="AR600" i="49" s="1"/>
  <c r="AR601" i="49" s="1"/>
  <c r="AR602" i="49" s="1"/>
  <c r="AR603" i="49" s="1"/>
  <c r="AR604" i="49" s="1"/>
  <c r="AR605" i="49" s="1"/>
  <c r="AR606" i="49" s="1"/>
  <c r="AR607" i="49" s="1"/>
  <c r="AR608" i="49" s="1"/>
  <c r="AR609" i="49" s="1"/>
  <c r="AR610" i="49" s="1"/>
  <c r="AR611" i="49" s="1"/>
  <c r="AR612" i="49" s="1"/>
  <c r="AR613" i="49" s="1"/>
  <c r="AR614" i="49" s="1"/>
  <c r="AR615" i="49" s="1"/>
  <c r="AR616" i="49" s="1"/>
  <c r="AR617" i="49" s="1"/>
  <c r="AR618" i="49" s="1"/>
  <c r="AR619" i="49" s="1"/>
  <c r="AR620" i="49" s="1"/>
  <c r="AR621" i="49" s="1"/>
  <c r="AR622" i="49" s="1"/>
  <c r="AR623" i="49" s="1"/>
  <c r="AR624" i="49" s="1"/>
  <c r="AR625" i="49" s="1"/>
  <c r="AR626" i="49" s="1"/>
  <c r="AR627" i="49" s="1"/>
  <c r="AR628" i="49" s="1"/>
  <c r="AR629" i="49" s="1"/>
  <c r="AR630" i="49" s="1"/>
  <c r="AR631" i="49" s="1"/>
  <c r="AR632" i="49" s="1"/>
  <c r="AR633" i="49" s="1"/>
  <c r="AR634" i="49" s="1"/>
  <c r="AR635" i="49" s="1"/>
  <c r="AR636" i="49" s="1"/>
  <c r="AR637" i="49" s="1"/>
  <c r="AR638" i="49" s="1"/>
  <c r="AR639" i="49" s="1"/>
  <c r="AR640" i="49" s="1"/>
  <c r="AR641" i="49" s="1"/>
  <c r="AR642" i="49" s="1"/>
  <c r="AR643" i="49" s="1"/>
  <c r="AR644" i="49" s="1"/>
  <c r="AR645" i="49" s="1"/>
  <c r="AR646" i="49" s="1"/>
  <c r="AR647" i="49" s="1"/>
  <c r="AR648" i="49" s="1"/>
  <c r="AR649" i="49" s="1"/>
  <c r="AR650" i="49" s="1"/>
  <c r="AR651" i="49" s="1"/>
  <c r="AR652" i="49" s="1"/>
  <c r="AR653" i="49" s="1"/>
  <c r="AR654" i="49" s="1"/>
  <c r="AR655" i="49" s="1"/>
  <c r="AR656" i="49" s="1"/>
  <c r="AR657" i="49" s="1"/>
  <c r="AR658" i="49" s="1"/>
  <c r="AR659" i="49" s="1"/>
  <c r="AR660" i="49" s="1"/>
  <c r="AR661" i="49" s="1"/>
  <c r="AR662" i="49" s="1"/>
  <c r="AR663" i="49" s="1"/>
  <c r="AR664" i="49" s="1"/>
  <c r="AR665" i="49" s="1"/>
  <c r="AR666" i="49" s="1"/>
  <c r="AR667" i="49" s="1"/>
  <c r="AR668" i="49" s="1"/>
  <c r="AR669" i="49" s="1"/>
  <c r="AR670" i="49" s="1"/>
  <c r="AR671" i="49" s="1"/>
  <c r="AR672" i="49" s="1"/>
  <c r="AR673" i="49" s="1"/>
  <c r="AR674" i="49" s="1"/>
  <c r="AR675" i="49" s="1"/>
  <c r="AR676" i="49" s="1"/>
  <c r="AR677" i="49" s="1"/>
  <c r="AR678" i="49" s="1"/>
  <c r="AR679" i="49" s="1"/>
  <c r="AR680" i="49" s="1"/>
  <c r="AR681" i="49" s="1"/>
  <c r="AR682" i="49" s="1"/>
  <c r="AR683" i="49" s="1"/>
  <c r="AR684" i="49" s="1"/>
  <c r="AR685" i="49" s="1"/>
  <c r="AR686" i="49" s="1"/>
  <c r="AR687" i="49" s="1"/>
  <c r="AR688" i="49" s="1"/>
  <c r="AR689" i="49" s="1"/>
  <c r="AR690" i="49" s="1"/>
  <c r="AR691" i="49" s="1"/>
  <c r="AR692" i="49" s="1"/>
  <c r="AR693" i="49" s="1"/>
  <c r="AR694" i="49" s="1"/>
  <c r="AR695" i="49" s="1"/>
  <c r="AR696" i="49" s="1"/>
  <c r="AR697" i="49" s="1"/>
  <c r="AR698" i="49" s="1"/>
  <c r="AR699" i="49" s="1"/>
  <c r="AR700" i="49" s="1"/>
  <c r="AR701" i="49" s="1"/>
  <c r="AR702" i="49" s="1"/>
  <c r="AR703" i="49" s="1"/>
  <c r="AR704" i="49" s="1"/>
  <c r="AR705" i="49" s="1"/>
  <c r="AR706" i="49" s="1"/>
  <c r="AR707" i="49" s="1"/>
  <c r="AR708" i="49" s="1"/>
  <c r="AR709" i="49" s="1"/>
  <c r="AR710" i="49" s="1"/>
  <c r="AR711" i="49" s="1"/>
  <c r="AR712" i="49" s="1"/>
  <c r="AR713" i="49" s="1"/>
  <c r="AR714" i="49" s="1"/>
  <c r="AR715" i="49" s="1"/>
  <c r="AR716" i="49" s="1"/>
  <c r="AR717" i="49" s="1"/>
  <c r="AR718" i="49" s="1"/>
  <c r="AR719" i="49" s="1"/>
  <c r="AR720" i="49" s="1"/>
  <c r="AR721" i="49" s="1"/>
  <c r="AR722" i="49" s="1"/>
  <c r="AR723" i="49" s="1"/>
  <c r="AR724" i="49" s="1"/>
  <c r="AR725" i="49" s="1"/>
  <c r="AR726" i="49" s="1"/>
  <c r="AR727" i="49" s="1"/>
  <c r="AR728" i="49" s="1"/>
  <c r="AR729" i="49" s="1"/>
  <c r="AR730" i="49" s="1"/>
  <c r="AR731" i="49" s="1"/>
  <c r="AR732" i="49" s="1"/>
  <c r="AR733" i="49" s="1"/>
  <c r="AR734" i="49" s="1"/>
  <c r="AR735" i="49" s="1"/>
  <c r="AR736" i="49" s="1"/>
  <c r="AR737" i="49" s="1"/>
  <c r="AR738" i="49" s="1"/>
  <c r="AR739" i="49" s="1"/>
  <c r="AR740" i="49" s="1"/>
  <c r="AR741" i="49" s="1"/>
  <c r="AR742" i="49" s="1"/>
  <c r="AR743" i="49" s="1"/>
  <c r="AR744" i="49" s="1"/>
  <c r="AR745" i="49" s="1"/>
  <c r="AR746" i="49" s="1"/>
  <c r="AR747" i="49" s="1"/>
  <c r="AR748" i="49" s="1"/>
  <c r="AR749" i="49" s="1"/>
  <c r="AR750" i="49" s="1"/>
  <c r="AR751" i="49" s="1"/>
  <c r="AR752" i="49" s="1"/>
  <c r="AR753" i="49" s="1"/>
  <c r="AR754" i="49" s="1"/>
  <c r="AR755" i="49" s="1"/>
  <c r="AR756" i="49" s="1"/>
  <c r="AR757" i="49" s="1"/>
  <c r="AR758" i="49" s="1"/>
  <c r="AR759" i="49" s="1"/>
  <c r="AR760" i="49" s="1"/>
  <c r="AR761" i="49" s="1"/>
  <c r="AR762" i="49" s="1"/>
  <c r="AR763" i="49" s="1"/>
  <c r="AR764" i="49" s="1"/>
  <c r="AR765" i="49" s="1"/>
  <c r="AR766" i="49" s="1"/>
  <c r="AR767" i="49" s="1"/>
  <c r="AR768" i="49" s="1"/>
  <c r="AR769" i="49" s="1"/>
  <c r="AR770" i="49" s="1"/>
  <c r="AR771" i="49" s="1"/>
  <c r="AR772" i="49" s="1"/>
  <c r="AR773" i="49" s="1"/>
  <c r="AR774" i="49" s="1"/>
  <c r="AR775" i="49" s="1"/>
  <c r="AR776" i="49" s="1"/>
  <c r="AR777" i="49" s="1"/>
  <c r="AR778" i="49" s="1"/>
  <c r="AR779" i="49" s="1"/>
  <c r="AR780" i="49" s="1"/>
  <c r="AR781" i="49" s="1"/>
  <c r="AR782" i="49" s="1"/>
  <c r="AR783" i="49" s="1"/>
  <c r="AR784" i="49" s="1"/>
  <c r="AR785" i="49" s="1"/>
  <c r="AR786" i="49" s="1"/>
  <c r="AR787" i="49" s="1"/>
  <c r="AR788" i="49" s="1"/>
  <c r="AR789" i="49" s="1"/>
  <c r="AR790" i="49" s="1"/>
  <c r="AR791" i="49" s="1"/>
  <c r="AR792" i="49" s="1"/>
  <c r="AR793" i="49" s="1"/>
  <c r="AR794" i="49" s="1"/>
  <c r="AR795" i="49" s="1"/>
  <c r="AR796" i="49" s="1"/>
  <c r="AR797" i="49" s="1"/>
  <c r="AR798" i="49" s="1"/>
  <c r="AR799" i="49" s="1"/>
  <c r="AR800" i="49" s="1"/>
  <c r="AR801" i="49" s="1"/>
  <c r="AR802" i="49" s="1"/>
  <c r="AR803" i="49" s="1"/>
  <c r="AR804" i="49" s="1"/>
  <c r="AR805" i="49" s="1"/>
  <c r="AR806" i="49" s="1"/>
  <c r="AR807" i="49" s="1"/>
  <c r="AR808" i="49" s="1"/>
  <c r="AR809" i="49" s="1"/>
  <c r="AR810" i="49" s="1"/>
  <c r="AR811" i="49" s="1"/>
  <c r="AR812" i="49" s="1"/>
  <c r="AR813" i="49" s="1"/>
  <c r="AR814" i="49" s="1"/>
  <c r="AR815" i="49" s="1"/>
  <c r="AR816" i="49" s="1"/>
  <c r="AR817" i="49" s="1"/>
  <c r="AR818" i="49" s="1"/>
  <c r="AR819" i="49" s="1"/>
  <c r="AR820" i="49" s="1"/>
  <c r="AR821" i="49" s="1"/>
  <c r="AR822" i="49" s="1"/>
  <c r="AR823" i="49" s="1"/>
  <c r="AR824" i="49" s="1"/>
  <c r="AR825" i="49" s="1"/>
  <c r="AR826" i="49" s="1"/>
  <c r="AR827" i="49" s="1"/>
  <c r="AR828" i="49" s="1"/>
  <c r="AR829" i="49" s="1"/>
  <c r="AR830" i="49" s="1"/>
  <c r="AR831" i="49" s="1"/>
  <c r="AR832" i="49" s="1"/>
  <c r="AR833" i="49" s="1"/>
  <c r="AR834" i="49" s="1"/>
  <c r="AR835" i="49" s="1"/>
  <c r="AR836" i="49" s="1"/>
  <c r="AR837" i="49" s="1"/>
  <c r="AR838" i="49" s="1"/>
  <c r="AR839" i="49" s="1"/>
  <c r="AR840" i="49" s="1"/>
  <c r="AR841" i="49" s="1"/>
  <c r="AR842" i="49" s="1"/>
  <c r="AR843" i="49" s="1"/>
  <c r="AR844" i="49" s="1"/>
  <c r="AR845" i="49" s="1"/>
  <c r="AR846" i="49" s="1"/>
  <c r="AR847" i="49" s="1"/>
  <c r="AR848" i="49" s="1"/>
  <c r="AR849" i="49" s="1"/>
  <c r="AR850" i="49" s="1"/>
  <c r="AR851" i="49" s="1"/>
  <c r="AR852" i="49" s="1"/>
  <c r="AR853" i="49" s="1"/>
  <c r="AR854" i="49" s="1"/>
  <c r="AR855" i="49" s="1"/>
  <c r="AR856" i="49" s="1"/>
  <c r="AR857" i="49" s="1"/>
  <c r="AR858" i="49" s="1"/>
  <c r="AR859" i="49" s="1"/>
  <c r="AR860" i="49" s="1"/>
  <c r="AR861" i="49" s="1"/>
  <c r="AR862" i="49" s="1"/>
  <c r="AR863" i="49" s="1"/>
  <c r="AR864" i="49" s="1"/>
  <c r="AR865" i="49" s="1"/>
  <c r="AR866" i="49" s="1"/>
  <c r="AR867" i="49" s="1"/>
  <c r="AR868" i="49" s="1"/>
  <c r="AR869" i="49" s="1"/>
  <c r="AR870" i="49" s="1"/>
  <c r="AR871" i="49" s="1"/>
  <c r="AR872" i="49" s="1"/>
  <c r="AR873" i="49" s="1"/>
  <c r="AR874" i="49" s="1"/>
  <c r="AR875" i="49" s="1"/>
  <c r="AR876" i="49" s="1"/>
  <c r="AR877" i="49" s="1"/>
  <c r="AR878" i="49" s="1"/>
  <c r="AR879" i="49" s="1"/>
  <c r="AR880" i="49" s="1"/>
  <c r="AR881" i="49" s="1"/>
  <c r="AR882" i="49" s="1"/>
  <c r="AR883" i="49" s="1"/>
  <c r="AR884" i="49" s="1"/>
  <c r="AR885" i="49" s="1"/>
  <c r="AR886" i="49" s="1"/>
  <c r="AR887" i="49" s="1"/>
  <c r="AR888" i="49" s="1"/>
  <c r="AR889" i="49" s="1"/>
  <c r="AR890" i="49" s="1"/>
  <c r="AR891" i="49" s="1"/>
  <c r="AR892" i="49" s="1"/>
  <c r="AR893" i="49" s="1"/>
  <c r="AR894" i="49" s="1"/>
  <c r="AR895" i="49" s="1"/>
  <c r="AR896" i="49" s="1"/>
  <c r="AR897" i="49" s="1"/>
  <c r="AR898" i="49" s="1"/>
  <c r="AR899" i="49" s="1"/>
  <c r="AR900" i="49" s="1"/>
  <c r="AR901" i="49" s="1"/>
  <c r="AR902" i="49" s="1"/>
  <c r="AR903" i="49" s="1"/>
  <c r="AR904" i="49" s="1"/>
  <c r="AR905" i="49" s="1"/>
  <c r="AR906" i="49" s="1"/>
  <c r="AR907" i="49" s="1"/>
  <c r="AR908" i="49" s="1"/>
  <c r="AR909" i="49" s="1"/>
  <c r="AR910" i="49" s="1"/>
  <c r="AR911" i="49" s="1"/>
  <c r="AR912" i="49" s="1"/>
  <c r="AR913" i="49" s="1"/>
  <c r="AR914" i="49" s="1"/>
  <c r="AR915" i="49" s="1"/>
  <c r="AR916" i="49" s="1"/>
  <c r="AR917" i="49" s="1"/>
  <c r="AR918" i="49" s="1"/>
  <c r="AR919" i="49" s="1"/>
  <c r="AR920" i="49" s="1"/>
  <c r="AR921" i="49" s="1"/>
  <c r="AR922" i="49" s="1"/>
  <c r="AR923" i="49" s="1"/>
  <c r="AR924" i="49" s="1"/>
  <c r="AR925" i="49" s="1"/>
  <c r="AR926" i="49" s="1"/>
  <c r="AR927" i="49" s="1"/>
  <c r="AR928" i="49" s="1"/>
  <c r="AR929" i="49" s="1"/>
  <c r="AR930" i="49" s="1"/>
  <c r="AR931" i="49" s="1"/>
  <c r="AR932" i="49" s="1"/>
  <c r="AR933" i="49" s="1"/>
  <c r="AR934" i="49" s="1"/>
  <c r="AR935" i="49" s="1"/>
  <c r="AR936" i="49" s="1"/>
  <c r="AR937" i="49" s="1"/>
  <c r="AR938" i="49" s="1"/>
  <c r="AR939" i="49" s="1"/>
  <c r="AR940" i="49" s="1"/>
  <c r="AR941" i="49" s="1"/>
  <c r="AR942" i="49" s="1"/>
  <c r="AR943" i="49" s="1"/>
  <c r="AR944" i="49" s="1"/>
  <c r="AR945" i="49" s="1"/>
  <c r="AR946" i="49" s="1"/>
  <c r="AR947" i="49" s="1"/>
  <c r="AR948" i="49" s="1"/>
  <c r="AR949" i="49" s="1"/>
  <c r="AR950" i="49" s="1"/>
  <c r="AR951" i="49" s="1"/>
  <c r="AR952" i="49" s="1"/>
  <c r="AR953" i="49" s="1"/>
  <c r="AR954" i="49" s="1"/>
  <c r="AR955" i="49" s="1"/>
  <c r="AR956" i="49" s="1"/>
  <c r="AR957" i="49" s="1"/>
  <c r="AR958" i="49" s="1"/>
  <c r="AR959" i="49" s="1"/>
  <c r="AR960" i="49" s="1"/>
  <c r="AR961" i="49" s="1"/>
  <c r="AR962" i="49" s="1"/>
  <c r="AR963" i="49" s="1"/>
  <c r="AR964" i="49" s="1"/>
  <c r="AR965" i="49" s="1"/>
  <c r="AR966" i="49" s="1"/>
  <c r="AR967" i="49" s="1"/>
  <c r="AR968" i="49" s="1"/>
  <c r="AR969" i="49" s="1"/>
  <c r="AR970" i="49" s="1"/>
  <c r="AR971" i="49" s="1"/>
  <c r="AR972" i="49" s="1"/>
  <c r="AR973" i="49" s="1"/>
  <c r="AR974" i="49" s="1"/>
  <c r="AR975" i="49" s="1"/>
  <c r="AR976" i="49" s="1"/>
  <c r="AR977" i="49" s="1"/>
  <c r="AR978" i="49" s="1"/>
  <c r="AR979" i="49" s="1"/>
  <c r="AR980" i="49" s="1"/>
  <c r="AR981" i="49" s="1"/>
  <c r="AR982" i="49" s="1"/>
  <c r="AR983" i="49" s="1"/>
  <c r="AR984" i="49" s="1"/>
  <c r="AR985" i="49" s="1"/>
  <c r="AR986" i="49" s="1"/>
  <c r="AR987" i="49" s="1"/>
  <c r="AR988" i="49" s="1"/>
  <c r="AR989" i="49" s="1"/>
  <c r="AR990" i="49" s="1"/>
  <c r="AR991" i="49" s="1"/>
  <c r="AR992" i="49" s="1"/>
  <c r="AR993" i="49" s="1"/>
  <c r="AR994" i="49" s="1"/>
  <c r="AR995" i="49" s="1"/>
  <c r="AR996" i="49" s="1"/>
  <c r="AR997" i="49" s="1"/>
  <c r="AR998" i="49" s="1"/>
  <c r="AR999" i="49" s="1"/>
  <c r="AR1000" i="49" s="1"/>
  <c r="AR1001" i="49" s="1"/>
  <c r="AR1002" i="49" s="1"/>
  <c r="AR1003" i="49" s="1"/>
  <c r="AR1004" i="49" s="1"/>
  <c r="AR1005" i="49" s="1"/>
  <c r="AR1006" i="49" s="1"/>
  <c r="AR1007" i="49" s="1"/>
  <c r="AR1008" i="49" s="1"/>
  <c r="AR1009" i="49" s="1"/>
  <c r="AR1010" i="49" s="1"/>
  <c r="AR1011" i="49" s="1"/>
  <c r="AR1012" i="49" s="1"/>
  <c r="AR1013" i="49" s="1"/>
  <c r="AR1014" i="49" s="1"/>
  <c r="AR1015" i="49" s="1"/>
  <c r="AR1016" i="49" s="1"/>
  <c r="AR1017" i="49" s="1"/>
  <c r="AR1018" i="49" s="1"/>
  <c r="AR1019" i="49" s="1"/>
  <c r="AR1020" i="49" s="1"/>
  <c r="AR1021" i="49" s="1"/>
  <c r="AR1022" i="49" s="1"/>
  <c r="AR1023" i="49" s="1"/>
  <c r="AR1024" i="49" s="1"/>
  <c r="AR1025" i="49" s="1"/>
  <c r="AR1026" i="49" s="1"/>
  <c r="AR1027" i="49" s="1"/>
  <c r="AR1028" i="49" s="1"/>
  <c r="AR1029" i="49" s="1"/>
  <c r="AR1030" i="49" s="1"/>
  <c r="AR1031" i="49" s="1"/>
  <c r="AR1032" i="49" s="1"/>
  <c r="AR1033" i="49" s="1"/>
  <c r="AR1034" i="49" s="1"/>
  <c r="AR1035" i="49" s="1"/>
  <c r="AR1036" i="49" s="1"/>
  <c r="AR1037" i="49" s="1"/>
  <c r="AR1038" i="49" s="1"/>
  <c r="AR1039" i="49" s="1"/>
  <c r="AR1040" i="49" s="1"/>
  <c r="AR1041" i="49" s="1"/>
  <c r="AR1042" i="49" s="1"/>
  <c r="AR1043" i="49" s="1"/>
  <c r="AR1044" i="49" s="1"/>
  <c r="AR1045" i="49" s="1"/>
  <c r="AR1046" i="49" s="1"/>
  <c r="AR1047" i="49" s="1"/>
  <c r="AR1048" i="49" s="1"/>
  <c r="AR1049" i="49" s="1"/>
  <c r="AR1050" i="49" s="1"/>
  <c r="AR1051" i="49" s="1"/>
  <c r="AR1052" i="49" s="1"/>
  <c r="AR1053" i="49" s="1"/>
  <c r="AR1054" i="49" s="1"/>
  <c r="AR1055" i="49" s="1"/>
  <c r="AR1056" i="49" s="1"/>
  <c r="AR1057" i="49" s="1"/>
  <c r="AR1058" i="49" s="1"/>
  <c r="AR1059" i="49" s="1"/>
  <c r="AR1060" i="49" s="1"/>
  <c r="AR1061" i="49" s="1"/>
  <c r="AR1062" i="49" s="1"/>
  <c r="AR1063" i="49" s="1"/>
  <c r="AR1064" i="49" s="1"/>
  <c r="AR1065" i="49" s="1"/>
  <c r="AR1066" i="49" s="1"/>
  <c r="AR1067" i="49" s="1"/>
  <c r="AR1068" i="49" s="1"/>
  <c r="AR1069" i="49" s="1"/>
  <c r="AR1070" i="49" s="1"/>
  <c r="AR1071" i="49" s="1"/>
  <c r="AR1072" i="49" s="1"/>
  <c r="AR1073" i="49" s="1"/>
  <c r="AR1074" i="49" s="1"/>
  <c r="AR1075" i="49" s="1"/>
  <c r="AR1076" i="49" s="1"/>
  <c r="AR1077" i="49" s="1"/>
  <c r="AR1078" i="49" s="1"/>
  <c r="AR1079" i="49" s="1"/>
  <c r="AR1080" i="49" s="1"/>
  <c r="AR1081" i="49" s="1"/>
  <c r="AR1082" i="49" s="1"/>
  <c r="AR1083" i="49" s="1"/>
  <c r="AR1084" i="49" s="1"/>
  <c r="AR1085" i="49" s="1"/>
  <c r="AR1086" i="49" s="1"/>
  <c r="AR1087" i="49" s="1"/>
  <c r="AR1088" i="49" s="1"/>
  <c r="AR1089" i="49" s="1"/>
  <c r="AR1090" i="49" s="1"/>
  <c r="AR1091" i="49" s="1"/>
  <c r="AR1092" i="49" s="1"/>
  <c r="AR1093" i="49" s="1"/>
  <c r="AR1094" i="49" s="1"/>
  <c r="AR1095" i="49" s="1"/>
  <c r="AR1096" i="49" s="1"/>
  <c r="AR1097" i="49" s="1"/>
  <c r="AR1098" i="49" s="1"/>
  <c r="AR1099" i="49" s="1"/>
  <c r="AR1100" i="49" s="1"/>
  <c r="AR1101" i="49" s="1"/>
  <c r="AR1102" i="49" s="1"/>
  <c r="AR1103" i="49" s="1"/>
  <c r="AR1104" i="49" s="1"/>
  <c r="AR1105" i="49" s="1"/>
  <c r="AR1106" i="49" s="1"/>
  <c r="AR1107" i="49" s="1"/>
  <c r="AR1108" i="49" s="1"/>
  <c r="AR1109" i="49" s="1"/>
  <c r="AR1110" i="49" s="1"/>
  <c r="AR1111" i="49" s="1"/>
  <c r="AR1112" i="49" s="1"/>
  <c r="AR1113" i="49" s="1"/>
  <c r="AR1114" i="49" s="1"/>
  <c r="AR1115" i="49" s="1"/>
  <c r="AR1116" i="49" s="1"/>
  <c r="AR1117" i="49" s="1"/>
  <c r="AR1118" i="49" s="1"/>
  <c r="AR1119" i="49" s="1"/>
  <c r="AR1120" i="49" s="1"/>
  <c r="AR1121" i="49" s="1"/>
  <c r="AR1122" i="49" s="1"/>
  <c r="AR1123" i="49" s="1"/>
  <c r="AR1124" i="49" s="1"/>
  <c r="AR1125" i="49" s="1"/>
  <c r="AR1126" i="49" s="1"/>
  <c r="AR1127" i="49" s="1"/>
  <c r="AR1128" i="49" s="1"/>
  <c r="AR1129" i="49" s="1"/>
  <c r="AR1130" i="49" s="1"/>
  <c r="AR1131" i="49" s="1"/>
  <c r="AR1132" i="49" s="1"/>
  <c r="AR1133" i="49" s="1"/>
  <c r="AR1134" i="49" s="1"/>
  <c r="AR1135" i="49" s="1"/>
  <c r="AR1136" i="49" s="1"/>
  <c r="AR1137" i="49" s="1"/>
  <c r="AR1138" i="49" s="1"/>
  <c r="AR1139" i="49" s="1"/>
  <c r="AR1140" i="49" s="1"/>
  <c r="AR1141" i="49" s="1"/>
  <c r="AR1142" i="49" s="1"/>
  <c r="AR1143" i="49" s="1"/>
  <c r="AR1144" i="49" s="1"/>
  <c r="AR1145" i="49" s="1"/>
  <c r="AR1146" i="49" s="1"/>
  <c r="AR1147" i="49" s="1"/>
  <c r="AR1148" i="49" s="1"/>
  <c r="AR1149" i="49" s="1"/>
  <c r="AR1150" i="49" s="1"/>
  <c r="AR1151" i="49" s="1"/>
  <c r="AR1152" i="49" s="1"/>
  <c r="AR1153" i="49" s="1"/>
  <c r="AR1154" i="49" s="1"/>
  <c r="AR1155" i="49" s="1"/>
  <c r="AR1156" i="49" s="1"/>
  <c r="AR1157" i="49" s="1"/>
  <c r="AR1158" i="49" s="1"/>
  <c r="AR1159" i="49" s="1"/>
  <c r="AR1160" i="49" s="1"/>
  <c r="AR1161" i="49" s="1"/>
  <c r="AR1162" i="49" s="1"/>
  <c r="AR1163" i="49" s="1"/>
  <c r="AR1164" i="49" s="1"/>
  <c r="AR1165" i="49" s="1"/>
  <c r="AR1166" i="49" s="1"/>
  <c r="AR1167" i="49" s="1"/>
  <c r="AR1168" i="49" s="1"/>
  <c r="AR1169" i="49" s="1"/>
  <c r="AR1170" i="49" s="1"/>
  <c r="AR1171" i="49" s="1"/>
  <c r="AR1172" i="49" s="1"/>
  <c r="AR1173" i="49" s="1"/>
  <c r="AR1174" i="49" s="1"/>
  <c r="AR1175" i="49" s="1"/>
  <c r="AR1176" i="49" s="1"/>
  <c r="AR1177" i="49" s="1"/>
  <c r="AR1178" i="49" s="1"/>
  <c r="AR1179" i="49" s="1"/>
  <c r="AR1180" i="49" s="1"/>
  <c r="AR1181" i="49" s="1"/>
  <c r="AR1182" i="49" s="1"/>
  <c r="AR1183" i="49" s="1"/>
  <c r="AR1184" i="49" s="1"/>
  <c r="AR1185" i="49" s="1"/>
  <c r="AR1186" i="49" s="1"/>
  <c r="AR1187" i="49" s="1"/>
  <c r="AR1188" i="49" s="1"/>
  <c r="AR1189" i="49" s="1"/>
  <c r="AR1190" i="49" s="1"/>
  <c r="AR1191" i="49" s="1"/>
  <c r="AR1192" i="49" s="1"/>
  <c r="AR1193" i="49" s="1"/>
  <c r="AR1194" i="49" s="1"/>
  <c r="AR1195" i="49" s="1"/>
  <c r="AR1196" i="49" s="1"/>
  <c r="AR1197" i="49" s="1"/>
  <c r="AR1198" i="49" s="1"/>
  <c r="AR1199" i="49" s="1"/>
  <c r="AR1200" i="49" s="1"/>
  <c r="AR1201" i="49" s="1"/>
  <c r="AR1202" i="49" s="1"/>
  <c r="AR1203" i="49" s="1"/>
  <c r="AR1204" i="49" s="1"/>
  <c r="AR1205" i="49" s="1"/>
  <c r="AR1206" i="49" s="1"/>
  <c r="AR1207" i="49" s="1"/>
  <c r="AR1208" i="49" s="1"/>
  <c r="AR1209" i="49" s="1"/>
  <c r="AR1210" i="49" s="1"/>
  <c r="AR1211" i="49" s="1"/>
  <c r="AR1212" i="49" s="1"/>
  <c r="AR1213" i="49" s="1"/>
  <c r="AR1214" i="49" s="1"/>
  <c r="AR1215" i="49" s="1"/>
  <c r="AR1216" i="49" s="1"/>
  <c r="AR1217" i="49" s="1"/>
  <c r="AR1218" i="49" s="1"/>
  <c r="AR1219" i="49" s="1"/>
  <c r="AR1220" i="49" s="1"/>
  <c r="AR1221" i="49" s="1"/>
  <c r="AR1222" i="49" s="1"/>
  <c r="AR1223" i="49" s="1"/>
  <c r="AR1224" i="49" s="1"/>
  <c r="AR1225" i="49" s="1"/>
  <c r="AR1226" i="49" s="1"/>
  <c r="AR1227" i="49" s="1"/>
  <c r="AR1228" i="49" s="1"/>
  <c r="AR1229" i="49" s="1"/>
  <c r="AR1230" i="49" s="1"/>
  <c r="AR1231" i="49" s="1"/>
  <c r="AR1232" i="49" s="1"/>
  <c r="AR1233" i="49" s="1"/>
  <c r="AR1234" i="49" s="1"/>
  <c r="AR1235" i="49" s="1"/>
  <c r="AR1236" i="49" s="1"/>
  <c r="AR1237" i="49" s="1"/>
  <c r="AR1238" i="49" s="1"/>
  <c r="AR1239" i="49" s="1"/>
  <c r="AR1240" i="49" s="1"/>
  <c r="AR1241" i="49" s="1"/>
  <c r="AR1242" i="49" s="1"/>
  <c r="AR1243" i="49" s="1"/>
  <c r="AR1244" i="49" s="1"/>
  <c r="AR1245" i="49" s="1"/>
  <c r="AR1246" i="49" s="1"/>
  <c r="AR1247" i="49" s="1"/>
  <c r="AR1248" i="49" s="1"/>
  <c r="AR1249" i="49" s="1"/>
  <c r="AR1250" i="49" s="1"/>
  <c r="AR1251" i="49" s="1"/>
  <c r="AR1252" i="49" s="1"/>
  <c r="AR1253" i="49" s="1"/>
  <c r="AR1254" i="49" s="1"/>
  <c r="AR1255" i="49" s="1"/>
  <c r="AR1256" i="49" s="1"/>
  <c r="AR1257" i="49" s="1"/>
  <c r="AR1258" i="49" s="1"/>
  <c r="AR1259" i="49" s="1"/>
  <c r="AR1260" i="49" s="1"/>
  <c r="AR1261" i="49" s="1"/>
  <c r="AR1262" i="49" s="1"/>
  <c r="AR1263" i="49" s="1"/>
  <c r="AR1264" i="49" s="1"/>
  <c r="AR1265" i="49" s="1"/>
  <c r="AR1266" i="49" s="1"/>
  <c r="AR1267" i="49" s="1"/>
  <c r="AR1268" i="49" s="1"/>
  <c r="AR1269" i="49" s="1"/>
  <c r="AR1270" i="49" s="1"/>
  <c r="AR1271" i="49" s="1"/>
  <c r="AR1272" i="49" s="1"/>
  <c r="AR1273" i="49" s="1"/>
  <c r="AR1274" i="49" s="1"/>
  <c r="AR1275" i="49" s="1"/>
  <c r="AR1276" i="49" s="1"/>
  <c r="AR1277" i="49" s="1"/>
  <c r="AR1278" i="49" s="1"/>
  <c r="AR1279" i="49" s="1"/>
  <c r="AR1280" i="49" s="1"/>
  <c r="AR1281" i="49" s="1"/>
  <c r="AR1282" i="49" s="1"/>
  <c r="AR1283" i="49" s="1"/>
  <c r="AR1284" i="49" s="1"/>
  <c r="AR1285" i="49" s="1"/>
  <c r="AR1286" i="49" s="1"/>
  <c r="AR1287" i="49" s="1"/>
  <c r="AR1288" i="49" s="1"/>
  <c r="AR1289" i="49" s="1"/>
  <c r="AR1290" i="49" s="1"/>
  <c r="AR1291" i="49" s="1"/>
  <c r="AR1292" i="49" s="1"/>
  <c r="AR1293" i="49" s="1"/>
  <c r="AR1294" i="49" s="1"/>
  <c r="AR1295" i="49" s="1"/>
  <c r="AR1296" i="49" s="1"/>
  <c r="AR1297" i="49" s="1"/>
  <c r="AR1298" i="49" s="1"/>
  <c r="AR1299" i="49" s="1"/>
  <c r="AR1300" i="49" s="1"/>
  <c r="AR1301" i="49" s="1"/>
  <c r="AR1302" i="49" s="1"/>
  <c r="AR1303" i="49" s="1"/>
  <c r="AR1304" i="49" s="1"/>
  <c r="AR1305" i="49" s="1"/>
  <c r="AR1306" i="49" s="1"/>
  <c r="AR1307" i="49" s="1"/>
  <c r="AR1308" i="49" s="1"/>
  <c r="AR1309" i="49" s="1"/>
  <c r="AR1310" i="49" s="1"/>
  <c r="AR1311" i="49" s="1"/>
  <c r="AR1312" i="49" s="1"/>
  <c r="AR1313" i="49" s="1"/>
  <c r="AR1314" i="49" s="1"/>
  <c r="AR1315" i="49" s="1"/>
  <c r="AR1316" i="49" s="1"/>
  <c r="AR1317" i="49" s="1"/>
  <c r="AR1318" i="49" s="1"/>
  <c r="AR1319" i="49" s="1"/>
  <c r="AR1320" i="49" s="1"/>
  <c r="AR1321" i="49" s="1"/>
  <c r="AR1322" i="49" s="1"/>
  <c r="AR1323" i="49" s="1"/>
  <c r="AR1324" i="49" s="1"/>
  <c r="AR1325" i="49" s="1"/>
  <c r="AR1326" i="49" s="1"/>
  <c r="AR1327" i="49" s="1"/>
  <c r="AR1328" i="49" s="1"/>
  <c r="AR1329" i="49" s="1"/>
  <c r="AR1330" i="49" s="1"/>
  <c r="AR1331" i="49" s="1"/>
  <c r="AR1332" i="49" s="1"/>
  <c r="AR1333" i="49" s="1"/>
  <c r="AR1334" i="49" s="1"/>
  <c r="AR1335" i="49" s="1"/>
  <c r="AR1336" i="49" s="1"/>
  <c r="AR1337" i="49" s="1"/>
  <c r="AR1338" i="49" s="1"/>
  <c r="AR1339" i="49" s="1"/>
  <c r="AR1340" i="49" s="1"/>
  <c r="AR1341" i="49" s="1"/>
  <c r="AR1342" i="49" s="1"/>
  <c r="AR1343" i="49" s="1"/>
  <c r="AR1344" i="49" s="1"/>
  <c r="AR1345" i="49" s="1"/>
  <c r="AR1346" i="49" s="1"/>
  <c r="AR1347" i="49" s="1"/>
  <c r="AR1348" i="49" s="1"/>
  <c r="AR1349" i="49" s="1"/>
  <c r="AR1350" i="49" s="1"/>
  <c r="AR1351" i="49" s="1"/>
  <c r="AR1352" i="49" s="1"/>
  <c r="AR1353" i="49" s="1"/>
  <c r="AR1354" i="49" s="1"/>
  <c r="AR1355" i="49" s="1"/>
  <c r="AR1356" i="49" s="1"/>
  <c r="AR1357" i="49" s="1"/>
  <c r="AR1358" i="49" s="1"/>
  <c r="AR1359" i="49" s="1"/>
  <c r="AR1360" i="49" s="1"/>
  <c r="AR1361" i="49" s="1"/>
  <c r="AR1362" i="49" s="1"/>
  <c r="AR1363" i="49" s="1"/>
  <c r="AR1364" i="49" s="1"/>
  <c r="AR1365" i="49" s="1"/>
  <c r="AR1366" i="49" s="1"/>
  <c r="AR1367" i="49" s="1"/>
  <c r="AR1368" i="49" s="1"/>
  <c r="AR1369" i="49" s="1"/>
  <c r="AR1370" i="49" s="1"/>
  <c r="AR1371" i="49" s="1"/>
  <c r="AR1372" i="49" s="1"/>
  <c r="AR1373" i="49" s="1"/>
  <c r="AR1374" i="49" s="1"/>
  <c r="AR1375" i="49" s="1"/>
  <c r="AR1376" i="49" s="1"/>
  <c r="AR1377" i="49" s="1"/>
  <c r="AR1378" i="49" s="1"/>
  <c r="AR1379" i="49" s="1"/>
  <c r="AR1380" i="49" s="1"/>
  <c r="AR1381" i="49" s="1"/>
  <c r="AR1382" i="49" s="1"/>
  <c r="AR1383" i="49" s="1"/>
  <c r="AR1384" i="49" s="1"/>
  <c r="AR1385" i="49" s="1"/>
  <c r="AR1386" i="49" s="1"/>
  <c r="AR1387" i="49" s="1"/>
  <c r="AR1388" i="49" s="1"/>
  <c r="AR1389" i="49" s="1"/>
  <c r="AR1390" i="49" s="1"/>
  <c r="AR1391" i="49" s="1"/>
  <c r="AR1392" i="49" s="1"/>
  <c r="AR1393" i="49" s="1"/>
  <c r="AR1394" i="49" s="1"/>
  <c r="AR1395" i="49" s="1"/>
  <c r="AR1396" i="49" s="1"/>
  <c r="AR1397" i="49" s="1"/>
  <c r="AR1398" i="49" s="1"/>
  <c r="AR1399" i="49" s="1"/>
  <c r="AR1400" i="49" s="1"/>
  <c r="AR1401" i="49" s="1"/>
  <c r="AR1402" i="49" s="1"/>
  <c r="AR1403" i="49" s="1"/>
  <c r="AR1404" i="49" s="1"/>
  <c r="AR1405" i="49" s="1"/>
  <c r="AR1406" i="49" s="1"/>
  <c r="AR1407" i="49" s="1"/>
  <c r="AR1408" i="49" s="1"/>
  <c r="AR1409" i="49" s="1"/>
  <c r="AR1410" i="49" s="1"/>
  <c r="AR1411" i="49" s="1"/>
  <c r="AR1412" i="49" s="1"/>
  <c r="AR1413" i="49" s="1"/>
  <c r="AR1414" i="49" s="1"/>
  <c r="AR1415" i="49" s="1"/>
  <c r="AR1416" i="49" s="1"/>
  <c r="AR1417" i="49" s="1"/>
  <c r="AR1418" i="49" s="1"/>
  <c r="AR1419" i="49" s="1"/>
  <c r="AR1420" i="49" s="1"/>
  <c r="AR1421" i="49" s="1"/>
  <c r="AR1422" i="49" s="1"/>
  <c r="AR1423" i="49" s="1"/>
  <c r="AR1424" i="49" s="1"/>
  <c r="AR1425" i="49" s="1"/>
  <c r="AR1426" i="49" s="1"/>
  <c r="AR1427" i="49" s="1"/>
  <c r="AR1428" i="49" s="1"/>
  <c r="AR1429" i="49" s="1"/>
  <c r="AR1430" i="49" s="1"/>
  <c r="AR1431" i="49" s="1"/>
  <c r="AR1432" i="49" s="1"/>
  <c r="AR1433" i="49" s="1"/>
  <c r="AR1434" i="49" s="1"/>
  <c r="AR1435" i="49" s="1"/>
  <c r="AR1436" i="49" s="1"/>
  <c r="AR1437" i="49" s="1"/>
  <c r="AR1438" i="49" s="1"/>
  <c r="AR1439" i="49" s="1"/>
  <c r="AR1440" i="49" s="1"/>
  <c r="AR1441" i="49" s="1"/>
  <c r="AR1442" i="49" s="1"/>
  <c r="AR1443" i="49" s="1"/>
  <c r="AR1444" i="49" s="1"/>
  <c r="AR1445" i="49" s="1"/>
  <c r="AR1446" i="49" s="1"/>
  <c r="AR1447" i="49" s="1"/>
  <c r="AR1448" i="49" s="1"/>
  <c r="AR1449" i="49" s="1"/>
  <c r="AR1450" i="49" s="1"/>
  <c r="AR1451" i="49" s="1"/>
  <c r="AR1452" i="49" s="1"/>
  <c r="AR1453" i="49" s="1"/>
  <c r="AR1454" i="49" s="1"/>
  <c r="AR1455" i="49" s="1"/>
  <c r="AR1456" i="49" s="1"/>
  <c r="AR1457" i="49" s="1"/>
  <c r="AR1458" i="49" s="1"/>
  <c r="AR1459" i="49" s="1"/>
  <c r="AR1460" i="49" s="1"/>
  <c r="AR1461" i="49" s="1"/>
  <c r="AR1462" i="49" s="1"/>
  <c r="AR1463" i="49" s="1"/>
  <c r="AR1464" i="49" s="1"/>
  <c r="AR1465" i="49" s="1"/>
  <c r="AR1466" i="49" s="1"/>
  <c r="AR1467" i="49" s="1"/>
  <c r="AR1468" i="49" s="1"/>
  <c r="AR1469" i="49" s="1"/>
  <c r="AR1470" i="49" s="1"/>
  <c r="AR1471" i="49" s="1"/>
  <c r="AR1472" i="49" s="1"/>
  <c r="AR1473" i="49" s="1"/>
  <c r="AR1474" i="49" s="1"/>
  <c r="AR1475" i="49" s="1"/>
  <c r="AR1476" i="49" s="1"/>
  <c r="AR1477" i="49" s="1"/>
  <c r="AR1478" i="49" s="1"/>
  <c r="AR1479" i="49" s="1"/>
  <c r="AR1480" i="49" s="1"/>
  <c r="AR1481" i="49" s="1"/>
  <c r="AR1482" i="49" s="1"/>
  <c r="AR1483" i="49" s="1"/>
  <c r="AR1484" i="49" s="1"/>
  <c r="AR1485" i="49" s="1"/>
  <c r="AR1486" i="49" s="1"/>
  <c r="AR1487" i="49" s="1"/>
  <c r="AR1488" i="49" s="1"/>
  <c r="AR1489" i="49" s="1"/>
  <c r="AR1490" i="49" s="1"/>
  <c r="AR1491" i="49" s="1"/>
  <c r="AR1492" i="49" s="1"/>
  <c r="AR1493" i="49" s="1"/>
  <c r="AR1494" i="49" s="1"/>
  <c r="AR1495" i="49" s="1"/>
  <c r="AR1496" i="49" s="1"/>
  <c r="AR1497" i="49" s="1"/>
  <c r="AR1498" i="49" s="1"/>
  <c r="AR1499" i="49" s="1"/>
  <c r="AR1500" i="49" s="1"/>
  <c r="AR1501" i="49" s="1"/>
  <c r="AR1502" i="49" s="1"/>
  <c r="AR1503" i="49" s="1"/>
  <c r="AR1504" i="49" s="1"/>
  <c r="AR1505" i="49" s="1"/>
  <c r="AR1506" i="49" s="1"/>
  <c r="AR1507" i="49" s="1"/>
  <c r="AR1508" i="49" s="1"/>
  <c r="AR1509" i="49" s="1"/>
  <c r="AR1510" i="49" s="1"/>
  <c r="AR1511" i="49" s="1"/>
  <c r="AR1512" i="49" s="1"/>
  <c r="AR1513" i="49" s="1"/>
  <c r="AR1514" i="49" s="1"/>
  <c r="AR1515" i="49" s="1"/>
  <c r="AR1516" i="49" s="1"/>
  <c r="AR1517" i="49" s="1"/>
  <c r="AR1518" i="49" s="1"/>
  <c r="AR1519" i="49" s="1"/>
  <c r="AR1520" i="49" s="1"/>
  <c r="AR1521" i="49" s="1"/>
  <c r="AR1522" i="49" s="1"/>
  <c r="AR1523" i="49" s="1"/>
  <c r="AR1524" i="49" s="1"/>
  <c r="AR1525" i="49" s="1"/>
  <c r="AR1526" i="49" s="1"/>
  <c r="AR1527" i="49" s="1"/>
  <c r="AR1528" i="49" s="1"/>
  <c r="AR1529" i="49" s="1"/>
  <c r="AR1530" i="49" s="1"/>
  <c r="AR1531" i="49" s="1"/>
  <c r="AR1532" i="49" s="1"/>
  <c r="AR1533" i="49" s="1"/>
  <c r="AR1534" i="49" s="1"/>
  <c r="AR1535" i="49" s="1"/>
  <c r="AR1536" i="49" s="1"/>
  <c r="AR1537" i="49" s="1"/>
  <c r="AR1538" i="49" s="1"/>
  <c r="AR1539" i="49" s="1"/>
  <c r="AR1540" i="49" s="1"/>
  <c r="AR1541" i="49" s="1"/>
  <c r="AR1542" i="49" s="1"/>
  <c r="AR1543" i="49" s="1"/>
  <c r="AR1544" i="49" s="1"/>
  <c r="AR1545" i="49" s="1"/>
  <c r="AR1546" i="49" s="1"/>
  <c r="AR1547" i="49" s="1"/>
  <c r="AR1548" i="49" s="1"/>
  <c r="AR1549" i="49" s="1"/>
  <c r="AR1550" i="49" s="1"/>
  <c r="AR1551" i="49" s="1"/>
  <c r="AR1552" i="49" s="1"/>
  <c r="AR1553" i="49" s="1"/>
  <c r="AR1554" i="49" s="1"/>
  <c r="AR1555" i="49" s="1"/>
  <c r="AR1556" i="49" s="1"/>
  <c r="AR1557" i="49" s="1"/>
  <c r="AR1558" i="49" s="1"/>
  <c r="AR1559" i="49" s="1"/>
  <c r="AR1560" i="49" s="1"/>
  <c r="AR1561" i="49" s="1"/>
  <c r="AR1562" i="49" s="1"/>
  <c r="AR1563" i="49" s="1"/>
  <c r="AR1564" i="49" s="1"/>
  <c r="AR1565" i="49" s="1"/>
  <c r="AR1566" i="49" s="1"/>
  <c r="AR1567" i="49" s="1"/>
  <c r="AR1568" i="49" s="1"/>
  <c r="AR1569" i="49" s="1"/>
  <c r="AR1570" i="49" s="1"/>
  <c r="AR1571" i="49" s="1"/>
  <c r="AR1572" i="49" s="1"/>
  <c r="AR1573" i="49"/>
  <c r="AI21" i="49"/>
  <c r="AI22" i="49" s="1"/>
  <c r="AI23" i="49" s="1"/>
  <c r="AI24" i="49" s="1"/>
  <c r="AI25" i="49" s="1"/>
  <c r="AI26" i="49" s="1"/>
  <c r="AI27" i="49" s="1"/>
  <c r="AI28" i="49" s="1"/>
  <c r="AI29" i="49" s="1"/>
  <c r="AI30" i="49" s="1"/>
  <c r="AI31" i="49" s="1"/>
  <c r="AI32" i="49" s="1"/>
  <c r="AI33" i="49" s="1"/>
  <c r="AI34" i="49" s="1"/>
  <c r="AI35" i="49" s="1"/>
  <c r="AI36" i="49" s="1"/>
  <c r="AI37" i="49" s="1"/>
  <c r="AI38" i="49" s="1"/>
  <c r="AI39" i="49" s="1"/>
  <c r="AI40" i="49" s="1"/>
  <c r="AI41" i="49" s="1"/>
  <c r="AI42" i="49" s="1"/>
  <c r="AI43" i="49" s="1"/>
  <c r="AI44" i="49" s="1"/>
  <c r="AI45" i="49" s="1"/>
  <c r="AI46" i="49" s="1"/>
  <c r="AI47" i="49" s="1"/>
  <c r="AI48" i="49" s="1"/>
  <c r="AI49" i="49" s="1"/>
  <c r="AI50" i="49" s="1"/>
  <c r="AI51" i="49" s="1"/>
  <c r="AI52" i="49" s="1"/>
  <c r="AI53" i="49" s="1"/>
  <c r="AI54" i="49" s="1"/>
  <c r="AI55" i="49" s="1"/>
  <c r="AI56" i="49" s="1"/>
  <c r="AI57" i="49" s="1"/>
  <c r="AI58" i="49" s="1"/>
  <c r="AI59" i="49" s="1"/>
  <c r="AI60" i="49" s="1"/>
  <c r="AI61" i="49" s="1"/>
  <c r="AI62" i="49" s="1"/>
  <c r="AI63" i="49" s="1"/>
  <c r="AI64" i="49" s="1"/>
  <c r="AI65" i="49" s="1"/>
  <c r="AI66" i="49" s="1"/>
  <c r="AI67" i="49" s="1"/>
  <c r="AI68" i="49" s="1"/>
  <c r="AI69" i="49" s="1"/>
  <c r="AI70" i="49" s="1"/>
  <c r="AI71" i="49" s="1"/>
  <c r="AI72" i="49" s="1"/>
  <c r="AI73" i="49" s="1"/>
  <c r="AI74" i="49" s="1"/>
  <c r="AI75" i="49" s="1"/>
  <c r="AI76" i="49" s="1"/>
  <c r="AI77" i="49" s="1"/>
  <c r="AI78" i="49" s="1"/>
  <c r="AI79" i="49" s="1"/>
  <c r="AI80" i="49" s="1"/>
  <c r="AI81" i="49" s="1"/>
  <c r="AI82" i="49" s="1"/>
  <c r="AI83" i="49" s="1"/>
  <c r="AI84" i="49" s="1"/>
  <c r="AI85" i="49" s="1"/>
  <c r="AI86" i="49" s="1"/>
  <c r="AI87" i="49" s="1"/>
  <c r="AI88" i="49" s="1"/>
  <c r="AI89" i="49" s="1"/>
  <c r="AI90" i="49" s="1"/>
  <c r="AI91" i="49" s="1"/>
  <c r="AI92" i="49" s="1"/>
  <c r="AI93" i="49" s="1"/>
  <c r="AI94" i="49" s="1"/>
  <c r="AI95" i="49" s="1"/>
  <c r="AI96" i="49" s="1"/>
  <c r="AI97" i="49" s="1"/>
  <c r="AI98" i="49" s="1"/>
  <c r="AI99" i="49" s="1"/>
  <c r="AI100" i="49" s="1"/>
  <c r="AI101" i="49" s="1"/>
  <c r="AI102" i="49" s="1"/>
  <c r="AI103" i="49" s="1"/>
  <c r="AI104" i="49" s="1"/>
  <c r="AI105" i="49" s="1"/>
  <c r="AI106" i="49" s="1"/>
  <c r="AI107" i="49" s="1"/>
  <c r="AI108" i="49" s="1"/>
  <c r="AI109" i="49" s="1"/>
  <c r="AI110" i="49" s="1"/>
  <c r="AI111" i="49" s="1"/>
  <c r="AI112" i="49" s="1"/>
  <c r="AI113" i="49" s="1"/>
  <c r="AI114" i="49" s="1"/>
  <c r="AI115" i="49" s="1"/>
  <c r="AI116" i="49" s="1"/>
  <c r="AI117" i="49" s="1"/>
  <c r="AI118" i="49" s="1"/>
  <c r="AI119" i="49" s="1"/>
  <c r="AI120" i="49" s="1"/>
  <c r="AI121" i="49" s="1"/>
  <c r="AI122" i="49" s="1"/>
  <c r="AI123" i="49" s="1"/>
  <c r="AI124" i="49" s="1"/>
  <c r="AI125" i="49" s="1"/>
  <c r="AI126" i="49" s="1"/>
  <c r="AI127" i="49" s="1"/>
  <c r="AI128" i="49" s="1"/>
  <c r="AI129" i="49" s="1"/>
  <c r="AI130" i="49" s="1"/>
  <c r="AI131" i="49" s="1"/>
  <c r="AI132" i="49" s="1"/>
  <c r="AI133" i="49" s="1"/>
  <c r="AI134" i="49" s="1"/>
  <c r="AI135" i="49" s="1"/>
  <c r="AI136" i="49" s="1"/>
  <c r="AI137" i="49" s="1"/>
  <c r="AI138" i="49" s="1"/>
  <c r="AI139" i="49" s="1"/>
  <c r="AI140" i="49" s="1"/>
  <c r="AI141" i="49" s="1"/>
  <c r="AI142" i="49" s="1"/>
  <c r="AI143" i="49" s="1"/>
  <c r="AI144" i="49" s="1"/>
  <c r="AI145" i="49" s="1"/>
  <c r="AI146" i="49" s="1"/>
  <c r="AI147" i="49" s="1"/>
  <c r="AI148" i="49" s="1"/>
  <c r="AI149" i="49" s="1"/>
  <c r="AI150" i="49" s="1"/>
  <c r="AI151" i="49" s="1"/>
  <c r="AI152" i="49" s="1"/>
  <c r="AI153" i="49" s="1"/>
  <c r="AI154" i="49" s="1"/>
  <c r="AI155" i="49" s="1"/>
  <c r="AI156" i="49" s="1"/>
  <c r="AI157" i="49" s="1"/>
  <c r="AI158" i="49" s="1"/>
  <c r="AI159" i="49" s="1"/>
  <c r="AI160" i="49" s="1"/>
  <c r="AI161" i="49" s="1"/>
  <c r="AI162" i="49" s="1"/>
  <c r="AI163" i="49" s="1"/>
  <c r="AI164" i="49" s="1"/>
  <c r="AI165" i="49" s="1"/>
  <c r="AI166" i="49" s="1"/>
  <c r="AI167" i="49" s="1"/>
  <c r="AI168" i="49" s="1"/>
  <c r="AI169" i="49" s="1"/>
  <c r="AI170" i="49" s="1"/>
  <c r="AI171" i="49" s="1"/>
  <c r="AI172" i="49" s="1"/>
  <c r="AI173" i="49" s="1"/>
  <c r="AI174" i="49" s="1"/>
  <c r="AI175" i="49" s="1"/>
  <c r="AI176" i="49" s="1"/>
  <c r="AI177" i="49" s="1"/>
  <c r="AI178" i="49" s="1"/>
  <c r="AI179" i="49" s="1"/>
  <c r="AI180" i="49" s="1"/>
  <c r="AI181" i="49" s="1"/>
  <c r="AI182" i="49" s="1"/>
  <c r="AI183" i="49" s="1"/>
  <c r="AI184" i="49" s="1"/>
  <c r="AI185" i="49" s="1"/>
  <c r="AI186" i="49" s="1"/>
  <c r="AI187" i="49" s="1"/>
  <c r="AI188" i="49" s="1"/>
  <c r="AI189" i="49" s="1"/>
  <c r="AI190" i="49" s="1"/>
  <c r="AI191" i="49" s="1"/>
  <c r="AI192" i="49" s="1"/>
  <c r="AI193" i="49" s="1"/>
  <c r="AI194" i="49" s="1"/>
  <c r="AI195" i="49" s="1"/>
  <c r="AI196" i="49" s="1"/>
  <c r="AI197" i="49" s="1"/>
  <c r="AI198" i="49" s="1"/>
  <c r="AI199" i="49" s="1"/>
  <c r="AI200" i="49" s="1"/>
  <c r="AI201" i="49" s="1"/>
  <c r="AI202" i="49" s="1"/>
  <c r="AI203" i="49" s="1"/>
  <c r="AI204" i="49" s="1"/>
  <c r="AI205" i="49" s="1"/>
  <c r="AI206" i="49" s="1"/>
  <c r="AI207" i="49" s="1"/>
  <c r="AI208" i="49" s="1"/>
  <c r="AI209" i="49" s="1"/>
  <c r="AI210" i="49" s="1"/>
  <c r="AI211" i="49" s="1"/>
  <c r="AI212" i="49" s="1"/>
  <c r="AI213" i="49" s="1"/>
  <c r="AI214" i="49" s="1"/>
  <c r="AI215" i="49" s="1"/>
  <c r="AI216" i="49" s="1"/>
  <c r="AI217" i="49" s="1"/>
  <c r="AI218" i="49" s="1"/>
  <c r="AI219" i="49" s="1"/>
  <c r="AI220" i="49" s="1"/>
  <c r="AI221" i="49" s="1"/>
  <c r="AI222" i="49" s="1"/>
  <c r="AI223" i="49" s="1"/>
  <c r="AI224" i="49" s="1"/>
  <c r="AI225" i="49" s="1"/>
  <c r="AI226" i="49" s="1"/>
  <c r="AI227" i="49" s="1"/>
  <c r="AI228" i="49" s="1"/>
  <c r="AI229" i="49" s="1"/>
  <c r="AI230" i="49" s="1"/>
  <c r="AI231" i="49" s="1"/>
  <c r="AI232" i="49" s="1"/>
  <c r="AI233" i="49" s="1"/>
  <c r="AI234" i="49" s="1"/>
  <c r="AI235" i="49" s="1"/>
  <c r="AI236" i="49" s="1"/>
  <c r="AI237" i="49" s="1"/>
  <c r="AI238" i="49" s="1"/>
  <c r="AI239" i="49" s="1"/>
  <c r="AI240" i="49" s="1"/>
  <c r="AI241" i="49" s="1"/>
  <c r="AI242" i="49" s="1"/>
  <c r="AI243" i="49" s="1"/>
  <c r="AI244" i="49" s="1"/>
  <c r="AI245" i="49" s="1"/>
  <c r="AI246" i="49" s="1"/>
  <c r="AI247" i="49" s="1"/>
  <c r="AI248" i="49" s="1"/>
  <c r="AI249" i="49" s="1"/>
  <c r="AI250" i="49" s="1"/>
  <c r="AI251" i="49" s="1"/>
  <c r="AI252" i="49" s="1"/>
  <c r="AI253" i="49" s="1"/>
  <c r="AI254" i="49" s="1"/>
  <c r="AI255" i="49" s="1"/>
  <c r="AI256" i="49" s="1"/>
  <c r="AI257" i="49" s="1"/>
  <c r="AI258" i="49" s="1"/>
  <c r="AI259" i="49" s="1"/>
  <c r="AI260" i="49" s="1"/>
  <c r="AI261" i="49" s="1"/>
  <c r="AI262" i="49" s="1"/>
  <c r="AI263" i="49" s="1"/>
  <c r="AI264" i="49" s="1"/>
  <c r="AI265" i="49" s="1"/>
  <c r="AI266" i="49" s="1"/>
  <c r="AI267" i="49" s="1"/>
  <c r="AI268" i="49" s="1"/>
  <c r="AI269" i="49" s="1"/>
  <c r="AI270" i="49" s="1"/>
  <c r="AI271" i="49" s="1"/>
  <c r="AI272" i="49" s="1"/>
  <c r="AI273" i="49" s="1"/>
  <c r="AI274" i="49" s="1"/>
  <c r="AI275" i="49" s="1"/>
  <c r="AI276" i="49" s="1"/>
  <c r="AI277" i="49" s="1"/>
  <c r="AI278" i="49" s="1"/>
  <c r="AI279" i="49" s="1"/>
  <c r="AI280" i="49" s="1"/>
  <c r="AI281" i="49" s="1"/>
  <c r="AI282" i="49" s="1"/>
  <c r="AI283" i="49" s="1"/>
  <c r="AI284" i="49" s="1"/>
  <c r="AI285" i="49" s="1"/>
  <c r="AI286" i="49" s="1"/>
  <c r="AI287" i="49" s="1"/>
  <c r="AI288" i="49" s="1"/>
  <c r="AI289" i="49" s="1"/>
  <c r="AI290" i="49" s="1"/>
  <c r="AI291" i="49" s="1"/>
  <c r="AI292" i="49" s="1"/>
  <c r="AI293" i="49" s="1"/>
  <c r="AI294" i="49" s="1"/>
  <c r="AI295" i="49" s="1"/>
  <c r="AI296" i="49" s="1"/>
  <c r="AI297" i="49" s="1"/>
  <c r="AI298" i="49" s="1"/>
  <c r="AI299" i="49" s="1"/>
  <c r="AI300" i="49" s="1"/>
  <c r="AI301" i="49" s="1"/>
  <c r="AI302" i="49" s="1"/>
  <c r="AI303" i="49" s="1"/>
  <c r="AI304" i="49" s="1"/>
  <c r="AI305" i="49" s="1"/>
  <c r="AI306" i="49" s="1"/>
  <c r="AI307" i="49" s="1"/>
  <c r="AI308" i="49" s="1"/>
  <c r="AI309" i="49" s="1"/>
  <c r="AI310" i="49" s="1"/>
  <c r="AI311" i="49" s="1"/>
  <c r="AI312" i="49" s="1"/>
  <c r="AI313" i="49" s="1"/>
  <c r="AI314" i="49" s="1"/>
  <c r="AI315" i="49" s="1"/>
  <c r="AI316" i="49" s="1"/>
  <c r="AI317" i="49" s="1"/>
  <c r="AI318" i="49" s="1"/>
  <c r="AI319" i="49" s="1"/>
  <c r="AI320" i="49" s="1"/>
  <c r="AI321" i="49" s="1"/>
  <c r="AI322" i="49" s="1"/>
  <c r="AI323" i="49" s="1"/>
  <c r="AI324" i="49" s="1"/>
  <c r="AI325" i="49" s="1"/>
  <c r="AI326" i="49" s="1"/>
  <c r="AI327" i="49" s="1"/>
  <c r="AI328" i="49" s="1"/>
  <c r="AI329" i="49" s="1"/>
  <c r="AI330" i="49" s="1"/>
  <c r="AI331" i="49" s="1"/>
  <c r="AI332" i="49" s="1"/>
  <c r="AI333" i="49" s="1"/>
  <c r="AI334" i="49" s="1"/>
  <c r="AI335" i="49" s="1"/>
  <c r="AI336" i="49" s="1"/>
  <c r="AI337" i="49" s="1"/>
  <c r="AI338" i="49" s="1"/>
  <c r="AI339" i="49" s="1"/>
  <c r="AI340" i="49" s="1"/>
  <c r="AI341" i="49" s="1"/>
  <c r="AI342" i="49" s="1"/>
  <c r="AI343" i="49" s="1"/>
  <c r="AI344" i="49" s="1"/>
  <c r="AI345" i="49" s="1"/>
  <c r="AI346" i="49" s="1"/>
  <c r="AI347" i="49" s="1"/>
  <c r="AI348" i="49" s="1"/>
  <c r="AI349" i="49" s="1"/>
  <c r="AI350" i="49" s="1"/>
  <c r="AI351" i="49" s="1"/>
  <c r="AI352" i="49" s="1"/>
  <c r="AI353" i="49" s="1"/>
  <c r="AI354" i="49" s="1"/>
  <c r="AI355" i="49" s="1"/>
  <c r="AI356" i="49" s="1"/>
  <c r="AI357" i="49" s="1"/>
  <c r="AI358" i="49" s="1"/>
  <c r="AI359" i="49" s="1"/>
  <c r="AI360" i="49" s="1"/>
  <c r="AI361" i="49" s="1"/>
  <c r="AI362" i="49" s="1"/>
  <c r="AI363" i="49" s="1"/>
  <c r="AI364" i="49" s="1"/>
  <c r="AI365" i="49" s="1"/>
  <c r="AI366" i="49" s="1"/>
  <c r="AI367" i="49" s="1"/>
  <c r="AI368" i="49" s="1"/>
  <c r="AI369" i="49" s="1"/>
  <c r="AI370" i="49" s="1"/>
  <c r="AI371" i="49" s="1"/>
  <c r="AI372" i="49" s="1"/>
  <c r="AI373" i="49" s="1"/>
  <c r="AI374" i="49" s="1"/>
  <c r="AI375" i="49" s="1"/>
  <c r="AI376" i="49" s="1"/>
  <c r="AI377" i="49" s="1"/>
  <c r="AI378" i="49" s="1"/>
  <c r="AI379" i="49" s="1"/>
  <c r="AI380" i="49" s="1"/>
  <c r="AI381" i="49" s="1"/>
  <c r="AI382" i="49" s="1"/>
  <c r="AI383" i="49" s="1"/>
  <c r="AI384" i="49" s="1"/>
  <c r="AI385" i="49" s="1"/>
  <c r="AI386" i="49" s="1"/>
  <c r="AI387" i="49" s="1"/>
  <c r="AI388" i="49" s="1"/>
  <c r="AI389" i="49" s="1"/>
  <c r="AI390" i="49" s="1"/>
  <c r="AI391" i="49" s="1"/>
  <c r="AI392" i="49" s="1"/>
  <c r="AI393" i="49" s="1"/>
  <c r="AI394" i="49" s="1"/>
  <c r="AI395" i="49" s="1"/>
  <c r="AI396" i="49" s="1"/>
  <c r="AI397" i="49" s="1"/>
  <c r="AI398" i="49" s="1"/>
  <c r="AI399" i="49" s="1"/>
  <c r="AI400" i="49" s="1"/>
  <c r="AI401" i="49" s="1"/>
  <c r="AI402" i="49" s="1"/>
  <c r="AI403" i="49" s="1"/>
  <c r="AI404" i="49" s="1"/>
  <c r="AI405" i="49" s="1"/>
  <c r="AI406" i="49" s="1"/>
  <c r="AI407" i="49" s="1"/>
  <c r="AI408" i="49" s="1"/>
  <c r="AI409" i="49" s="1"/>
  <c r="AI410" i="49" s="1"/>
  <c r="AI411" i="49" s="1"/>
  <c r="AI412" i="49" s="1"/>
  <c r="AI413" i="49" s="1"/>
  <c r="AI414" i="49" s="1"/>
  <c r="AI415" i="49" s="1"/>
  <c r="AI416" i="49" s="1"/>
  <c r="AI417" i="49" s="1"/>
  <c r="AI418" i="49" s="1"/>
  <c r="AI419" i="49" s="1"/>
  <c r="AI420" i="49" s="1"/>
  <c r="AI421" i="49" s="1"/>
  <c r="AI422" i="49" s="1"/>
  <c r="AI423" i="49" s="1"/>
  <c r="AI424" i="49" s="1"/>
  <c r="AI425" i="49" s="1"/>
  <c r="AI426" i="49" s="1"/>
  <c r="AI427" i="49" s="1"/>
  <c r="AI428" i="49" s="1"/>
  <c r="AI429" i="49" s="1"/>
  <c r="AI430" i="49" s="1"/>
  <c r="AI431" i="49" s="1"/>
  <c r="AI432" i="49" s="1"/>
  <c r="AI433" i="49" s="1"/>
  <c r="AI434" i="49" s="1"/>
  <c r="AI435" i="49" s="1"/>
  <c r="AI436" i="49" s="1"/>
  <c r="AI437" i="49" s="1"/>
  <c r="AI438" i="49" s="1"/>
  <c r="AI439" i="49" s="1"/>
  <c r="AI440" i="49" s="1"/>
  <c r="AI441" i="49" s="1"/>
  <c r="AI442" i="49" s="1"/>
  <c r="AI443" i="49" s="1"/>
  <c r="AI444" i="49" s="1"/>
  <c r="AI445" i="49" s="1"/>
  <c r="AI446" i="49" s="1"/>
  <c r="AI447" i="49" s="1"/>
  <c r="AI448" i="49" s="1"/>
  <c r="AI449" i="49" s="1"/>
  <c r="AI450" i="49" s="1"/>
  <c r="AI451" i="49" s="1"/>
  <c r="AI452" i="49" s="1"/>
  <c r="AI453" i="49" s="1"/>
  <c r="AI454" i="49" s="1"/>
  <c r="AI455" i="49" s="1"/>
  <c r="AI456" i="49" s="1"/>
  <c r="AI457" i="49" s="1"/>
  <c r="AI458" i="49" s="1"/>
  <c r="AI459" i="49" s="1"/>
  <c r="AI460" i="49" s="1"/>
  <c r="AI461" i="49" s="1"/>
  <c r="AI462" i="49" s="1"/>
  <c r="AI463" i="49" s="1"/>
  <c r="AI464" i="49" s="1"/>
  <c r="AI465" i="49" s="1"/>
  <c r="AI466" i="49" s="1"/>
  <c r="AI467" i="49" s="1"/>
  <c r="AI468" i="49" s="1"/>
  <c r="AI469" i="49" s="1"/>
  <c r="AI470" i="49" s="1"/>
  <c r="AI471" i="49" s="1"/>
  <c r="AI472" i="49" s="1"/>
  <c r="AI473" i="49" s="1"/>
  <c r="AI474" i="49" s="1"/>
  <c r="AI475" i="49" s="1"/>
  <c r="AI476" i="49" s="1"/>
  <c r="AI477" i="49" s="1"/>
  <c r="AI478" i="49" s="1"/>
  <c r="AI479" i="49" s="1"/>
  <c r="AI480" i="49" s="1"/>
  <c r="AI481" i="49" s="1"/>
  <c r="AI482" i="49" s="1"/>
  <c r="AI483" i="49" s="1"/>
  <c r="AI484" i="49" s="1"/>
  <c r="AI485" i="49" s="1"/>
  <c r="AI486" i="49" s="1"/>
  <c r="AI487" i="49" s="1"/>
  <c r="AI488" i="49" s="1"/>
  <c r="AI489" i="49" s="1"/>
  <c r="AI490" i="49" s="1"/>
  <c r="AI491" i="49" s="1"/>
  <c r="AI492" i="49" s="1"/>
  <c r="AI493" i="49" s="1"/>
  <c r="AI494" i="49" s="1"/>
  <c r="AI495" i="49" s="1"/>
  <c r="AI496" i="49" s="1"/>
  <c r="AI497" i="49" s="1"/>
  <c r="AI498" i="49" s="1"/>
  <c r="AI499" i="49" s="1"/>
  <c r="AI500" i="49" s="1"/>
  <c r="AI501" i="49" s="1"/>
  <c r="AI502" i="49" s="1"/>
  <c r="AI503" i="49" s="1"/>
  <c r="AI504" i="49" s="1"/>
  <c r="AI505" i="49" s="1"/>
  <c r="AI506" i="49" s="1"/>
  <c r="AI507" i="49" s="1"/>
  <c r="AI508" i="49" s="1"/>
  <c r="AI509" i="49" s="1"/>
  <c r="AI510" i="49" s="1"/>
  <c r="AI511" i="49" s="1"/>
  <c r="AI512" i="49" s="1"/>
  <c r="AI513" i="49" s="1"/>
  <c r="AI514" i="49" s="1"/>
  <c r="AI515" i="49" s="1"/>
  <c r="AI516" i="49" s="1"/>
  <c r="AI517" i="49" s="1"/>
  <c r="AI518" i="49" s="1"/>
  <c r="AI519" i="49" s="1"/>
  <c r="AI520" i="49" s="1"/>
  <c r="AI521" i="49" s="1"/>
  <c r="AI522" i="49" s="1"/>
  <c r="AI523" i="49" s="1"/>
  <c r="AI524" i="49" s="1"/>
  <c r="AI525" i="49" s="1"/>
  <c r="AI526" i="49" s="1"/>
  <c r="AI527" i="49" s="1"/>
  <c r="AI528" i="49" s="1"/>
  <c r="AI529" i="49" s="1"/>
  <c r="AI530" i="49" s="1"/>
  <c r="AI531" i="49" s="1"/>
  <c r="AI532" i="49" s="1"/>
  <c r="AI533" i="49" s="1"/>
  <c r="AI534" i="49" s="1"/>
  <c r="AI535" i="49" s="1"/>
  <c r="AI536" i="49" s="1"/>
  <c r="AI537" i="49" s="1"/>
  <c r="AI538" i="49" s="1"/>
  <c r="AI539" i="49" s="1"/>
  <c r="AI540" i="49" s="1"/>
  <c r="AI541" i="49" s="1"/>
  <c r="AI542" i="49" s="1"/>
  <c r="AI543" i="49" s="1"/>
  <c r="AI544" i="49" s="1"/>
  <c r="AI545" i="49" s="1"/>
  <c r="AI546" i="49" s="1"/>
  <c r="AI547" i="49" s="1"/>
  <c r="AI548" i="49" s="1"/>
  <c r="AI549" i="49" s="1"/>
  <c r="AI550" i="49" s="1"/>
  <c r="AI551" i="49" s="1"/>
  <c r="AI552" i="49" s="1"/>
  <c r="AI553" i="49" s="1"/>
  <c r="AI554" i="49" s="1"/>
  <c r="AI555" i="49" s="1"/>
  <c r="AI556" i="49" s="1"/>
  <c r="AI557" i="49" s="1"/>
  <c r="AI558" i="49" s="1"/>
  <c r="AI559" i="49" s="1"/>
  <c r="AI560" i="49" s="1"/>
  <c r="AI561" i="49" s="1"/>
  <c r="AI562" i="49" s="1"/>
  <c r="AI563" i="49" s="1"/>
  <c r="AI564" i="49" s="1"/>
  <c r="AI565" i="49" s="1"/>
  <c r="AI566" i="49" s="1"/>
  <c r="AI567" i="49" s="1"/>
  <c r="AI568" i="49" s="1"/>
  <c r="AI569" i="49" s="1"/>
  <c r="AI570" i="49" s="1"/>
  <c r="AI571" i="49" s="1"/>
  <c r="AI572" i="49" s="1"/>
  <c r="AI573" i="49" s="1"/>
  <c r="AI574" i="49" s="1"/>
  <c r="AI575" i="49" s="1"/>
  <c r="AI576" i="49" s="1"/>
  <c r="AI577" i="49" s="1"/>
  <c r="AI578" i="49" s="1"/>
  <c r="AI579" i="49" s="1"/>
  <c r="AI580" i="49" s="1"/>
  <c r="AI581" i="49" s="1"/>
  <c r="AI582" i="49" s="1"/>
  <c r="AI583" i="49" s="1"/>
  <c r="AI584" i="49" s="1"/>
  <c r="AI585" i="49" s="1"/>
  <c r="AI586" i="49" s="1"/>
  <c r="AI587" i="49" s="1"/>
  <c r="AI588" i="49" s="1"/>
  <c r="AI589" i="49" s="1"/>
  <c r="AI590" i="49" s="1"/>
  <c r="AI591" i="49" s="1"/>
  <c r="AI592" i="49" s="1"/>
  <c r="AI593" i="49" s="1"/>
  <c r="AI594" i="49" s="1"/>
  <c r="AI595" i="49" s="1"/>
  <c r="AI596" i="49" s="1"/>
  <c r="AI597" i="49" s="1"/>
  <c r="AI598" i="49" s="1"/>
  <c r="AI599" i="49" s="1"/>
  <c r="AI600" i="49" s="1"/>
  <c r="AI601" i="49" s="1"/>
  <c r="AI602" i="49" s="1"/>
  <c r="AI603" i="49" s="1"/>
  <c r="AI604" i="49" s="1"/>
  <c r="AI605" i="49" s="1"/>
  <c r="AI606" i="49" s="1"/>
  <c r="AI607" i="49" s="1"/>
  <c r="AI608" i="49" s="1"/>
  <c r="AI609" i="49" s="1"/>
  <c r="AI610" i="49" s="1"/>
  <c r="AI611" i="49" s="1"/>
  <c r="AI612" i="49" s="1"/>
  <c r="AI613" i="49" s="1"/>
  <c r="AI614" i="49" s="1"/>
  <c r="AI615" i="49" s="1"/>
  <c r="AI616" i="49" s="1"/>
  <c r="AI617" i="49" s="1"/>
  <c r="AI618" i="49" s="1"/>
  <c r="AI619" i="49" s="1"/>
  <c r="AI620" i="49" s="1"/>
  <c r="AI621" i="49" s="1"/>
  <c r="AI622" i="49" s="1"/>
  <c r="AI623" i="49" s="1"/>
  <c r="AI624" i="49" s="1"/>
  <c r="AI625" i="49" s="1"/>
  <c r="AI626" i="49" s="1"/>
  <c r="AI627" i="49" s="1"/>
  <c r="AI628" i="49" s="1"/>
  <c r="AI629" i="49" s="1"/>
  <c r="AI630" i="49" s="1"/>
  <c r="AI631" i="49" s="1"/>
  <c r="AI632" i="49" s="1"/>
  <c r="AI633" i="49" s="1"/>
  <c r="AI634" i="49" s="1"/>
  <c r="AI635" i="49" s="1"/>
  <c r="AI636" i="49" s="1"/>
  <c r="AI637" i="49" s="1"/>
  <c r="AI638" i="49" s="1"/>
  <c r="AI639" i="49" s="1"/>
  <c r="AI640" i="49" s="1"/>
  <c r="AI641" i="49" s="1"/>
  <c r="AI642" i="49" s="1"/>
  <c r="AI643" i="49" s="1"/>
  <c r="AI644" i="49" s="1"/>
  <c r="AI645" i="49" s="1"/>
  <c r="AI646" i="49" s="1"/>
  <c r="AI647" i="49" s="1"/>
  <c r="AI648" i="49" s="1"/>
  <c r="AI649" i="49" s="1"/>
  <c r="AI650" i="49" s="1"/>
  <c r="AI651" i="49" s="1"/>
  <c r="AI652" i="49" s="1"/>
  <c r="AI653" i="49" s="1"/>
  <c r="AI654" i="49" s="1"/>
  <c r="AI655" i="49" s="1"/>
  <c r="AI656" i="49" s="1"/>
  <c r="AI657" i="49" s="1"/>
  <c r="AI658" i="49" s="1"/>
  <c r="AI659" i="49" s="1"/>
  <c r="AI660" i="49" s="1"/>
  <c r="AI661" i="49" s="1"/>
  <c r="AI662" i="49" s="1"/>
  <c r="AI663" i="49" s="1"/>
  <c r="AI664" i="49" s="1"/>
  <c r="AI665" i="49" s="1"/>
  <c r="AI666" i="49" s="1"/>
  <c r="AI667" i="49" s="1"/>
  <c r="AI668" i="49" s="1"/>
  <c r="AI669" i="49" s="1"/>
  <c r="AI670" i="49" s="1"/>
  <c r="AI671" i="49" s="1"/>
  <c r="AI672" i="49" s="1"/>
  <c r="AI673" i="49" s="1"/>
  <c r="AI674" i="49" s="1"/>
  <c r="AI675" i="49" s="1"/>
  <c r="AI676" i="49" s="1"/>
  <c r="AI677" i="49" s="1"/>
  <c r="AI678" i="49" s="1"/>
  <c r="AI679" i="49" s="1"/>
  <c r="AI680" i="49" s="1"/>
  <c r="AI681" i="49" s="1"/>
  <c r="AI682" i="49" s="1"/>
  <c r="AI683" i="49" s="1"/>
  <c r="AI684" i="49" s="1"/>
  <c r="AI685" i="49" s="1"/>
  <c r="AI686" i="49" s="1"/>
  <c r="AI687" i="49" s="1"/>
  <c r="AI688" i="49" s="1"/>
  <c r="AI689" i="49" s="1"/>
  <c r="AI690" i="49" s="1"/>
  <c r="AI691" i="49" s="1"/>
  <c r="AI692" i="49" s="1"/>
  <c r="AI693" i="49" s="1"/>
  <c r="AI694" i="49" s="1"/>
  <c r="AI695" i="49" s="1"/>
  <c r="AI696" i="49" s="1"/>
  <c r="AI697" i="49" s="1"/>
  <c r="AI698" i="49" s="1"/>
  <c r="AI699" i="49" s="1"/>
  <c r="AI700" i="49" s="1"/>
  <c r="AI701" i="49" s="1"/>
  <c r="AI702" i="49" s="1"/>
  <c r="AI703" i="49" s="1"/>
  <c r="AI704" i="49" s="1"/>
  <c r="AI705" i="49" s="1"/>
  <c r="AI706" i="49" s="1"/>
  <c r="AI707" i="49" s="1"/>
  <c r="AI708" i="49" s="1"/>
  <c r="AI709" i="49" s="1"/>
  <c r="AI710" i="49" s="1"/>
  <c r="AI711" i="49" s="1"/>
  <c r="AI712" i="49" s="1"/>
  <c r="AI713" i="49" s="1"/>
  <c r="AI714" i="49" s="1"/>
  <c r="AI715" i="49" s="1"/>
  <c r="AI716" i="49" s="1"/>
  <c r="AI717" i="49" s="1"/>
  <c r="AI718" i="49" s="1"/>
  <c r="AI719" i="49" s="1"/>
  <c r="AI720" i="49" s="1"/>
  <c r="AI721" i="49" s="1"/>
  <c r="AI722" i="49" s="1"/>
  <c r="AI723" i="49" s="1"/>
  <c r="AI724" i="49" s="1"/>
  <c r="AI725" i="49" s="1"/>
  <c r="AI726" i="49" s="1"/>
  <c r="AI727" i="49" s="1"/>
  <c r="AI728" i="49" s="1"/>
  <c r="AI729" i="49" s="1"/>
  <c r="AI730" i="49" s="1"/>
  <c r="AI731" i="49" s="1"/>
  <c r="AI732" i="49" s="1"/>
  <c r="AI733" i="49" s="1"/>
  <c r="AI734" i="49" s="1"/>
  <c r="AI735" i="49" s="1"/>
  <c r="AI736" i="49" s="1"/>
  <c r="AI737" i="49" s="1"/>
  <c r="AI738" i="49" s="1"/>
  <c r="AI739" i="49" s="1"/>
  <c r="AI740" i="49" s="1"/>
  <c r="AI741" i="49" s="1"/>
  <c r="AI742" i="49" s="1"/>
  <c r="AI743" i="49" s="1"/>
  <c r="AI744" i="49" s="1"/>
  <c r="AI745" i="49" s="1"/>
  <c r="AI746" i="49" s="1"/>
  <c r="AI747" i="49" s="1"/>
  <c r="AI748" i="49" s="1"/>
  <c r="AI749" i="49" s="1"/>
  <c r="AI750" i="49" s="1"/>
  <c r="AI751" i="49" s="1"/>
  <c r="AI752" i="49" s="1"/>
  <c r="AI753" i="49" s="1"/>
  <c r="AI754" i="49" s="1"/>
  <c r="AI755" i="49" s="1"/>
  <c r="AI756" i="49" s="1"/>
  <c r="AI757" i="49" s="1"/>
  <c r="AI758" i="49" s="1"/>
  <c r="AI759" i="49" s="1"/>
  <c r="AI760" i="49" s="1"/>
  <c r="AI761" i="49" s="1"/>
  <c r="AI762" i="49" s="1"/>
  <c r="AI763" i="49" s="1"/>
  <c r="AI764" i="49" s="1"/>
  <c r="AI765" i="49" s="1"/>
  <c r="AI766" i="49" s="1"/>
  <c r="AI767" i="49" s="1"/>
  <c r="AI768" i="49" s="1"/>
  <c r="AI769" i="49" s="1"/>
  <c r="AI770" i="49" s="1"/>
  <c r="AI771" i="49" s="1"/>
  <c r="AI772" i="49" s="1"/>
  <c r="AI773" i="49" s="1"/>
  <c r="AI774" i="49" s="1"/>
  <c r="AI775" i="49" s="1"/>
  <c r="AI776" i="49" s="1"/>
  <c r="AI777" i="49" s="1"/>
  <c r="AI778" i="49" s="1"/>
  <c r="AI779" i="49" s="1"/>
  <c r="AI780" i="49" s="1"/>
  <c r="AI781" i="49" s="1"/>
  <c r="AI782" i="49" s="1"/>
  <c r="AI783" i="49" s="1"/>
  <c r="AI784" i="49" s="1"/>
  <c r="AI785" i="49" s="1"/>
  <c r="AI786" i="49" s="1"/>
  <c r="AI787" i="49" s="1"/>
  <c r="AI788" i="49" s="1"/>
  <c r="AI789" i="49" s="1"/>
  <c r="AI790" i="49" s="1"/>
  <c r="AI791" i="49" s="1"/>
  <c r="AI792" i="49" s="1"/>
  <c r="AI793" i="49" s="1"/>
  <c r="AI794" i="49" s="1"/>
  <c r="AI795" i="49" s="1"/>
  <c r="AI796" i="49" s="1"/>
  <c r="AI797" i="49" s="1"/>
  <c r="AI798" i="49" s="1"/>
  <c r="AI799" i="49" s="1"/>
  <c r="AI800" i="49" s="1"/>
  <c r="AI801" i="49" s="1"/>
  <c r="AI802" i="49" s="1"/>
  <c r="AI803" i="49" s="1"/>
  <c r="AI804" i="49" s="1"/>
  <c r="AI805" i="49" s="1"/>
  <c r="AI806" i="49" s="1"/>
  <c r="AI807" i="49" s="1"/>
  <c r="AI808" i="49" s="1"/>
  <c r="AI809" i="49" s="1"/>
  <c r="AI810" i="49" s="1"/>
  <c r="AI811" i="49" s="1"/>
  <c r="AI812" i="49" s="1"/>
  <c r="AI813" i="49" s="1"/>
  <c r="AI814" i="49" s="1"/>
  <c r="AI815" i="49" s="1"/>
  <c r="AI816" i="49" s="1"/>
  <c r="AI817" i="49" s="1"/>
  <c r="AI818" i="49" s="1"/>
  <c r="AI819" i="49" s="1"/>
  <c r="AI820" i="49" s="1"/>
  <c r="AI821" i="49" s="1"/>
  <c r="AI822" i="49" s="1"/>
  <c r="AI823" i="49" s="1"/>
  <c r="AI824" i="49" s="1"/>
  <c r="AI825" i="49" s="1"/>
  <c r="AI826" i="49" s="1"/>
  <c r="AI827" i="49" s="1"/>
  <c r="AI828" i="49" s="1"/>
  <c r="AI829" i="49" s="1"/>
  <c r="AI830" i="49" s="1"/>
  <c r="AI831" i="49" s="1"/>
  <c r="AI832" i="49" s="1"/>
  <c r="AI833" i="49" s="1"/>
  <c r="AI834" i="49" s="1"/>
  <c r="AI835" i="49" s="1"/>
  <c r="AI836" i="49" s="1"/>
  <c r="AI837" i="49" s="1"/>
  <c r="AI838" i="49" s="1"/>
  <c r="AI839" i="49" s="1"/>
  <c r="AI840" i="49" s="1"/>
  <c r="AI841" i="49" s="1"/>
  <c r="AI842" i="49" s="1"/>
  <c r="AI843" i="49" s="1"/>
  <c r="AI844" i="49" s="1"/>
  <c r="AI845" i="49" s="1"/>
  <c r="AI846" i="49" s="1"/>
  <c r="AI847" i="49" s="1"/>
  <c r="AI848" i="49" s="1"/>
  <c r="AI849" i="49" s="1"/>
  <c r="AI850" i="49" s="1"/>
  <c r="AI851" i="49" s="1"/>
  <c r="AI852" i="49" s="1"/>
  <c r="AI853" i="49" s="1"/>
  <c r="AI854" i="49" s="1"/>
  <c r="AI855" i="49" s="1"/>
  <c r="AI856" i="49" s="1"/>
  <c r="AI857" i="49" s="1"/>
  <c r="AI858" i="49" s="1"/>
  <c r="AI859" i="49" s="1"/>
  <c r="AI860" i="49" s="1"/>
  <c r="AI861" i="49" s="1"/>
  <c r="AI862" i="49" s="1"/>
  <c r="AI863" i="49" s="1"/>
  <c r="AI864" i="49" s="1"/>
  <c r="AI865" i="49" s="1"/>
  <c r="AI866" i="49" s="1"/>
  <c r="AI867" i="49" s="1"/>
  <c r="AI868" i="49" s="1"/>
  <c r="AI869" i="49" s="1"/>
  <c r="AI870" i="49" s="1"/>
  <c r="AI871" i="49" s="1"/>
  <c r="AI872" i="49" s="1"/>
  <c r="AI873" i="49" s="1"/>
  <c r="AI874" i="49" s="1"/>
  <c r="AI875" i="49" s="1"/>
  <c r="AI876" i="49" s="1"/>
  <c r="AI877" i="49" s="1"/>
  <c r="AI878" i="49" s="1"/>
  <c r="AI879" i="49" s="1"/>
  <c r="AI880" i="49" s="1"/>
  <c r="AI881" i="49" s="1"/>
  <c r="AI882" i="49" s="1"/>
  <c r="AI883" i="49" s="1"/>
  <c r="AI884" i="49" s="1"/>
  <c r="AI885" i="49" s="1"/>
  <c r="AI886" i="49" s="1"/>
  <c r="AI887" i="49" s="1"/>
  <c r="AI888" i="49" s="1"/>
  <c r="AI889" i="49" s="1"/>
  <c r="AI890" i="49" s="1"/>
  <c r="AI891" i="49" s="1"/>
  <c r="AI892" i="49" s="1"/>
  <c r="AI893" i="49" s="1"/>
  <c r="AI894" i="49" s="1"/>
  <c r="AI895" i="49" s="1"/>
  <c r="AI896" i="49" s="1"/>
  <c r="AI897" i="49" s="1"/>
  <c r="AI898" i="49" s="1"/>
  <c r="AI899" i="49" s="1"/>
  <c r="AI900" i="49" s="1"/>
  <c r="AI901" i="49" s="1"/>
  <c r="AI902" i="49" s="1"/>
  <c r="AI903" i="49" s="1"/>
  <c r="AI904" i="49" s="1"/>
  <c r="AI905" i="49" s="1"/>
  <c r="AI906" i="49" s="1"/>
  <c r="AI907" i="49" s="1"/>
  <c r="AI908" i="49" s="1"/>
  <c r="AI909" i="49" s="1"/>
  <c r="AI910" i="49" s="1"/>
  <c r="AI911" i="49" s="1"/>
  <c r="AI912" i="49" s="1"/>
  <c r="AI913" i="49" s="1"/>
  <c r="AI914" i="49" s="1"/>
  <c r="AI915" i="49" s="1"/>
  <c r="AI916" i="49" s="1"/>
  <c r="AI917" i="49" s="1"/>
  <c r="AI918" i="49" s="1"/>
  <c r="AI919" i="49" s="1"/>
  <c r="AI920" i="49" s="1"/>
  <c r="AI921" i="49" s="1"/>
  <c r="AI922" i="49" s="1"/>
  <c r="AI923" i="49" s="1"/>
  <c r="AI924" i="49" s="1"/>
  <c r="AI925" i="49" s="1"/>
  <c r="AI926" i="49" s="1"/>
  <c r="AI927" i="49" s="1"/>
  <c r="AI928" i="49" s="1"/>
  <c r="AI929" i="49" s="1"/>
  <c r="AI930" i="49" s="1"/>
  <c r="AI931" i="49" s="1"/>
  <c r="AI932" i="49" s="1"/>
  <c r="AI933" i="49" s="1"/>
  <c r="AI934" i="49" s="1"/>
  <c r="AI935" i="49" s="1"/>
  <c r="AI936" i="49" s="1"/>
  <c r="AI937" i="49" s="1"/>
  <c r="AI938" i="49" s="1"/>
  <c r="AI939" i="49" s="1"/>
  <c r="AI940" i="49" s="1"/>
  <c r="AI941" i="49" s="1"/>
  <c r="AI942" i="49" s="1"/>
  <c r="AI943" i="49" s="1"/>
  <c r="AI944" i="49" s="1"/>
  <c r="AI945" i="49" s="1"/>
  <c r="AI946" i="49" s="1"/>
  <c r="AI947" i="49" s="1"/>
  <c r="AI948" i="49" s="1"/>
  <c r="AI949" i="49" s="1"/>
  <c r="AI950" i="49" s="1"/>
  <c r="AI951" i="49" s="1"/>
  <c r="AI952" i="49" s="1"/>
  <c r="AI953" i="49" s="1"/>
  <c r="AI954" i="49" s="1"/>
  <c r="AI955" i="49" s="1"/>
  <c r="AI956" i="49" s="1"/>
  <c r="AI957" i="49" s="1"/>
  <c r="AI958" i="49" s="1"/>
  <c r="AI959" i="49" s="1"/>
  <c r="AI960" i="49" s="1"/>
  <c r="AI961" i="49" s="1"/>
  <c r="AI962" i="49" s="1"/>
  <c r="AI963" i="49" s="1"/>
  <c r="AI964" i="49" s="1"/>
  <c r="AI965" i="49" s="1"/>
  <c r="AI966" i="49" s="1"/>
  <c r="AI967" i="49" s="1"/>
  <c r="AI968" i="49" s="1"/>
  <c r="AI969" i="49" s="1"/>
  <c r="AI970" i="49" s="1"/>
  <c r="AI971" i="49" s="1"/>
  <c r="AI972" i="49" s="1"/>
  <c r="AI973" i="49" s="1"/>
  <c r="AI974" i="49" s="1"/>
  <c r="AI975" i="49" s="1"/>
  <c r="AI976" i="49" s="1"/>
  <c r="AI977" i="49" s="1"/>
  <c r="AI978" i="49" s="1"/>
  <c r="AI979" i="49" s="1"/>
  <c r="AI980" i="49" s="1"/>
  <c r="AI981" i="49" s="1"/>
  <c r="AI982" i="49" s="1"/>
  <c r="AI983" i="49" s="1"/>
  <c r="AI984" i="49" s="1"/>
  <c r="AI985" i="49" s="1"/>
  <c r="AI986" i="49" s="1"/>
  <c r="AI987" i="49" s="1"/>
  <c r="AI988" i="49" s="1"/>
  <c r="AI989" i="49" s="1"/>
  <c r="AI990" i="49" s="1"/>
  <c r="AI991" i="49" s="1"/>
  <c r="AI992" i="49" s="1"/>
  <c r="AI993" i="49" s="1"/>
  <c r="AI994" i="49" s="1"/>
  <c r="AI995" i="49" s="1"/>
  <c r="AI996" i="49" s="1"/>
  <c r="AI997" i="49" s="1"/>
  <c r="AI998" i="49" s="1"/>
  <c r="AI999" i="49" s="1"/>
  <c r="AI1000" i="49" s="1"/>
  <c r="AI1001" i="49" s="1"/>
  <c r="AI1002" i="49" s="1"/>
  <c r="AI1003" i="49" s="1"/>
  <c r="AI1004" i="49" s="1"/>
  <c r="AI1005" i="49" s="1"/>
  <c r="AI1006" i="49" s="1"/>
  <c r="AI1007" i="49" s="1"/>
  <c r="AI1008" i="49" s="1"/>
  <c r="AI1009" i="49" s="1"/>
  <c r="AI1010" i="49" s="1"/>
  <c r="AI1011" i="49" s="1"/>
  <c r="AI1012" i="49" s="1"/>
  <c r="AI1013" i="49" s="1"/>
  <c r="AI1014" i="49" s="1"/>
  <c r="AI1015" i="49" s="1"/>
  <c r="AI1016" i="49" s="1"/>
  <c r="AI1017" i="49" s="1"/>
  <c r="AI1018" i="49" s="1"/>
  <c r="AI1019" i="49" s="1"/>
  <c r="AI1020" i="49" s="1"/>
  <c r="AI1021" i="49" s="1"/>
  <c r="AI1022" i="49" s="1"/>
  <c r="AI1023" i="49" s="1"/>
  <c r="AI1024" i="49" s="1"/>
  <c r="AI1025" i="49" s="1"/>
  <c r="AI1026" i="49" s="1"/>
  <c r="AI1027" i="49" s="1"/>
  <c r="AI1028" i="49" s="1"/>
  <c r="AI1029" i="49" s="1"/>
  <c r="AI1030" i="49" s="1"/>
  <c r="AI1031" i="49" s="1"/>
  <c r="AI1032" i="49" s="1"/>
  <c r="AI1033" i="49" s="1"/>
  <c r="AI1034" i="49" s="1"/>
  <c r="AI1035" i="49" s="1"/>
  <c r="AI1036" i="49" s="1"/>
  <c r="AI1037" i="49" s="1"/>
  <c r="AI1038" i="49" s="1"/>
  <c r="AI1039" i="49" s="1"/>
  <c r="AI1040" i="49" s="1"/>
  <c r="AI1041" i="49" s="1"/>
  <c r="AI1042" i="49" s="1"/>
  <c r="AI1043" i="49" s="1"/>
  <c r="AI1044" i="49" s="1"/>
  <c r="AI1045" i="49" s="1"/>
  <c r="AI1046" i="49" s="1"/>
  <c r="AI1047" i="49" s="1"/>
  <c r="AI1048" i="49" s="1"/>
  <c r="AI1049" i="49" s="1"/>
  <c r="AI1050" i="49" s="1"/>
  <c r="AI1051" i="49" s="1"/>
  <c r="AI1052" i="49" s="1"/>
  <c r="AI1053" i="49" s="1"/>
  <c r="AI1054" i="49" s="1"/>
  <c r="AI1055" i="49" s="1"/>
  <c r="AI1056" i="49" s="1"/>
  <c r="AI1057" i="49" s="1"/>
  <c r="AI1058" i="49" s="1"/>
  <c r="AI1059" i="49" s="1"/>
  <c r="AI1060" i="49" s="1"/>
  <c r="AI1061" i="49" s="1"/>
  <c r="AI1062" i="49" s="1"/>
  <c r="AI1063" i="49" s="1"/>
  <c r="AI1064" i="49" s="1"/>
  <c r="AI1065" i="49" s="1"/>
  <c r="AI1066" i="49" s="1"/>
  <c r="AI1067" i="49" s="1"/>
  <c r="AI1068" i="49" s="1"/>
  <c r="AI1069" i="49" s="1"/>
  <c r="AI1070" i="49" s="1"/>
  <c r="AI1071" i="49" s="1"/>
  <c r="AI1072" i="49" s="1"/>
  <c r="AI1073" i="49" s="1"/>
  <c r="AI1074" i="49" s="1"/>
  <c r="AI1075" i="49" s="1"/>
  <c r="AI1076" i="49" s="1"/>
  <c r="AI1077" i="49" s="1"/>
  <c r="AI1078" i="49" s="1"/>
  <c r="AI1079" i="49" s="1"/>
  <c r="AI1080" i="49" s="1"/>
  <c r="AI1081" i="49" s="1"/>
  <c r="AI1082" i="49" s="1"/>
  <c r="AI1083" i="49" s="1"/>
  <c r="AI1084" i="49" s="1"/>
  <c r="AI1085" i="49" s="1"/>
  <c r="AI1086" i="49" s="1"/>
  <c r="AI1087" i="49" s="1"/>
  <c r="AI1088" i="49" s="1"/>
  <c r="AI1089" i="49" s="1"/>
  <c r="AI1090" i="49" s="1"/>
  <c r="AI1091" i="49" s="1"/>
  <c r="AI1092" i="49" s="1"/>
  <c r="AI1093" i="49" s="1"/>
  <c r="AI1094" i="49" s="1"/>
  <c r="AI1095" i="49" s="1"/>
  <c r="AI1096" i="49" s="1"/>
  <c r="AI1097" i="49" s="1"/>
  <c r="AI1098" i="49" s="1"/>
  <c r="AI1099" i="49" s="1"/>
  <c r="AI1100" i="49" s="1"/>
  <c r="AI1101" i="49" s="1"/>
  <c r="AI1102" i="49" s="1"/>
  <c r="AI1103" i="49" s="1"/>
  <c r="AI1104" i="49" s="1"/>
  <c r="AI1105" i="49" s="1"/>
  <c r="AI1106" i="49" s="1"/>
  <c r="AI1107" i="49" s="1"/>
  <c r="AI1108" i="49" s="1"/>
  <c r="AI1109" i="49" s="1"/>
  <c r="AI1110" i="49" s="1"/>
  <c r="AI1111" i="49" s="1"/>
  <c r="AI1112" i="49" s="1"/>
  <c r="AI1113" i="49" s="1"/>
  <c r="AI1114" i="49" s="1"/>
  <c r="AI1115" i="49" s="1"/>
  <c r="AI1116" i="49" s="1"/>
  <c r="AI1117" i="49" s="1"/>
  <c r="AI1118" i="49" s="1"/>
  <c r="AI1119" i="49" s="1"/>
  <c r="AI1120" i="49" s="1"/>
  <c r="AI1121" i="49" s="1"/>
  <c r="AI1122" i="49" s="1"/>
  <c r="AI1123" i="49" s="1"/>
  <c r="AI1124" i="49" s="1"/>
  <c r="AI1125" i="49" s="1"/>
  <c r="AI1126" i="49" s="1"/>
  <c r="AI1127" i="49" s="1"/>
  <c r="AI1128" i="49" s="1"/>
  <c r="AI1129" i="49" s="1"/>
  <c r="AI1130" i="49" s="1"/>
  <c r="AI1131" i="49" s="1"/>
  <c r="AI1132" i="49" s="1"/>
  <c r="AI1133" i="49" s="1"/>
  <c r="AI1134" i="49" s="1"/>
  <c r="AI1135" i="49" s="1"/>
  <c r="AI1136" i="49" s="1"/>
  <c r="AI1137" i="49" s="1"/>
  <c r="AI1138" i="49" s="1"/>
  <c r="AI1139" i="49" s="1"/>
  <c r="AI1140" i="49" s="1"/>
  <c r="AI1141" i="49" s="1"/>
  <c r="AI1142" i="49" s="1"/>
  <c r="AI1143" i="49" s="1"/>
  <c r="AI1144" i="49" s="1"/>
  <c r="AI1145" i="49" s="1"/>
  <c r="AI1146" i="49" s="1"/>
  <c r="AI1147" i="49" s="1"/>
  <c r="AI1148" i="49" s="1"/>
  <c r="AI1149" i="49" s="1"/>
  <c r="AI1150" i="49" s="1"/>
  <c r="AI1151" i="49" s="1"/>
  <c r="AI1152" i="49" s="1"/>
  <c r="AI1153" i="49" s="1"/>
  <c r="AI1154" i="49" s="1"/>
  <c r="AI1155" i="49" s="1"/>
  <c r="AI1156" i="49" s="1"/>
  <c r="AI1157" i="49" s="1"/>
  <c r="AI1158" i="49" s="1"/>
  <c r="AI1159" i="49" s="1"/>
  <c r="AI1160" i="49" s="1"/>
  <c r="AI1161" i="49" s="1"/>
  <c r="AI1162" i="49" s="1"/>
  <c r="AI1163" i="49" s="1"/>
  <c r="AI1164" i="49" s="1"/>
  <c r="AI1165" i="49" s="1"/>
  <c r="AI1166" i="49" s="1"/>
  <c r="AI1167" i="49" s="1"/>
  <c r="AI1168" i="49" s="1"/>
  <c r="AI1169" i="49" s="1"/>
  <c r="AI1170" i="49" s="1"/>
  <c r="AI1171" i="49" s="1"/>
  <c r="AI1172" i="49" s="1"/>
  <c r="AI1173" i="49" s="1"/>
  <c r="AI1174" i="49" s="1"/>
  <c r="AI1175" i="49" s="1"/>
  <c r="AI1176" i="49" s="1"/>
  <c r="AI1177" i="49" s="1"/>
  <c r="AI1178" i="49" s="1"/>
  <c r="AI1179" i="49" s="1"/>
  <c r="AI1180" i="49" s="1"/>
  <c r="AI1181" i="49" s="1"/>
  <c r="AI1182" i="49" s="1"/>
  <c r="AI1183" i="49" s="1"/>
  <c r="AI1184" i="49" s="1"/>
  <c r="AI1185" i="49" s="1"/>
  <c r="AI1186" i="49" s="1"/>
  <c r="AI1187" i="49" s="1"/>
  <c r="AI1188" i="49" s="1"/>
  <c r="AI1189" i="49" s="1"/>
  <c r="AI1190" i="49" s="1"/>
  <c r="AI1191" i="49" s="1"/>
  <c r="AI1192" i="49" s="1"/>
  <c r="AI1193" i="49" s="1"/>
  <c r="AI1194" i="49" s="1"/>
  <c r="AI1195" i="49" s="1"/>
  <c r="AI1196" i="49" s="1"/>
  <c r="AI1197" i="49" s="1"/>
  <c r="AI1198" i="49" s="1"/>
  <c r="AI1199" i="49" s="1"/>
  <c r="AI1200" i="49" s="1"/>
  <c r="AI1201" i="49" s="1"/>
  <c r="AI1202" i="49" s="1"/>
  <c r="AI1203" i="49" s="1"/>
  <c r="AI1204" i="49" s="1"/>
  <c r="AI1205" i="49" s="1"/>
  <c r="AI1206" i="49" s="1"/>
  <c r="AI1207" i="49" s="1"/>
  <c r="AI1208" i="49" s="1"/>
  <c r="AI1209" i="49" s="1"/>
  <c r="AI1210" i="49" s="1"/>
  <c r="AI1211" i="49" s="1"/>
  <c r="AI1212" i="49" s="1"/>
  <c r="AI1213" i="49" s="1"/>
  <c r="AI1214" i="49" s="1"/>
  <c r="AI1215" i="49" s="1"/>
  <c r="AI1216" i="49" s="1"/>
  <c r="AI1217" i="49" s="1"/>
  <c r="AI1218" i="49" s="1"/>
  <c r="AI1219" i="49" s="1"/>
  <c r="AI1220" i="49" s="1"/>
  <c r="AI1221" i="49" s="1"/>
  <c r="AI1222" i="49" s="1"/>
  <c r="AI1223" i="49" s="1"/>
  <c r="AI1224" i="49" s="1"/>
  <c r="AI1225" i="49" s="1"/>
  <c r="AI1226" i="49" s="1"/>
  <c r="AI1227" i="49" s="1"/>
  <c r="AI1228" i="49" s="1"/>
  <c r="AI1229" i="49" s="1"/>
  <c r="AI1230" i="49" s="1"/>
  <c r="AI1231" i="49" s="1"/>
  <c r="AI1232" i="49" s="1"/>
  <c r="AI1233" i="49" s="1"/>
  <c r="AI1234" i="49" s="1"/>
  <c r="AI1235" i="49" s="1"/>
  <c r="AI1236" i="49" s="1"/>
  <c r="AI1237" i="49" s="1"/>
  <c r="AI1238" i="49" s="1"/>
  <c r="AI1239" i="49" s="1"/>
  <c r="AI1240" i="49" s="1"/>
  <c r="AI1241" i="49" s="1"/>
  <c r="AI1242" i="49" s="1"/>
  <c r="AI1243" i="49" s="1"/>
  <c r="AI1244" i="49" s="1"/>
  <c r="AI1245" i="49" s="1"/>
  <c r="AI1246" i="49" s="1"/>
  <c r="AI1247" i="49" s="1"/>
  <c r="AI1248" i="49" s="1"/>
  <c r="AI1249" i="49" s="1"/>
  <c r="AI1250" i="49" s="1"/>
  <c r="AI1251" i="49" s="1"/>
  <c r="AI1252" i="49" s="1"/>
  <c r="AI1253" i="49" s="1"/>
  <c r="AI1254" i="49" s="1"/>
  <c r="AI1255" i="49" s="1"/>
  <c r="AI1256" i="49" s="1"/>
  <c r="AI1257" i="49" s="1"/>
  <c r="AI1258" i="49" s="1"/>
  <c r="AI1259" i="49" s="1"/>
  <c r="AI1260" i="49" s="1"/>
  <c r="AI1261" i="49" s="1"/>
  <c r="AI1262" i="49" s="1"/>
  <c r="AI1263" i="49" s="1"/>
  <c r="AI1264" i="49" s="1"/>
  <c r="AI1265" i="49" s="1"/>
  <c r="AI1266" i="49" s="1"/>
  <c r="AI1267" i="49" s="1"/>
  <c r="AI1268" i="49" s="1"/>
  <c r="AI1269" i="49" s="1"/>
  <c r="AI1270" i="49" s="1"/>
  <c r="AI1271" i="49" s="1"/>
  <c r="AI1272" i="49" s="1"/>
  <c r="AI1273" i="49" s="1"/>
  <c r="AI1274" i="49" s="1"/>
  <c r="AI1275" i="49" s="1"/>
  <c r="AI1276" i="49" s="1"/>
  <c r="AI1277" i="49" s="1"/>
  <c r="AI1278" i="49" s="1"/>
  <c r="AI1279" i="49" s="1"/>
  <c r="AI1280" i="49" s="1"/>
  <c r="AI1281" i="49" s="1"/>
  <c r="AI1282" i="49" s="1"/>
  <c r="AI1283" i="49" s="1"/>
  <c r="AI1284" i="49" s="1"/>
  <c r="AI1285" i="49" s="1"/>
  <c r="AM22" i="49"/>
  <c r="AM23" i="49"/>
  <c r="AM24" i="49"/>
  <c r="AM25" i="49"/>
  <c r="AM26" i="49"/>
  <c r="AM27" i="49"/>
  <c r="AM28" i="49"/>
  <c r="AM29" i="49"/>
  <c r="AM30" i="49"/>
  <c r="AM31" i="49"/>
  <c r="AM32" i="49"/>
  <c r="AM33" i="49"/>
  <c r="AM34" i="49"/>
  <c r="AM35" i="49"/>
  <c r="AM36" i="49"/>
  <c r="AM37" i="49"/>
  <c r="AM38" i="49"/>
  <c r="AM39" i="49"/>
  <c r="AM40" i="49"/>
  <c r="AM41" i="49"/>
  <c r="AM42" i="49"/>
  <c r="AM43" i="49"/>
  <c r="AM44" i="49"/>
  <c r="AM45" i="49"/>
  <c r="AM46" i="49"/>
  <c r="AM47" i="49"/>
  <c r="AM48" i="49"/>
  <c r="AM49" i="49"/>
  <c r="AM50" i="49"/>
  <c r="AM51" i="49"/>
  <c r="AM52" i="49"/>
  <c r="AM53" i="49"/>
  <c r="AM54" i="49"/>
  <c r="AM55" i="49"/>
  <c r="AM56" i="49"/>
  <c r="AM57" i="49"/>
  <c r="AM58" i="49"/>
  <c r="AM59" i="49"/>
  <c r="AM60" i="49"/>
  <c r="AM61" i="49"/>
  <c r="AM62" i="49"/>
  <c r="AM63" i="49"/>
  <c r="AM64" i="49"/>
  <c r="AM65" i="49"/>
  <c r="AM66" i="49"/>
  <c r="AM67" i="49"/>
  <c r="AM68" i="49"/>
  <c r="AM69" i="49"/>
  <c r="AM70" i="49"/>
  <c r="AM71" i="49"/>
  <c r="AM72" i="49"/>
  <c r="AM73" i="49"/>
  <c r="AM74" i="49"/>
  <c r="AM75" i="49"/>
  <c r="AM76" i="49"/>
  <c r="AM77" i="49"/>
  <c r="AM78" i="49"/>
  <c r="AM79" i="49"/>
  <c r="AM80" i="49"/>
  <c r="AM81" i="49"/>
  <c r="AM82" i="49"/>
  <c r="AM83" i="49"/>
  <c r="AM84" i="49"/>
  <c r="AM85" i="49"/>
  <c r="AM86" i="49"/>
  <c r="AM87" i="49"/>
  <c r="AM88" i="49"/>
  <c r="AM89" i="49"/>
  <c r="AM90" i="49"/>
  <c r="AM91" i="49"/>
  <c r="AM92" i="49"/>
  <c r="AM93" i="49"/>
  <c r="AM94" i="49"/>
  <c r="AM95" i="49"/>
  <c r="AM96" i="49"/>
  <c r="AM97" i="49"/>
  <c r="AM98" i="49"/>
  <c r="AM99" i="49"/>
  <c r="AM100" i="49"/>
  <c r="AM101" i="49"/>
  <c r="AM102" i="49"/>
  <c r="AM103" i="49"/>
  <c r="AM104" i="49"/>
  <c r="AM105" i="49"/>
  <c r="AM106" i="49"/>
  <c r="AM107" i="49"/>
  <c r="AM108" i="49"/>
  <c r="AM109" i="49"/>
  <c r="AM110" i="49"/>
  <c r="AM111" i="49"/>
  <c r="AM112" i="49"/>
  <c r="AM113" i="49"/>
  <c r="AM114" i="49"/>
  <c r="AM115" i="49"/>
  <c r="AM116" i="49"/>
  <c r="AM117" i="49"/>
  <c r="AM118" i="49"/>
  <c r="AM119" i="49"/>
  <c r="AM120" i="49"/>
  <c r="AM121" i="49"/>
  <c r="AM122" i="49"/>
  <c r="AM123" i="49"/>
  <c r="AM124" i="49"/>
  <c r="AM125" i="49"/>
  <c r="AM126" i="49"/>
  <c r="AM127" i="49"/>
  <c r="AM128" i="49"/>
  <c r="AM129" i="49"/>
  <c r="AM130" i="49"/>
  <c r="AM131" i="49"/>
  <c r="AM132" i="49"/>
  <c r="AM133" i="49"/>
  <c r="AM134" i="49"/>
  <c r="AM135" i="49"/>
  <c r="AM136" i="49"/>
  <c r="AM137" i="49"/>
  <c r="AM138" i="49"/>
  <c r="AM139" i="49"/>
  <c r="AM140" i="49"/>
  <c r="AM141" i="49"/>
  <c r="AM142" i="49"/>
  <c r="AM143" i="49"/>
  <c r="AM144" i="49"/>
  <c r="AM145" i="49"/>
  <c r="AM146" i="49"/>
  <c r="AM147" i="49"/>
  <c r="AM148" i="49"/>
  <c r="AM149" i="49"/>
  <c r="AM150" i="49"/>
  <c r="AM151" i="49"/>
  <c r="AM152" i="49"/>
  <c r="AM153" i="49"/>
  <c r="AM154" i="49"/>
  <c r="AM155" i="49"/>
  <c r="AM156" i="49"/>
  <c r="AM157" i="49"/>
  <c r="AM158" i="49"/>
  <c r="AM159" i="49"/>
  <c r="AM160" i="49"/>
  <c r="AM161" i="49"/>
  <c r="AM162" i="49"/>
  <c r="AM163" i="49"/>
  <c r="AM164" i="49"/>
  <c r="AM165" i="49"/>
  <c r="AM166" i="49"/>
  <c r="AM167" i="49"/>
  <c r="AM168" i="49"/>
  <c r="AM169" i="49"/>
  <c r="AM170" i="49"/>
  <c r="AM171" i="49"/>
  <c r="AM172" i="49"/>
  <c r="AM173" i="49"/>
  <c r="AM174" i="49"/>
  <c r="AM175" i="49"/>
  <c r="AM176" i="49"/>
  <c r="AM177" i="49"/>
  <c r="AM178" i="49"/>
  <c r="AM179" i="49"/>
  <c r="AM180" i="49"/>
  <c r="AM181" i="49"/>
  <c r="AM182" i="49"/>
  <c r="AM183" i="49"/>
  <c r="AM184" i="49"/>
  <c r="AM185" i="49"/>
  <c r="AM186" i="49"/>
  <c r="AM187" i="49"/>
  <c r="AM188" i="49"/>
  <c r="AM189" i="49"/>
  <c r="AM190" i="49"/>
  <c r="AM191" i="49"/>
  <c r="AM192" i="49"/>
  <c r="AM193" i="49"/>
  <c r="AM194" i="49"/>
  <c r="AM195" i="49"/>
  <c r="AM196" i="49"/>
  <c r="AM197" i="49"/>
  <c r="AM198" i="49"/>
  <c r="AM199" i="49"/>
  <c r="AM200" i="49"/>
  <c r="AM201" i="49"/>
  <c r="AM202" i="49"/>
  <c r="AM203" i="49"/>
  <c r="AM204" i="49"/>
  <c r="AM205" i="49"/>
  <c r="AM206" i="49"/>
  <c r="AM207" i="49"/>
  <c r="AM208" i="49"/>
  <c r="AM209" i="49"/>
  <c r="AM210" i="49"/>
  <c r="AM211" i="49"/>
  <c r="AM212" i="49"/>
  <c r="AM213" i="49"/>
  <c r="AM214" i="49"/>
  <c r="AM215" i="49"/>
  <c r="AM216" i="49"/>
  <c r="AM217" i="49"/>
  <c r="AM218" i="49"/>
  <c r="AM219" i="49"/>
  <c r="AM220" i="49"/>
  <c r="AM221" i="49"/>
  <c r="AM222" i="49"/>
  <c r="AM223" i="49"/>
  <c r="AM224" i="49"/>
  <c r="AM225" i="49"/>
  <c r="AM226" i="49"/>
  <c r="AM227" i="49"/>
  <c r="AM228" i="49"/>
  <c r="AM229" i="49"/>
  <c r="AM230" i="49"/>
  <c r="AM231" i="49"/>
  <c r="AM232" i="49"/>
  <c r="AM233" i="49"/>
  <c r="AM234" i="49"/>
  <c r="AM235" i="49"/>
  <c r="AM236" i="49"/>
  <c r="AM237" i="49"/>
  <c r="AM238" i="49"/>
  <c r="AM239" i="49"/>
  <c r="AM240" i="49"/>
  <c r="AM241" i="49"/>
  <c r="AM242" i="49"/>
  <c r="AM243" i="49"/>
  <c r="AM244" i="49"/>
  <c r="AM245" i="49"/>
  <c r="AM246" i="49"/>
  <c r="AM247" i="49"/>
  <c r="AM248" i="49"/>
  <c r="AM249" i="49"/>
  <c r="AM250" i="49"/>
  <c r="AM251" i="49"/>
  <c r="AM252" i="49"/>
  <c r="AM253" i="49"/>
  <c r="AM254" i="49"/>
  <c r="AM255" i="49"/>
  <c r="AM256" i="49"/>
  <c r="AM257" i="49"/>
  <c r="AM258" i="49"/>
  <c r="AM259" i="49"/>
  <c r="AM260" i="49"/>
  <c r="AM261" i="49"/>
  <c r="AM262" i="49"/>
  <c r="AM263" i="49"/>
  <c r="AM264" i="49"/>
  <c r="AM265" i="49"/>
  <c r="AM266" i="49"/>
  <c r="AM267" i="49"/>
  <c r="AM268" i="49"/>
  <c r="AM269" i="49"/>
  <c r="AM270" i="49"/>
  <c r="AM271" i="49"/>
  <c r="AM272" i="49"/>
  <c r="AM273" i="49"/>
  <c r="AM274" i="49"/>
  <c r="AM275" i="49"/>
  <c r="AM276" i="49"/>
  <c r="AM277" i="49"/>
  <c r="AM278" i="49"/>
  <c r="AM279" i="49"/>
  <c r="AM280" i="49"/>
  <c r="AM281" i="49"/>
  <c r="AM282" i="49"/>
  <c r="AM283" i="49"/>
  <c r="AM284" i="49"/>
  <c r="AM285" i="49"/>
  <c r="AM286" i="49"/>
  <c r="AM287" i="49"/>
  <c r="AM288" i="49"/>
  <c r="AM289" i="49"/>
  <c r="AM290" i="49"/>
  <c r="AM291" i="49"/>
  <c r="AM292" i="49"/>
  <c r="AM293" i="49"/>
  <c r="AM294" i="49"/>
  <c r="AM295" i="49"/>
  <c r="AM296" i="49"/>
  <c r="AM297" i="49"/>
  <c r="AM298" i="49"/>
  <c r="AM299" i="49"/>
  <c r="AM300" i="49"/>
  <c r="AM301" i="49"/>
  <c r="AM302" i="49"/>
  <c r="AM303" i="49"/>
  <c r="AM304" i="49"/>
  <c r="AM305" i="49"/>
  <c r="AM306" i="49"/>
  <c r="AM307" i="49"/>
  <c r="AM308" i="49"/>
  <c r="AM309" i="49"/>
  <c r="AM310" i="49"/>
  <c r="AM311" i="49"/>
  <c r="AM312" i="49"/>
  <c r="AM313" i="49"/>
  <c r="AM314" i="49"/>
  <c r="AM315" i="49"/>
  <c r="AM316" i="49"/>
  <c r="AM317" i="49"/>
  <c r="AM318" i="49"/>
  <c r="AM319" i="49"/>
  <c r="AM320" i="49"/>
  <c r="AM321" i="49"/>
  <c r="AM322" i="49"/>
  <c r="AM323" i="49"/>
  <c r="AM324" i="49"/>
  <c r="AM325" i="49"/>
  <c r="AM326" i="49"/>
  <c r="AM327" i="49"/>
  <c r="AM328" i="49"/>
  <c r="AM329" i="49"/>
  <c r="AM330" i="49"/>
  <c r="AM331" i="49"/>
  <c r="AM332" i="49"/>
  <c r="AM333" i="49"/>
  <c r="AM334" i="49"/>
  <c r="AM335" i="49"/>
  <c r="AM336" i="49"/>
  <c r="AM337" i="49"/>
  <c r="AM338" i="49"/>
  <c r="AM339" i="49"/>
  <c r="AM340" i="49"/>
  <c r="AM341" i="49"/>
  <c r="AM342" i="49"/>
  <c r="AM343" i="49"/>
  <c r="AM344" i="49"/>
  <c r="AM345" i="49"/>
  <c r="AM346" i="49"/>
  <c r="AM347" i="49"/>
  <c r="AM348" i="49"/>
  <c r="AM349" i="49"/>
  <c r="AM350" i="49"/>
  <c r="AM351" i="49"/>
  <c r="AM352" i="49"/>
  <c r="AM353" i="49"/>
  <c r="AM354" i="49"/>
  <c r="AM355" i="49"/>
  <c r="AM356" i="49"/>
  <c r="AM357" i="49"/>
  <c r="AM358" i="49"/>
  <c r="AM359" i="49"/>
  <c r="AM360" i="49"/>
  <c r="AM361" i="49"/>
  <c r="AM362" i="49"/>
  <c r="AM363" i="49"/>
  <c r="AM364" i="49"/>
  <c r="AM365" i="49"/>
  <c r="AM366" i="49"/>
  <c r="AM367" i="49"/>
  <c r="AM368" i="49"/>
  <c r="AM369" i="49"/>
  <c r="AM370" i="49"/>
  <c r="AM371" i="49"/>
  <c r="AM372" i="49"/>
  <c r="AM373" i="49"/>
  <c r="AM374" i="49"/>
  <c r="AM375" i="49"/>
  <c r="AM376" i="49"/>
  <c r="AM377" i="49"/>
  <c r="AM378" i="49"/>
  <c r="AM379" i="49"/>
  <c r="AM380" i="49"/>
  <c r="AM381" i="49"/>
  <c r="AM382" i="49"/>
  <c r="AM383" i="49"/>
  <c r="AM384" i="49"/>
  <c r="AM385" i="49"/>
  <c r="AM386" i="49"/>
  <c r="AM387" i="49"/>
  <c r="AM388" i="49"/>
  <c r="AM389" i="49"/>
  <c r="AM390" i="49"/>
  <c r="AM391" i="49"/>
  <c r="AM392" i="49"/>
  <c r="AM393" i="49"/>
  <c r="AM394" i="49"/>
  <c r="AM395" i="49"/>
  <c r="AM396" i="49"/>
  <c r="AM397" i="49"/>
  <c r="AM398" i="49"/>
  <c r="AM399" i="49"/>
  <c r="AM400" i="49"/>
  <c r="AM401" i="49"/>
  <c r="AM402" i="49"/>
  <c r="AM403" i="49"/>
  <c r="AM404" i="49"/>
  <c r="AM405" i="49"/>
  <c r="AM406" i="49"/>
  <c r="AM407" i="49"/>
  <c r="AM408" i="49"/>
  <c r="AM409" i="49"/>
  <c r="AM410" i="49"/>
  <c r="AM411" i="49"/>
  <c r="AM412" i="49"/>
  <c r="AM413" i="49"/>
  <c r="AM414" i="49"/>
  <c r="AM415" i="49"/>
  <c r="AM416" i="49"/>
  <c r="AM417" i="49"/>
  <c r="AM418" i="49"/>
  <c r="AM419" i="49"/>
  <c r="AM420" i="49"/>
  <c r="AM421" i="49"/>
  <c r="AM422" i="49"/>
  <c r="AM423" i="49"/>
  <c r="AM424" i="49"/>
  <c r="AM425" i="49"/>
  <c r="AM426" i="49"/>
  <c r="AM427" i="49"/>
  <c r="AM428" i="49"/>
  <c r="AM429" i="49"/>
  <c r="AM430" i="49"/>
  <c r="AM431" i="49"/>
  <c r="AM432" i="49"/>
  <c r="AM433" i="49"/>
  <c r="AM434" i="49"/>
  <c r="AM435" i="49"/>
  <c r="AM436" i="49"/>
  <c r="AM437" i="49"/>
  <c r="AM438" i="49"/>
  <c r="AM439" i="49"/>
  <c r="AM440" i="49"/>
  <c r="AM441" i="49"/>
  <c r="AM442" i="49"/>
  <c r="AM443" i="49"/>
  <c r="AM444" i="49"/>
  <c r="AM445" i="49"/>
  <c r="AM446" i="49"/>
  <c r="AM447" i="49"/>
  <c r="AM448" i="49"/>
  <c r="AM449" i="49"/>
  <c r="AM450" i="49"/>
  <c r="AM451" i="49"/>
  <c r="AM452" i="49"/>
  <c r="AM453" i="49"/>
  <c r="AM454" i="49"/>
  <c r="AM455" i="49"/>
  <c r="AM456" i="49"/>
  <c r="AM457" i="49"/>
  <c r="AM458" i="49"/>
  <c r="AM459" i="49"/>
  <c r="AM460" i="49"/>
  <c r="AM461" i="49"/>
  <c r="AM462" i="49"/>
  <c r="AM463" i="49"/>
  <c r="AM464" i="49"/>
  <c r="AM465" i="49"/>
  <c r="AM466" i="49"/>
  <c r="AM467" i="49"/>
  <c r="AM468" i="49"/>
  <c r="AM469" i="49"/>
  <c r="AM470" i="49"/>
  <c r="AM471" i="49"/>
  <c r="AM472" i="49"/>
  <c r="AM473" i="49"/>
  <c r="AM474" i="49"/>
  <c r="AM475" i="49"/>
  <c r="AM476" i="49"/>
  <c r="AM477" i="49"/>
  <c r="AM478" i="49"/>
  <c r="AM479" i="49"/>
  <c r="AM480" i="49"/>
  <c r="AM481" i="49"/>
  <c r="AM482" i="49"/>
  <c r="AM483" i="49"/>
  <c r="AM484" i="49"/>
  <c r="AM485" i="49"/>
  <c r="AM486" i="49"/>
  <c r="AM487" i="49"/>
  <c r="AM488" i="49"/>
  <c r="AM489" i="49"/>
  <c r="AM490" i="49"/>
  <c r="AM491" i="49"/>
  <c r="AM492" i="49"/>
  <c r="AM493" i="49"/>
  <c r="AM494" i="49"/>
  <c r="AM495" i="49"/>
  <c r="AM496" i="49"/>
  <c r="AM497" i="49"/>
  <c r="AM498" i="49"/>
  <c r="AM499" i="49"/>
  <c r="AM500" i="49"/>
  <c r="AM501" i="49"/>
  <c r="AM502" i="49"/>
  <c r="AM503" i="49"/>
  <c r="AM504" i="49"/>
  <c r="AM505" i="49"/>
  <c r="AM506" i="49"/>
  <c r="AM507" i="49"/>
  <c r="AM508" i="49"/>
  <c r="AM509" i="49"/>
  <c r="AM510" i="49"/>
  <c r="AM511" i="49"/>
  <c r="AM512" i="49"/>
  <c r="AM513" i="49"/>
  <c r="AM514" i="49"/>
  <c r="AM515" i="49"/>
  <c r="AM516" i="49"/>
  <c r="AM517" i="49"/>
  <c r="AM518" i="49"/>
  <c r="AM519" i="49"/>
  <c r="AM520" i="49"/>
  <c r="AM521" i="49"/>
  <c r="AM522" i="49"/>
  <c r="AM523" i="49"/>
  <c r="AM524" i="49"/>
  <c r="AM525" i="49"/>
  <c r="AM526" i="49"/>
  <c r="AM527" i="49"/>
  <c r="AM528" i="49"/>
  <c r="AM529" i="49"/>
  <c r="AM530" i="49"/>
  <c r="AM531" i="49"/>
  <c r="AM532" i="49"/>
  <c r="AM533" i="49"/>
  <c r="AM534" i="49"/>
  <c r="AM535" i="49"/>
  <c r="AM536" i="49"/>
  <c r="AM537" i="49"/>
  <c r="AM538" i="49"/>
  <c r="AM539" i="49"/>
  <c r="AM540" i="49"/>
  <c r="AM541" i="49"/>
  <c r="AM542" i="49"/>
  <c r="AM543" i="49"/>
  <c r="AM544" i="49"/>
  <c r="AM545" i="49"/>
  <c r="AM546" i="49"/>
  <c r="AM547" i="49"/>
  <c r="AM548" i="49"/>
  <c r="AM549" i="49"/>
  <c r="AM550" i="49"/>
  <c r="AM551" i="49"/>
  <c r="AM552" i="49"/>
  <c r="AM553" i="49"/>
  <c r="AM554" i="49"/>
  <c r="AM555" i="49"/>
  <c r="AM556" i="49"/>
  <c r="AM557" i="49"/>
  <c r="AM558" i="49"/>
  <c r="AM559" i="49"/>
  <c r="AM560" i="49"/>
  <c r="AM561" i="49"/>
  <c r="AM562" i="49"/>
  <c r="AM563" i="49"/>
  <c r="AM564" i="49"/>
  <c r="AM565" i="49"/>
  <c r="AM566" i="49"/>
  <c r="AM567" i="49"/>
  <c r="AM568" i="49"/>
  <c r="AM569" i="49"/>
  <c r="AM570" i="49"/>
  <c r="AM571" i="49"/>
  <c r="AM572" i="49"/>
  <c r="AM573" i="49"/>
  <c r="AM574" i="49"/>
  <c r="AM575" i="49"/>
  <c r="AM576" i="49"/>
  <c r="AM577" i="49"/>
  <c r="AM578" i="49"/>
  <c r="AM579" i="49"/>
  <c r="AM580" i="49"/>
  <c r="AM581" i="49"/>
  <c r="AM582" i="49"/>
  <c r="AM583" i="49"/>
  <c r="AM584" i="49"/>
  <c r="AM585" i="49"/>
  <c r="AM586" i="49"/>
  <c r="AM587" i="49"/>
  <c r="AM588" i="49"/>
  <c r="AM589" i="49"/>
  <c r="AM590" i="49"/>
  <c r="AM591" i="49"/>
  <c r="AM592" i="49"/>
  <c r="AM593" i="49"/>
  <c r="AM594" i="49"/>
  <c r="AM595" i="49"/>
  <c r="AM596" i="49"/>
  <c r="AM597" i="49"/>
  <c r="AM598" i="49"/>
  <c r="AM599" i="49"/>
  <c r="AM600" i="49"/>
  <c r="AM601" i="49"/>
  <c r="AM602" i="49"/>
  <c r="AM603" i="49"/>
  <c r="AM604" i="49"/>
  <c r="AM605" i="49"/>
  <c r="AM606" i="49"/>
  <c r="AM607" i="49"/>
  <c r="AM608" i="49"/>
  <c r="AM609" i="49"/>
  <c r="AM610" i="49"/>
  <c r="AM611" i="49"/>
  <c r="AM612" i="49"/>
  <c r="AM613" i="49"/>
  <c r="AM614" i="49"/>
  <c r="AM615" i="49"/>
  <c r="AM616" i="49"/>
  <c r="AM617" i="49"/>
  <c r="AM618" i="49"/>
  <c r="AM619" i="49"/>
  <c r="AM620" i="49"/>
  <c r="AM621" i="49"/>
  <c r="AM622" i="49"/>
  <c r="AM623" i="49"/>
  <c r="AM624" i="49"/>
  <c r="AM625" i="49"/>
  <c r="AM626" i="49"/>
  <c r="AM627" i="49"/>
  <c r="AM628" i="49"/>
  <c r="AM629" i="49"/>
  <c r="AM630" i="49"/>
  <c r="AM631" i="49"/>
  <c r="AM632" i="49"/>
  <c r="AM633" i="49"/>
  <c r="AM634" i="49"/>
  <c r="AM635" i="49"/>
  <c r="AM636" i="49"/>
  <c r="AM637" i="49"/>
  <c r="AM638" i="49"/>
  <c r="AM639" i="49"/>
  <c r="AM640" i="49"/>
  <c r="AM641" i="49"/>
  <c r="AM642" i="49"/>
  <c r="AM643" i="49"/>
  <c r="AM644" i="49"/>
  <c r="AM645" i="49"/>
  <c r="AM646" i="49"/>
  <c r="AM647" i="49"/>
  <c r="AM648" i="49"/>
  <c r="AM649" i="49"/>
  <c r="AM650" i="49"/>
  <c r="AM651" i="49"/>
  <c r="AM652" i="49"/>
  <c r="AM653" i="49"/>
  <c r="AM654" i="49"/>
  <c r="AM655" i="49"/>
  <c r="AM656" i="49"/>
  <c r="AM657" i="49"/>
  <c r="AM658" i="49"/>
  <c r="AM659" i="49"/>
  <c r="AM660" i="49"/>
  <c r="AM661" i="49"/>
  <c r="AM662" i="49"/>
  <c r="AM663" i="49"/>
  <c r="AM664" i="49"/>
  <c r="AM665" i="49"/>
  <c r="AM666" i="49"/>
  <c r="AM667" i="49"/>
  <c r="AM668" i="49"/>
  <c r="AM669" i="49"/>
  <c r="AM670" i="49"/>
  <c r="AM671" i="49"/>
  <c r="AM672" i="49"/>
  <c r="AM673" i="49"/>
  <c r="AM674" i="49"/>
  <c r="AM675" i="49"/>
  <c r="AM676" i="49"/>
  <c r="AM677" i="49"/>
  <c r="AM678" i="49"/>
  <c r="AM679" i="49"/>
  <c r="AM680" i="49"/>
  <c r="AM681" i="49"/>
  <c r="AM682" i="49"/>
  <c r="AM683" i="49"/>
  <c r="AM684" i="49"/>
  <c r="AM685" i="49"/>
  <c r="AM686" i="49"/>
  <c r="AM687" i="49"/>
  <c r="AM688" i="49"/>
  <c r="AM689" i="49"/>
  <c r="AM690" i="49"/>
  <c r="AM691" i="49"/>
  <c r="AM692" i="49"/>
  <c r="AM693" i="49"/>
  <c r="AM694" i="49"/>
  <c r="AM695" i="49"/>
  <c r="AM696" i="49"/>
  <c r="AM697" i="49"/>
  <c r="AM698" i="49"/>
  <c r="AM699" i="49"/>
  <c r="AM700" i="49"/>
  <c r="AM701" i="49"/>
  <c r="AM702" i="49"/>
  <c r="AM703" i="49"/>
  <c r="AM704" i="49"/>
  <c r="AM705" i="49"/>
  <c r="AM706" i="49"/>
  <c r="AM707" i="49"/>
  <c r="AM708" i="49"/>
  <c r="AM709" i="49"/>
  <c r="AM710" i="49"/>
  <c r="AM711" i="49"/>
  <c r="AM712" i="49"/>
  <c r="AM713" i="49"/>
  <c r="AM714" i="49"/>
  <c r="AM715" i="49"/>
  <c r="AM716" i="49"/>
  <c r="AM717" i="49"/>
  <c r="AM718" i="49"/>
  <c r="AM719" i="49"/>
  <c r="AM720" i="49"/>
  <c r="AM721" i="49"/>
  <c r="AM722" i="49"/>
  <c r="AM723" i="49"/>
  <c r="AM724" i="49"/>
  <c r="AM725" i="49"/>
  <c r="AM726" i="49"/>
  <c r="AM727" i="49"/>
  <c r="AM728" i="49"/>
  <c r="AM729" i="49"/>
  <c r="AM730" i="49"/>
  <c r="AM731" i="49"/>
  <c r="AM732" i="49"/>
  <c r="AM733" i="49"/>
  <c r="AM734" i="49"/>
  <c r="AM735" i="49"/>
  <c r="AM736" i="49"/>
  <c r="AM737" i="49"/>
  <c r="AM738" i="49"/>
  <c r="AM739" i="49"/>
  <c r="AM740" i="49"/>
  <c r="AM741" i="49"/>
  <c r="AM742" i="49"/>
  <c r="AM743" i="49"/>
  <c r="AM744" i="49"/>
  <c r="AM745" i="49"/>
  <c r="AM746" i="49"/>
  <c r="AM747" i="49"/>
  <c r="AM748" i="49"/>
  <c r="AM749" i="49"/>
  <c r="AM750" i="49"/>
  <c r="AM751" i="49"/>
  <c r="AM752" i="49"/>
  <c r="AM753" i="49"/>
  <c r="AM754" i="49"/>
  <c r="AM755" i="49"/>
  <c r="AM756" i="49"/>
  <c r="AM757" i="49"/>
  <c r="AM758" i="49"/>
  <c r="AM759" i="49"/>
  <c r="AM760" i="49"/>
  <c r="AM761" i="49"/>
  <c r="AM762" i="49"/>
  <c r="AM763" i="49"/>
  <c r="AM764" i="49"/>
  <c r="AM765" i="49"/>
  <c r="AM766" i="49"/>
  <c r="AM767" i="49"/>
  <c r="AM768" i="49"/>
  <c r="AM769" i="49"/>
  <c r="AM770" i="49"/>
  <c r="AM771" i="49"/>
  <c r="AM772" i="49"/>
  <c r="AM773" i="49"/>
  <c r="AM774" i="49"/>
  <c r="AM775" i="49"/>
  <c r="AM776" i="49"/>
  <c r="AM777" i="49"/>
  <c r="AM778" i="49"/>
  <c r="AM779" i="49"/>
  <c r="AM780" i="49"/>
  <c r="AM781" i="49"/>
  <c r="AM782" i="49"/>
  <c r="AM783" i="49"/>
  <c r="AM784" i="49"/>
  <c r="AM785" i="49"/>
  <c r="AM786" i="49"/>
  <c r="AM787" i="49"/>
  <c r="AM788" i="49"/>
  <c r="AM789" i="49"/>
  <c r="AM790" i="49"/>
  <c r="AM791" i="49"/>
  <c r="AM792" i="49"/>
  <c r="AM793" i="49"/>
  <c r="AM794" i="49"/>
  <c r="AM795" i="49"/>
  <c r="AM796" i="49"/>
  <c r="AM797" i="49"/>
  <c r="AM798" i="49"/>
  <c r="AM799" i="49"/>
  <c r="AM800" i="49"/>
  <c r="AM801" i="49"/>
  <c r="AM802" i="49"/>
  <c r="AM803" i="49"/>
  <c r="AM804" i="49"/>
  <c r="AM805" i="49"/>
  <c r="AM806" i="49"/>
  <c r="AM807" i="49"/>
  <c r="AM808" i="49"/>
  <c r="AM809" i="49"/>
  <c r="AM810" i="49"/>
  <c r="AM811" i="49"/>
  <c r="AM812" i="49"/>
  <c r="AM813" i="49"/>
  <c r="AM814" i="49"/>
  <c r="AM815" i="49"/>
  <c r="AM816" i="49"/>
  <c r="AM817" i="49"/>
  <c r="AM818" i="49"/>
  <c r="AM819" i="49"/>
  <c r="AM820" i="49"/>
  <c r="AM821" i="49"/>
  <c r="AM822" i="49"/>
  <c r="AM823" i="49"/>
  <c r="AM824" i="49"/>
  <c r="AM825" i="49"/>
  <c r="AM826" i="49"/>
  <c r="AM827" i="49"/>
  <c r="AM828" i="49"/>
  <c r="AM829" i="49"/>
  <c r="AM830" i="49"/>
  <c r="AM831" i="49"/>
  <c r="AM832" i="49"/>
  <c r="AM833" i="49"/>
  <c r="AM834" i="49"/>
  <c r="AM835" i="49"/>
  <c r="AM836" i="49"/>
  <c r="AM837" i="49"/>
  <c r="AM838" i="49"/>
  <c r="AM839" i="49"/>
  <c r="AM840" i="49"/>
  <c r="AM841" i="49"/>
  <c r="AM842" i="49"/>
  <c r="AM843" i="49"/>
  <c r="AM844" i="49"/>
  <c r="AM845" i="49"/>
  <c r="AM846" i="49"/>
  <c r="AM847" i="49"/>
  <c r="AM848" i="49"/>
  <c r="AM849" i="49"/>
  <c r="AM850" i="49"/>
  <c r="AM851" i="49"/>
  <c r="AM852" i="49"/>
  <c r="AM853" i="49"/>
  <c r="AM854" i="49"/>
  <c r="AM855" i="49"/>
  <c r="AM856" i="49"/>
  <c r="AM857" i="49"/>
  <c r="AM858" i="49"/>
  <c r="AM859" i="49"/>
  <c r="AM860" i="49"/>
  <c r="AM861" i="49"/>
  <c r="AM862" i="49"/>
  <c r="AM863" i="49"/>
  <c r="AM864" i="49"/>
  <c r="AM865" i="49"/>
  <c r="AM866" i="49"/>
  <c r="AM867" i="49"/>
  <c r="AM868" i="49"/>
  <c r="AM869" i="49"/>
  <c r="AM870" i="49"/>
  <c r="AM871" i="49"/>
  <c r="AM872" i="49"/>
  <c r="AM873" i="49"/>
  <c r="AM874" i="49"/>
  <c r="AM875" i="49"/>
  <c r="AM876" i="49"/>
  <c r="AM877" i="49"/>
  <c r="AM878" i="49"/>
  <c r="AM879" i="49"/>
  <c r="AM880" i="49"/>
  <c r="AM881" i="49"/>
  <c r="AM882" i="49"/>
  <c r="AM883" i="49"/>
  <c r="AM884" i="49"/>
  <c r="AM885" i="49"/>
  <c r="AM886" i="49"/>
  <c r="AM887" i="49"/>
  <c r="AM888" i="49"/>
  <c r="AM889" i="49"/>
  <c r="AM890" i="49"/>
  <c r="AM891" i="49"/>
  <c r="AM892" i="49"/>
  <c r="AM893" i="49"/>
  <c r="AM894" i="49"/>
  <c r="AM895" i="49"/>
  <c r="AM896" i="49"/>
  <c r="AM897" i="49"/>
  <c r="AM898" i="49"/>
  <c r="AM899" i="49"/>
  <c r="AM900" i="49"/>
  <c r="AM901" i="49"/>
  <c r="AM902" i="49"/>
  <c r="AM903" i="49"/>
  <c r="AM904" i="49"/>
  <c r="AM905" i="49"/>
  <c r="AM906" i="49"/>
  <c r="AM907" i="49"/>
  <c r="AM908" i="49"/>
  <c r="AM909" i="49"/>
  <c r="AM910" i="49"/>
  <c r="AM911" i="49"/>
  <c r="AM912" i="49"/>
  <c r="AM913" i="49"/>
  <c r="AM914" i="49"/>
  <c r="AM915" i="49"/>
  <c r="AM916" i="49"/>
  <c r="AM917" i="49"/>
  <c r="AM918" i="49"/>
  <c r="AM919" i="49"/>
  <c r="AM920" i="49"/>
  <c r="AM921" i="49"/>
  <c r="AM922" i="49"/>
  <c r="AM923" i="49"/>
  <c r="AM924" i="49"/>
  <c r="AM925" i="49"/>
  <c r="AM926" i="49"/>
  <c r="AM927" i="49"/>
  <c r="AM928" i="49"/>
  <c r="AM929" i="49"/>
  <c r="AM930" i="49"/>
  <c r="AM931" i="49"/>
  <c r="AM932" i="49"/>
  <c r="AM933" i="49"/>
  <c r="AM934" i="49"/>
  <c r="AM935" i="49"/>
  <c r="AM936" i="49"/>
  <c r="AM937" i="49"/>
  <c r="AM938" i="49"/>
  <c r="AM939" i="49"/>
  <c r="AM940" i="49"/>
  <c r="AM941" i="49"/>
  <c r="AM942" i="49"/>
  <c r="AM943" i="49"/>
  <c r="AM944" i="49"/>
  <c r="AM945" i="49"/>
  <c r="AM946" i="49"/>
  <c r="AM947" i="49"/>
  <c r="AM948" i="49"/>
  <c r="AM949" i="49"/>
  <c r="AM950" i="49"/>
  <c r="AM951" i="49"/>
  <c r="AM952" i="49"/>
  <c r="AM953" i="49"/>
  <c r="AM954" i="49"/>
  <c r="AM955" i="49"/>
  <c r="AM956" i="49"/>
  <c r="AM957" i="49"/>
  <c r="AM958" i="49"/>
  <c r="AM959" i="49"/>
  <c r="AM960" i="49"/>
  <c r="AM961" i="49"/>
  <c r="AM962" i="49"/>
  <c r="AM963" i="49"/>
  <c r="AM964" i="49"/>
  <c r="AM965" i="49"/>
  <c r="AM966" i="49"/>
  <c r="AM967" i="49"/>
  <c r="AM968" i="49"/>
  <c r="AM969" i="49"/>
  <c r="AM970" i="49"/>
  <c r="AM971" i="49"/>
  <c r="AM972" i="49"/>
  <c r="AM973" i="49"/>
  <c r="AM974" i="49"/>
  <c r="AM975" i="49"/>
  <c r="AM976" i="49"/>
  <c r="AM977" i="49"/>
  <c r="AM978" i="49"/>
  <c r="AM979" i="49"/>
  <c r="AM980" i="49"/>
  <c r="AM981" i="49"/>
  <c r="AM982" i="49"/>
  <c r="AM983" i="49"/>
  <c r="AM984" i="49"/>
  <c r="AM985" i="49"/>
  <c r="AM986" i="49"/>
  <c r="AM987" i="49"/>
  <c r="AM988" i="49"/>
  <c r="AM989" i="49"/>
  <c r="AM990" i="49"/>
  <c r="AM991" i="49"/>
  <c r="AM992" i="49"/>
  <c r="AM993" i="49"/>
  <c r="AM994" i="49"/>
  <c r="AM995" i="49"/>
  <c r="AM996" i="49"/>
  <c r="AM997" i="49"/>
  <c r="AM998" i="49"/>
  <c r="AM999" i="49"/>
  <c r="AM1000" i="49"/>
  <c r="AM1001" i="49"/>
  <c r="AM1002" i="49"/>
  <c r="AM1003" i="49"/>
  <c r="AM1004" i="49"/>
  <c r="AM1005" i="49"/>
  <c r="AM1006" i="49"/>
  <c r="AM1007" i="49"/>
  <c r="AM1008" i="49"/>
  <c r="AM1009" i="49"/>
  <c r="AM1010" i="49"/>
  <c r="AM1011" i="49"/>
  <c r="AM1012" i="49"/>
  <c r="AM1013" i="49"/>
  <c r="AM1014" i="49"/>
  <c r="AM1015" i="49"/>
  <c r="AM1016" i="49"/>
  <c r="AM1017" i="49"/>
  <c r="AM1018" i="49"/>
  <c r="AM1019" i="49"/>
  <c r="AM1020" i="49"/>
  <c r="AM1021" i="49"/>
  <c r="AM1022" i="49"/>
  <c r="AM1023" i="49"/>
  <c r="AM1024" i="49"/>
  <c r="AM1025" i="49"/>
  <c r="AM1026" i="49"/>
  <c r="AM1027" i="49"/>
  <c r="AM1028" i="49"/>
  <c r="AM1029" i="49"/>
  <c r="AM1030" i="49"/>
  <c r="AM1031" i="49"/>
  <c r="AM1032" i="49"/>
  <c r="AM1033" i="49"/>
  <c r="AM1034" i="49"/>
  <c r="AM1035" i="49"/>
  <c r="AM1036" i="49"/>
  <c r="AM1037" i="49"/>
  <c r="AM1038" i="49"/>
  <c r="AM1039" i="49"/>
  <c r="AM1040" i="49"/>
  <c r="AM1041" i="49"/>
  <c r="AM1042" i="49"/>
  <c r="AM1043" i="49"/>
  <c r="AM1044" i="49"/>
  <c r="AM1045" i="49"/>
  <c r="AM1046" i="49"/>
  <c r="AM1047" i="49"/>
  <c r="AM1048" i="49"/>
  <c r="AM1049" i="49"/>
  <c r="AM1050" i="49"/>
  <c r="AM1051" i="49"/>
  <c r="AM1052" i="49"/>
  <c r="AM1053" i="49"/>
  <c r="AM1054" i="49"/>
  <c r="AM1055" i="49"/>
  <c r="AM1056" i="49"/>
  <c r="AM1057" i="49"/>
  <c r="AM1058" i="49"/>
  <c r="AM1059" i="49"/>
  <c r="AM1060" i="49"/>
  <c r="AM1061" i="49"/>
  <c r="AM1062" i="49"/>
  <c r="AM1063" i="49"/>
  <c r="AM1064" i="49"/>
  <c r="AM1065" i="49"/>
  <c r="AM1066" i="49"/>
  <c r="AM1067" i="49"/>
  <c r="AM1068" i="49"/>
  <c r="AM1069" i="49"/>
  <c r="AM1070" i="49"/>
  <c r="AM1071" i="49"/>
  <c r="AM1072" i="49"/>
  <c r="AM1073" i="49"/>
  <c r="AM1074" i="49"/>
  <c r="AM1075" i="49"/>
  <c r="AM1076" i="49"/>
  <c r="AM1077" i="49"/>
  <c r="AM1078" i="49"/>
  <c r="AM1079" i="49"/>
  <c r="AM1080" i="49"/>
  <c r="AM1081" i="49"/>
  <c r="AM1082" i="49"/>
  <c r="AM1083" i="49"/>
  <c r="AM1084" i="49"/>
  <c r="AM1085" i="49"/>
  <c r="AM1086" i="49"/>
  <c r="AM1087" i="49"/>
  <c r="AM1088" i="49"/>
  <c r="AM1089" i="49"/>
  <c r="AM1090" i="49"/>
  <c r="AM1091" i="49"/>
  <c r="AM1092" i="49"/>
  <c r="AM1093" i="49"/>
  <c r="AM1094" i="49"/>
  <c r="AM1095" i="49"/>
  <c r="AM1096" i="49"/>
  <c r="AM1097" i="49"/>
  <c r="AM1098" i="49"/>
  <c r="AM1099" i="49"/>
  <c r="AM1100" i="49"/>
  <c r="AM1101" i="49"/>
  <c r="AM1102" i="49"/>
  <c r="AM1103" i="49"/>
  <c r="AM1104" i="49"/>
  <c r="AM1105" i="49"/>
  <c r="AM1106" i="49"/>
  <c r="AM1107" i="49"/>
  <c r="AM1108" i="49"/>
  <c r="AM1109" i="49"/>
  <c r="AM1110" i="49"/>
  <c r="AM1111" i="49"/>
  <c r="AM1112" i="49"/>
  <c r="AM1113" i="49"/>
  <c r="AM1114" i="49"/>
  <c r="AM1115" i="49"/>
  <c r="AM1116" i="49"/>
  <c r="AM1117" i="49"/>
  <c r="AM1118" i="49"/>
  <c r="AM1119" i="49"/>
  <c r="AM1120" i="49"/>
  <c r="AM1121" i="49"/>
  <c r="AM1122" i="49"/>
  <c r="AM1123" i="49"/>
  <c r="AM1124" i="49"/>
  <c r="AM1125" i="49"/>
  <c r="AM1126" i="49"/>
  <c r="AM1127" i="49"/>
  <c r="AM1128" i="49"/>
  <c r="AM1129" i="49"/>
  <c r="AM1130" i="49"/>
  <c r="AM1131" i="49"/>
  <c r="AM1132" i="49"/>
  <c r="AM1133" i="49"/>
  <c r="AM1134" i="49"/>
  <c r="AM1135" i="49"/>
  <c r="AM1136" i="49"/>
  <c r="AM1137" i="49"/>
  <c r="AM1138" i="49"/>
  <c r="AM1139" i="49"/>
  <c r="AM1140" i="49"/>
  <c r="AM1141" i="49"/>
  <c r="AM1142" i="49"/>
  <c r="AM1143" i="49"/>
  <c r="AM1144" i="49"/>
  <c r="AM1145" i="49"/>
  <c r="AM1146" i="49"/>
  <c r="AM1147" i="49"/>
  <c r="AM1148" i="49"/>
  <c r="AM1149" i="49"/>
  <c r="AM1150" i="49"/>
  <c r="AM1151" i="49"/>
  <c r="AM1152" i="49"/>
  <c r="AM1153" i="49"/>
  <c r="AM1154" i="49"/>
  <c r="AM1155" i="49"/>
  <c r="AM1156" i="49"/>
  <c r="AM1157" i="49"/>
  <c r="AM1158" i="49"/>
  <c r="AM1159" i="49"/>
  <c r="AM1160" i="49"/>
  <c r="AM1161" i="49"/>
  <c r="AM1162" i="49"/>
  <c r="AM1163" i="49"/>
  <c r="AM1164" i="49"/>
  <c r="AM1165" i="49"/>
  <c r="AM1166" i="49"/>
  <c r="AM1167" i="49"/>
  <c r="AM1168" i="49"/>
  <c r="AM1169" i="49"/>
  <c r="AM1170" i="49"/>
  <c r="AM1171" i="49"/>
  <c r="AM1172" i="49"/>
  <c r="AM1173" i="49"/>
  <c r="AM1174" i="49"/>
  <c r="AM1175" i="49"/>
  <c r="AM1176" i="49"/>
  <c r="AM1177" i="49"/>
  <c r="AM1178" i="49"/>
  <c r="AM1179" i="49"/>
  <c r="AM1180" i="49"/>
  <c r="AM1181" i="49"/>
  <c r="AM1182" i="49"/>
  <c r="AM1183" i="49"/>
  <c r="AM1184" i="49"/>
  <c r="AM1185" i="49"/>
  <c r="AM1186" i="49"/>
  <c r="AM1187" i="49"/>
  <c r="AM1188" i="49"/>
  <c r="AM1189" i="49"/>
  <c r="AM1190" i="49"/>
  <c r="AM1191" i="49"/>
  <c r="AM1192" i="49"/>
  <c r="AM1193" i="49"/>
  <c r="AM1194" i="49"/>
  <c r="AM1195" i="49"/>
  <c r="AM1196" i="49"/>
  <c r="AM1197" i="49"/>
  <c r="AM1198" i="49"/>
  <c r="AM1199" i="49"/>
  <c r="AM1200" i="49"/>
  <c r="AM1201" i="49"/>
  <c r="AM1202" i="49"/>
  <c r="AM1203" i="49"/>
  <c r="AM1204" i="49"/>
  <c r="AM1205" i="49"/>
  <c r="AM1206" i="49"/>
  <c r="AM1207" i="49"/>
  <c r="AM1208" i="49"/>
  <c r="AM1209" i="49"/>
  <c r="AM1210" i="49"/>
  <c r="AM1211" i="49"/>
  <c r="AM1212" i="49"/>
  <c r="AM1213" i="49"/>
  <c r="AM1214" i="49"/>
  <c r="AM1215" i="49"/>
  <c r="AM1216" i="49"/>
  <c r="AM1217" i="49"/>
  <c r="AM1218" i="49"/>
  <c r="AM1219" i="49"/>
  <c r="AM1220" i="49"/>
  <c r="AM1221" i="49"/>
  <c r="AM1222" i="49"/>
  <c r="AM1223" i="49"/>
  <c r="AM1224" i="49"/>
  <c r="AM1225" i="49"/>
  <c r="AM1226" i="49"/>
  <c r="AM1227" i="49"/>
  <c r="AM1228" i="49"/>
  <c r="AM1229" i="49"/>
  <c r="AM1230" i="49"/>
  <c r="AM1231" i="49"/>
  <c r="AM1232" i="49"/>
  <c r="AM1233" i="49"/>
  <c r="AM1234" i="49"/>
  <c r="AM1235" i="49"/>
  <c r="AM1236" i="49"/>
  <c r="AM1237" i="49"/>
  <c r="AM1238" i="49"/>
  <c r="AM1239" i="49"/>
  <c r="AM1240" i="49"/>
  <c r="AM1241" i="49"/>
  <c r="AM1242" i="49"/>
  <c r="AM1243" i="49"/>
  <c r="AM1244" i="49"/>
  <c r="AM1245" i="49"/>
  <c r="AM1246" i="49"/>
  <c r="AM1247" i="49"/>
  <c r="AM1248" i="49"/>
  <c r="AM1249" i="49"/>
  <c r="AM1250" i="49"/>
  <c r="AM1251" i="49"/>
  <c r="AM1252" i="49"/>
  <c r="AM1253" i="49"/>
  <c r="AM1254" i="49"/>
  <c r="AM1255" i="49"/>
  <c r="AM1256" i="49"/>
  <c r="AM1257" i="49"/>
  <c r="AM1258" i="49"/>
  <c r="AM1259" i="49"/>
  <c r="AM1260" i="49"/>
  <c r="AM1261" i="49"/>
  <c r="AM1262" i="49"/>
  <c r="AM1263" i="49"/>
  <c r="AM1264" i="49"/>
  <c r="AM1265" i="49"/>
  <c r="AM1266" i="49"/>
  <c r="AM1267" i="49"/>
  <c r="AM1268" i="49"/>
  <c r="AM1269" i="49"/>
  <c r="AM1270" i="49"/>
  <c r="AM1271" i="49"/>
  <c r="AM1272" i="49"/>
  <c r="AM1273" i="49"/>
  <c r="AM1274" i="49"/>
  <c r="AM1275" i="49"/>
  <c r="AM1276" i="49"/>
  <c r="AM1277" i="49"/>
  <c r="AM1278" i="49"/>
  <c r="AM1279" i="49"/>
  <c r="AM1280" i="49"/>
  <c r="AM1281" i="49"/>
  <c r="AM1282" i="49"/>
  <c r="AM1283" i="49"/>
  <c r="AM1284" i="49"/>
  <c r="AM1285" i="49"/>
  <c r="AM1286" i="49"/>
  <c r="A62" i="32"/>
  <c r="J17" i="48"/>
  <c r="AD39" i="49"/>
  <c r="AE27" i="49"/>
  <c r="S20" i="49"/>
  <c r="AD30" i="49" l="1"/>
  <c r="D398" i="46"/>
  <c r="D399" i="46" s="1"/>
  <c r="AN20" i="49"/>
  <c r="AD29" i="49" s="1"/>
  <c r="AD31" i="49" l="1"/>
  <c r="AE28" i="49" s="1"/>
  <c r="AE25" i="49" s="1"/>
  <c r="AE33" i="49" s="1"/>
  <c r="AD40" i="49" s="1"/>
  <c r="B89" i="59"/>
  <c r="A79" i="59"/>
  <c r="A80" i="59" l="1"/>
  <c r="A81" i="59" l="1"/>
  <c r="A82" i="59" l="1"/>
  <c r="A83" i="59" l="1"/>
  <c r="A84" i="59" l="1"/>
  <c r="A85" i="59" l="1"/>
  <c r="A86" i="59" l="1"/>
  <c r="A87" i="59" l="1"/>
  <c r="A88" i="59" l="1"/>
  <c r="A89" i="59" l="1"/>
  <c r="A20" i="59" l="1"/>
  <c r="A21" i="59" s="1"/>
  <c r="A22" i="59" s="1"/>
  <c r="A23" i="59" s="1"/>
  <c r="A24" i="59" s="1"/>
  <c r="A25" i="59" s="1"/>
  <c r="A26" i="59" s="1"/>
  <c r="A27" i="59" s="1"/>
  <c r="A28" i="59" s="1"/>
  <c r="A29" i="59" s="1"/>
  <c r="J4" i="49"/>
  <c r="D3" i="49"/>
  <c r="J3" i="49" s="1"/>
  <c r="U23" i="49"/>
  <c r="U24" i="49"/>
  <c r="U25" i="49"/>
  <c r="U26" i="49"/>
  <c r="U27" i="49"/>
  <c r="U28" i="49"/>
  <c r="U29" i="49"/>
  <c r="U30" i="49"/>
  <c r="U31" i="49"/>
  <c r="U32" i="49"/>
  <c r="U33" i="49"/>
  <c r="U34" i="49"/>
  <c r="U35" i="49"/>
  <c r="U36" i="49"/>
  <c r="U37" i="49"/>
  <c r="U38" i="49"/>
  <c r="U39" i="49"/>
  <c r="U40" i="49"/>
  <c r="U41" i="49"/>
  <c r="U42" i="49"/>
  <c r="U43" i="49"/>
  <c r="U44" i="49"/>
  <c r="U45" i="49"/>
  <c r="U46" i="49"/>
  <c r="U47" i="49"/>
  <c r="U48" i="49"/>
  <c r="U49" i="49"/>
  <c r="U50" i="49"/>
  <c r="U51" i="49"/>
  <c r="U52" i="49"/>
  <c r="U53" i="49"/>
  <c r="U54" i="49"/>
  <c r="U55" i="49"/>
  <c r="U56" i="49"/>
  <c r="U57" i="49"/>
  <c r="U58" i="49"/>
  <c r="U59" i="49"/>
  <c r="U60" i="49"/>
  <c r="U61" i="49"/>
  <c r="U62" i="49"/>
  <c r="U63" i="49"/>
  <c r="U64" i="49"/>
  <c r="U65" i="49"/>
  <c r="U66" i="49"/>
  <c r="U67" i="49"/>
  <c r="U68" i="49"/>
  <c r="U69" i="49"/>
  <c r="U70" i="49"/>
  <c r="U71" i="49"/>
  <c r="U72" i="49"/>
  <c r="U73" i="49"/>
  <c r="U74" i="49"/>
  <c r="U75" i="49"/>
  <c r="U76" i="49"/>
  <c r="U77" i="49"/>
  <c r="U78" i="49"/>
  <c r="U79" i="49"/>
  <c r="U80" i="49"/>
  <c r="U81" i="49"/>
  <c r="U22" i="49"/>
  <c r="N12" i="49"/>
  <c r="I3" i="49"/>
  <c r="Y75" i="49" l="1"/>
  <c r="V75" i="49"/>
  <c r="Y67" i="49"/>
  <c r="V67" i="49"/>
  <c r="Y55" i="49"/>
  <c r="V55" i="49"/>
  <c r="Y47" i="49"/>
  <c r="V47" i="49"/>
  <c r="Y35" i="49"/>
  <c r="V35" i="49"/>
  <c r="Y27" i="49"/>
  <c r="V27" i="49"/>
  <c r="Y74" i="49"/>
  <c r="V74" i="49"/>
  <c r="Y66" i="49"/>
  <c r="V66" i="49"/>
  <c r="Y54" i="49"/>
  <c r="V54" i="49"/>
  <c r="V46" i="49"/>
  <c r="Y46" i="49"/>
  <c r="Y42" i="49"/>
  <c r="V42" i="49"/>
  <c r="V38" i="49"/>
  <c r="Y38" i="49"/>
  <c r="Y30" i="49"/>
  <c r="V30" i="49"/>
  <c r="V26" i="49"/>
  <c r="Y26" i="49"/>
  <c r="V22" i="49"/>
  <c r="Y22" i="49"/>
  <c r="Y71" i="49"/>
  <c r="V71" i="49"/>
  <c r="Y59" i="49"/>
  <c r="V59" i="49"/>
  <c r="Y39" i="49"/>
  <c r="V39" i="49"/>
  <c r="Y70" i="49"/>
  <c r="V70" i="49"/>
  <c r="Y58" i="49"/>
  <c r="V58" i="49"/>
  <c r="Y50" i="49"/>
  <c r="V50" i="49"/>
  <c r="Y34" i="49"/>
  <c r="V34" i="49"/>
  <c r="V81" i="49"/>
  <c r="Y81" i="49"/>
  <c r="V77" i="49"/>
  <c r="Y77" i="49"/>
  <c r="V73" i="49"/>
  <c r="Y73" i="49"/>
  <c r="V69" i="49"/>
  <c r="Y69" i="49"/>
  <c r="V65" i="49"/>
  <c r="Y65" i="49"/>
  <c r="V61" i="49"/>
  <c r="Y61" i="49"/>
  <c r="V57" i="49"/>
  <c r="Y57" i="49"/>
  <c r="V53" i="49"/>
  <c r="Y53" i="49"/>
  <c r="Y49" i="49"/>
  <c r="V49" i="49"/>
  <c r="Y45" i="49"/>
  <c r="V45" i="49"/>
  <c r="Y41" i="49"/>
  <c r="V41" i="49"/>
  <c r="Y37" i="49"/>
  <c r="V37" i="49"/>
  <c r="Y33" i="49"/>
  <c r="V33" i="49"/>
  <c r="Y29" i="49"/>
  <c r="V29" i="49"/>
  <c r="Y25" i="49"/>
  <c r="V25" i="49"/>
  <c r="Y79" i="49"/>
  <c r="V79" i="49"/>
  <c r="Y63" i="49"/>
  <c r="V63" i="49"/>
  <c r="Y51" i="49"/>
  <c r="V51" i="49"/>
  <c r="Y43" i="49"/>
  <c r="V43" i="49"/>
  <c r="Y31" i="49"/>
  <c r="V31" i="49"/>
  <c r="Y23" i="49"/>
  <c r="V23" i="49"/>
  <c r="Y78" i="49"/>
  <c r="V78" i="49"/>
  <c r="Y62" i="49"/>
  <c r="V62" i="49"/>
  <c r="Y80" i="49"/>
  <c r="V80" i="49"/>
  <c r="Y76" i="49"/>
  <c r="V76" i="49"/>
  <c r="Y72" i="49"/>
  <c r="V72" i="49"/>
  <c r="Y68" i="49"/>
  <c r="V68" i="49"/>
  <c r="Y64" i="49"/>
  <c r="V64" i="49"/>
  <c r="Y60" i="49"/>
  <c r="V60" i="49"/>
  <c r="Y56" i="49"/>
  <c r="V56" i="49"/>
  <c r="Y52" i="49"/>
  <c r="V52" i="49"/>
  <c r="Y48" i="49"/>
  <c r="V48" i="49"/>
  <c r="Y44" i="49"/>
  <c r="V44" i="49"/>
  <c r="Y40" i="49"/>
  <c r="V40" i="49"/>
  <c r="Y36" i="49"/>
  <c r="V36" i="49"/>
  <c r="Y32" i="49"/>
  <c r="V32" i="49"/>
  <c r="Y28" i="49"/>
  <c r="V28" i="49"/>
  <c r="Y24" i="49"/>
  <c r="V24" i="49"/>
  <c r="E2" i="55"/>
  <c r="F2" i="55" s="1"/>
  <c r="E3" i="55"/>
  <c r="F3" i="55" s="1"/>
  <c r="E4" i="55"/>
  <c r="F4" i="55" s="1"/>
  <c r="E5" i="55"/>
  <c r="F5" i="55" s="1"/>
  <c r="N5" i="55" s="1"/>
  <c r="E6" i="55"/>
  <c r="F6" i="55" s="1"/>
  <c r="E7" i="55"/>
  <c r="F7" i="55" s="1"/>
  <c r="E8" i="55"/>
  <c r="F8" i="55" s="1"/>
  <c r="E9" i="55"/>
  <c r="F9" i="55" s="1"/>
  <c r="N9" i="55" s="1"/>
  <c r="E10" i="55"/>
  <c r="F10" i="55" s="1"/>
  <c r="E11" i="55"/>
  <c r="F11" i="55" s="1"/>
  <c r="E12" i="55"/>
  <c r="F12" i="55" s="1"/>
  <c r="E13" i="55"/>
  <c r="F13" i="55" s="1"/>
  <c r="N13" i="55" s="1"/>
  <c r="E14" i="55"/>
  <c r="F14" i="55" s="1"/>
  <c r="E15" i="55"/>
  <c r="F15" i="55" s="1"/>
  <c r="E16" i="55"/>
  <c r="F16" i="55" s="1"/>
  <c r="E17" i="55"/>
  <c r="F17" i="55" s="1"/>
  <c r="E18" i="55"/>
  <c r="F18" i="55" s="1"/>
  <c r="E19" i="55"/>
  <c r="F19" i="55" s="1"/>
  <c r="E20" i="55"/>
  <c r="F20" i="55" s="1"/>
  <c r="E21" i="55"/>
  <c r="F21" i="55" s="1"/>
  <c r="E22" i="55"/>
  <c r="F22" i="55" s="1"/>
  <c r="E23" i="55"/>
  <c r="F23" i="55" s="1"/>
  <c r="E24" i="55"/>
  <c r="F24" i="55" s="1"/>
  <c r="N24" i="55" s="1"/>
  <c r="E25" i="55"/>
  <c r="F25" i="55" s="1"/>
  <c r="E26" i="55"/>
  <c r="F26" i="55" s="1"/>
  <c r="E27" i="55"/>
  <c r="F27" i="55" s="1"/>
  <c r="E28" i="55"/>
  <c r="F28" i="55" s="1"/>
  <c r="E29" i="55"/>
  <c r="F29" i="55" s="1"/>
  <c r="E30" i="55"/>
  <c r="F30" i="55" s="1"/>
  <c r="E31" i="55"/>
  <c r="F31" i="55" s="1"/>
  <c r="E32" i="55"/>
  <c r="F32" i="55" s="1"/>
  <c r="E33" i="55"/>
  <c r="F33" i="55" s="1"/>
  <c r="E34" i="55"/>
  <c r="F34" i="55" s="1"/>
  <c r="E35" i="55"/>
  <c r="F35" i="55" s="1"/>
  <c r="E36" i="55"/>
  <c r="F36" i="55" s="1"/>
  <c r="E37" i="55"/>
  <c r="F37" i="55" s="1"/>
  <c r="N37" i="55" s="1"/>
  <c r="E38" i="55"/>
  <c r="F38" i="55" s="1"/>
  <c r="E39" i="55"/>
  <c r="F39" i="55" s="1"/>
  <c r="E40" i="55"/>
  <c r="F40" i="55" s="1"/>
  <c r="E41" i="55"/>
  <c r="F41" i="55" s="1"/>
  <c r="E42" i="55"/>
  <c r="F42" i="55" s="1"/>
  <c r="E43" i="55"/>
  <c r="F43" i="55" s="1"/>
  <c r="E44" i="55"/>
  <c r="F44" i="55" s="1"/>
  <c r="E45" i="55"/>
  <c r="F45" i="55" s="1"/>
  <c r="E46" i="55"/>
  <c r="F46" i="55" s="1"/>
  <c r="E47" i="55"/>
  <c r="F47" i="55" s="1"/>
  <c r="E48" i="55"/>
  <c r="F48" i="55" s="1"/>
  <c r="N48" i="55" s="1"/>
  <c r="E49" i="55"/>
  <c r="F49" i="55" s="1"/>
  <c r="E50" i="55"/>
  <c r="F50" i="55" s="1"/>
  <c r="E51" i="55"/>
  <c r="F51" i="55" s="1"/>
  <c r="E52" i="55"/>
  <c r="F52" i="55" s="1"/>
  <c r="E53" i="55"/>
  <c r="F53" i="55" s="1"/>
  <c r="N53" i="55" s="1"/>
  <c r="E54" i="55"/>
  <c r="F54" i="55" s="1"/>
  <c r="E55" i="55"/>
  <c r="F55" i="55" s="1"/>
  <c r="E56" i="55"/>
  <c r="F56" i="55" s="1"/>
  <c r="E57" i="55"/>
  <c r="F57" i="55" s="1"/>
  <c r="E58" i="55"/>
  <c r="F58" i="55" s="1"/>
  <c r="E59" i="55"/>
  <c r="F59" i="55" s="1"/>
  <c r="E60" i="55"/>
  <c r="F60" i="55" s="1"/>
  <c r="E61" i="55"/>
  <c r="F61" i="55" s="1"/>
  <c r="E62" i="55"/>
  <c r="F62" i="55" s="1"/>
  <c r="E63" i="55"/>
  <c r="F63" i="55" s="1"/>
  <c r="E64" i="55"/>
  <c r="F64" i="55" s="1"/>
  <c r="N64" i="55" s="1"/>
  <c r="E65" i="55"/>
  <c r="F65" i="55" s="1"/>
  <c r="E66" i="55"/>
  <c r="F66" i="55" s="1"/>
  <c r="E67" i="55"/>
  <c r="F67" i="55" s="1"/>
  <c r="E68" i="55"/>
  <c r="F68" i="55" s="1"/>
  <c r="E69" i="55"/>
  <c r="F69" i="55" s="1"/>
  <c r="N69" i="55" s="1"/>
  <c r="E70" i="55"/>
  <c r="F70" i="55" s="1"/>
  <c r="E71" i="55"/>
  <c r="F71" i="55" s="1"/>
  <c r="E72" i="55"/>
  <c r="F72" i="55" s="1"/>
  <c r="N72" i="55" s="1"/>
  <c r="E73" i="55"/>
  <c r="F73" i="55" s="1"/>
  <c r="E74" i="55"/>
  <c r="F74" i="55" s="1"/>
  <c r="E75" i="55"/>
  <c r="F75" i="55" s="1"/>
  <c r="E76" i="55"/>
  <c r="F76" i="55" s="1"/>
  <c r="E77" i="55"/>
  <c r="F77" i="55" s="1"/>
  <c r="N77" i="55" s="1"/>
  <c r="E78" i="55"/>
  <c r="F78" i="55" s="1"/>
  <c r="E79" i="55"/>
  <c r="F79" i="55" s="1"/>
  <c r="E80" i="55"/>
  <c r="F80" i="55" s="1"/>
  <c r="N80" i="55" s="1"/>
  <c r="E81" i="55"/>
  <c r="F81" i="55" s="1"/>
  <c r="N81" i="55" s="1"/>
  <c r="E82" i="55"/>
  <c r="F82" i="55" s="1"/>
  <c r="E83" i="55"/>
  <c r="F83" i="55" s="1"/>
  <c r="E84" i="55"/>
  <c r="F84" i="55" s="1"/>
  <c r="E85" i="55"/>
  <c r="F85" i="55" s="1"/>
  <c r="N85" i="55" s="1"/>
  <c r="E86" i="55"/>
  <c r="F86" i="55" s="1"/>
  <c r="E87" i="55"/>
  <c r="F87" i="55" s="1"/>
  <c r="E88" i="55"/>
  <c r="F88" i="55" s="1"/>
  <c r="N88" i="55" s="1"/>
  <c r="E89" i="55"/>
  <c r="F89" i="55" s="1"/>
  <c r="E90" i="55"/>
  <c r="F90" i="55" s="1"/>
  <c r="E91" i="55"/>
  <c r="F91" i="55" s="1"/>
  <c r="E92" i="55"/>
  <c r="F92" i="55" s="1"/>
  <c r="N92" i="55" s="1"/>
  <c r="E93" i="55"/>
  <c r="F93" i="55" s="1"/>
  <c r="N93" i="55" s="1"/>
  <c r="E94" i="55"/>
  <c r="F94" i="55" s="1"/>
  <c r="E95" i="55"/>
  <c r="F95" i="55" s="1"/>
  <c r="E96" i="55"/>
  <c r="F96" i="55" s="1"/>
  <c r="N96" i="55" s="1"/>
  <c r="E97" i="55"/>
  <c r="F97" i="55" s="1"/>
  <c r="N97" i="55" s="1"/>
  <c r="E98" i="55"/>
  <c r="F98" i="55" s="1"/>
  <c r="E99" i="55"/>
  <c r="F99" i="55" s="1"/>
  <c r="E100" i="55"/>
  <c r="F100" i="55" s="1"/>
  <c r="E101" i="55"/>
  <c r="F101" i="55" s="1"/>
  <c r="N101" i="55" s="1"/>
  <c r="E102" i="55"/>
  <c r="F102" i="55" s="1"/>
  <c r="E103" i="55"/>
  <c r="F103" i="55" s="1"/>
  <c r="E104" i="55"/>
  <c r="F104" i="55" s="1"/>
  <c r="E105" i="55"/>
  <c r="F105" i="55" s="1"/>
  <c r="E106" i="55"/>
  <c r="F106" i="55" s="1"/>
  <c r="E107" i="55"/>
  <c r="F107" i="55" s="1"/>
  <c r="E108" i="55"/>
  <c r="F108" i="55" s="1"/>
  <c r="N108" i="55" s="1"/>
  <c r="E109" i="55"/>
  <c r="F109" i="55" s="1"/>
  <c r="E110" i="55"/>
  <c r="F110" i="55" s="1"/>
  <c r="E111" i="55"/>
  <c r="F111" i="55" s="1"/>
  <c r="E112" i="55"/>
  <c r="F112" i="55" s="1"/>
  <c r="N112" i="55" s="1"/>
  <c r="E113" i="55"/>
  <c r="F113" i="55" s="1"/>
  <c r="N113" i="55" s="1"/>
  <c r="E114" i="55"/>
  <c r="F114" i="55" s="1"/>
  <c r="E115" i="55"/>
  <c r="F115" i="55" s="1"/>
  <c r="E116" i="55"/>
  <c r="F116" i="55" s="1"/>
  <c r="E117" i="55"/>
  <c r="F117" i="55" s="1"/>
  <c r="N117" i="55" s="1"/>
  <c r="E118" i="55"/>
  <c r="F118" i="55" s="1"/>
  <c r="E119" i="55"/>
  <c r="F119" i="55" s="1"/>
  <c r="E120" i="55"/>
  <c r="F120" i="55" s="1"/>
  <c r="E121" i="55"/>
  <c r="F121" i="55" s="1"/>
  <c r="E122" i="55"/>
  <c r="F122" i="55" s="1"/>
  <c r="E123" i="55"/>
  <c r="F123" i="55" s="1"/>
  <c r="E124" i="55"/>
  <c r="F124" i="55" s="1"/>
  <c r="N124" i="55" s="1"/>
  <c r="E125" i="55"/>
  <c r="F125" i="55" s="1"/>
  <c r="E126" i="55"/>
  <c r="F126" i="55" s="1"/>
  <c r="E127" i="55"/>
  <c r="F127" i="55" s="1"/>
  <c r="E128" i="55"/>
  <c r="F128" i="55" s="1"/>
  <c r="N128" i="55" s="1"/>
  <c r="E129" i="55"/>
  <c r="F129" i="55" s="1"/>
  <c r="E130" i="55"/>
  <c r="F130" i="55" s="1"/>
  <c r="E131" i="55"/>
  <c r="F131" i="55" s="1"/>
  <c r="E132" i="55"/>
  <c r="F132" i="55" s="1"/>
  <c r="E133" i="55"/>
  <c r="F133" i="55" s="1"/>
  <c r="N133" i="55" s="1"/>
  <c r="E134" i="55"/>
  <c r="F134" i="55" s="1"/>
  <c r="E135" i="55"/>
  <c r="F135" i="55" s="1"/>
  <c r="E136" i="55"/>
  <c r="F136" i="55" s="1"/>
  <c r="E137" i="55"/>
  <c r="F137" i="55" s="1"/>
  <c r="E138" i="55"/>
  <c r="F138" i="55" s="1"/>
  <c r="E139" i="55"/>
  <c r="F139" i="55" s="1"/>
  <c r="E140" i="55"/>
  <c r="F140" i="55" s="1"/>
  <c r="E141" i="55"/>
  <c r="F141" i="55" s="1"/>
  <c r="E142" i="55"/>
  <c r="F142" i="55" s="1"/>
  <c r="E143" i="55"/>
  <c r="F143" i="55" s="1"/>
  <c r="E144" i="55"/>
  <c r="F144" i="55" s="1"/>
  <c r="N144" i="55" s="1"/>
  <c r="E145" i="55"/>
  <c r="F145" i="55" s="1"/>
  <c r="E146" i="55"/>
  <c r="F146" i="55" s="1"/>
  <c r="E147" i="55"/>
  <c r="F147" i="55" s="1"/>
  <c r="E148" i="55"/>
  <c r="F148" i="55" s="1"/>
  <c r="E149" i="55"/>
  <c r="F149" i="55" s="1"/>
  <c r="N149" i="55" s="1"/>
  <c r="E150" i="55"/>
  <c r="F150" i="55" s="1"/>
  <c r="E151" i="55"/>
  <c r="F151" i="55" s="1"/>
  <c r="E152" i="55"/>
  <c r="F152" i="55" s="1"/>
  <c r="E153" i="55"/>
  <c r="F153" i="55" s="1"/>
  <c r="E154" i="55"/>
  <c r="F154" i="55" s="1"/>
  <c r="E155" i="55"/>
  <c r="F155" i="55" s="1"/>
  <c r="E156" i="55"/>
  <c r="F156" i="55" s="1"/>
  <c r="E157" i="55"/>
  <c r="F157" i="55" s="1"/>
  <c r="E158" i="55"/>
  <c r="F158" i="55" s="1"/>
  <c r="E159" i="55"/>
  <c r="F159" i="55" s="1"/>
  <c r="E160" i="55"/>
  <c r="F160" i="55" s="1"/>
  <c r="N160" i="55" s="1"/>
  <c r="E161" i="55"/>
  <c r="F161" i="55" s="1"/>
  <c r="E162" i="55"/>
  <c r="F162" i="55" s="1"/>
  <c r="E163" i="55"/>
  <c r="F163" i="55" s="1"/>
  <c r="E164" i="55"/>
  <c r="F164" i="55" s="1"/>
  <c r="N164" i="55" s="1"/>
  <c r="E165" i="55"/>
  <c r="F165" i="55" s="1"/>
  <c r="E166" i="55"/>
  <c r="F166" i="55" s="1"/>
  <c r="E167" i="55"/>
  <c r="F167" i="55" s="1"/>
  <c r="E168" i="55"/>
  <c r="F168" i="55" s="1"/>
  <c r="E169" i="55"/>
  <c r="F169" i="55" s="1"/>
  <c r="E170" i="55"/>
  <c r="F170" i="55" s="1"/>
  <c r="E171" i="55"/>
  <c r="F171" i="55" s="1"/>
  <c r="E172" i="55"/>
  <c r="F172" i="55" s="1"/>
  <c r="N172" i="55" s="1"/>
  <c r="E173" i="55"/>
  <c r="F173" i="55" s="1"/>
  <c r="E174" i="55"/>
  <c r="F174" i="55" s="1"/>
  <c r="E175" i="55"/>
  <c r="F175" i="55" s="1"/>
  <c r="E176" i="55"/>
  <c r="F176" i="55" s="1"/>
  <c r="N176" i="55" s="1"/>
  <c r="E177" i="55"/>
  <c r="F177" i="55" s="1"/>
  <c r="E178" i="55"/>
  <c r="F178" i="55" s="1"/>
  <c r="E179" i="55"/>
  <c r="F179" i="55" s="1"/>
  <c r="E180" i="55"/>
  <c r="F180" i="55" s="1"/>
  <c r="E181" i="55"/>
  <c r="F181" i="55" s="1"/>
  <c r="E182" i="55"/>
  <c r="F182" i="55" s="1"/>
  <c r="E183" i="55"/>
  <c r="F183" i="55" s="1"/>
  <c r="E184" i="55"/>
  <c r="F184" i="55" s="1"/>
  <c r="N184" i="55" s="1"/>
  <c r="E185" i="55"/>
  <c r="F185" i="55" s="1"/>
  <c r="E186" i="55"/>
  <c r="F186" i="55" s="1"/>
  <c r="E187" i="55"/>
  <c r="F187" i="55" s="1"/>
  <c r="E188" i="55"/>
  <c r="F188" i="55" s="1"/>
  <c r="N188" i="55" s="1"/>
  <c r="E189" i="55"/>
  <c r="F189" i="55" s="1"/>
  <c r="E190" i="55"/>
  <c r="F190" i="55" s="1"/>
  <c r="E191" i="55"/>
  <c r="F191" i="55" s="1"/>
  <c r="E192" i="55"/>
  <c r="F192" i="55" s="1"/>
  <c r="N192" i="55" s="1"/>
  <c r="E193" i="55"/>
  <c r="F193" i="55" s="1"/>
  <c r="N193" i="55" s="1"/>
  <c r="E194" i="55"/>
  <c r="F194" i="55" s="1"/>
  <c r="E195" i="55"/>
  <c r="F195" i="55" s="1"/>
  <c r="E196" i="55"/>
  <c r="F196" i="55" s="1"/>
  <c r="E197" i="55"/>
  <c r="F197" i="55" s="1"/>
  <c r="E198" i="55"/>
  <c r="F198" i="55" s="1"/>
  <c r="E199" i="55"/>
  <c r="F199" i="55" s="1"/>
  <c r="E200" i="55"/>
  <c r="F200" i="55" s="1"/>
  <c r="E201" i="55"/>
  <c r="F201" i="55" s="1"/>
  <c r="N201" i="55" s="1"/>
  <c r="E202" i="55"/>
  <c r="F202" i="55" s="1"/>
  <c r="E203" i="55"/>
  <c r="F203" i="55" s="1"/>
  <c r="E204" i="55"/>
  <c r="F204" i="55" s="1"/>
  <c r="E205" i="55"/>
  <c r="F205" i="55" s="1"/>
  <c r="N205" i="55" s="1"/>
  <c r="E206" i="55"/>
  <c r="F206" i="55" s="1"/>
  <c r="E207" i="55"/>
  <c r="F207" i="55" s="1"/>
  <c r="E208" i="55"/>
  <c r="F208" i="55" s="1"/>
  <c r="E209" i="55"/>
  <c r="F209" i="55" s="1"/>
  <c r="N209" i="55" s="1"/>
  <c r="E210" i="55"/>
  <c r="F210" i="55" s="1"/>
  <c r="E211" i="55"/>
  <c r="F211" i="55" s="1"/>
  <c r="E212" i="55"/>
  <c r="F212" i="55" s="1"/>
  <c r="E213" i="55"/>
  <c r="F213" i="55" s="1"/>
  <c r="N213" i="55" s="1"/>
  <c r="E214" i="55"/>
  <c r="F214" i="55" s="1"/>
  <c r="E215" i="55"/>
  <c r="F215" i="55" s="1"/>
  <c r="E216" i="55"/>
  <c r="F216" i="55" s="1"/>
  <c r="E217" i="55"/>
  <c r="F217" i="55" s="1"/>
  <c r="N217" i="55" s="1"/>
  <c r="E218" i="55"/>
  <c r="F218" i="55" s="1"/>
  <c r="E219" i="55"/>
  <c r="F219" i="55" s="1"/>
  <c r="E220" i="55"/>
  <c r="F220" i="55" s="1"/>
  <c r="E221" i="55"/>
  <c r="F221" i="55" s="1"/>
  <c r="N221" i="55" s="1"/>
  <c r="E222" i="55"/>
  <c r="F222" i="55" s="1"/>
  <c r="E223" i="55"/>
  <c r="F223" i="55" s="1"/>
  <c r="E224" i="55"/>
  <c r="F224" i="55" s="1"/>
  <c r="E225" i="55"/>
  <c r="F225" i="55" s="1"/>
  <c r="N225" i="55" s="1"/>
  <c r="D5" i="49"/>
  <c r="N22" i="49"/>
  <c r="O23" i="49"/>
  <c r="O24" i="49"/>
  <c r="O25" i="49"/>
  <c r="O26" i="49"/>
  <c r="O27" i="49"/>
  <c r="O28" i="49"/>
  <c r="O29" i="49"/>
  <c r="O30" i="49"/>
  <c r="O31" i="49"/>
  <c r="O32" i="49"/>
  <c r="O33" i="49"/>
  <c r="O34" i="49"/>
  <c r="O35" i="49"/>
  <c r="O36" i="49"/>
  <c r="O37" i="49"/>
  <c r="O38" i="49"/>
  <c r="O39" i="49"/>
  <c r="O40" i="49"/>
  <c r="O41" i="49"/>
  <c r="O42" i="49"/>
  <c r="O43" i="49"/>
  <c r="O44" i="49"/>
  <c r="O45" i="49"/>
  <c r="O46" i="49"/>
  <c r="O47" i="49"/>
  <c r="O48" i="49"/>
  <c r="O49" i="49"/>
  <c r="O50" i="49"/>
  <c r="O51" i="49"/>
  <c r="O52" i="49"/>
  <c r="O53" i="49"/>
  <c r="O54" i="49"/>
  <c r="O55" i="49"/>
  <c r="O56" i="49"/>
  <c r="O57" i="49"/>
  <c r="O58" i="49"/>
  <c r="O59" i="49"/>
  <c r="O60" i="49"/>
  <c r="O61" i="49"/>
  <c r="O62" i="49"/>
  <c r="O63" i="49"/>
  <c r="O64" i="49"/>
  <c r="O65" i="49"/>
  <c r="O66" i="49"/>
  <c r="O67" i="49"/>
  <c r="O68" i="49"/>
  <c r="O69" i="49"/>
  <c r="O70" i="49"/>
  <c r="O71" i="49"/>
  <c r="O72" i="49"/>
  <c r="O73" i="49"/>
  <c r="O74" i="49"/>
  <c r="O75" i="49"/>
  <c r="O76" i="49"/>
  <c r="O77" i="49"/>
  <c r="O78" i="49"/>
  <c r="O79" i="49"/>
  <c r="O80" i="49"/>
  <c r="O81" i="49"/>
  <c r="O22" i="49"/>
  <c r="N23" i="49"/>
  <c r="N24" i="49"/>
  <c r="N25" i="49"/>
  <c r="N26" i="49"/>
  <c r="N27" i="49"/>
  <c r="N28" i="49"/>
  <c r="N29" i="49"/>
  <c r="N30" i="49"/>
  <c r="N31" i="49"/>
  <c r="N32" i="49"/>
  <c r="N33" i="49"/>
  <c r="N34" i="49"/>
  <c r="N35" i="49"/>
  <c r="N36" i="49"/>
  <c r="N37" i="49"/>
  <c r="N38" i="49"/>
  <c r="N39" i="49"/>
  <c r="N40" i="49"/>
  <c r="N41" i="49"/>
  <c r="N42" i="49"/>
  <c r="N43" i="49"/>
  <c r="N44" i="49"/>
  <c r="N45" i="49"/>
  <c r="N46" i="49"/>
  <c r="N47" i="49"/>
  <c r="N48" i="49"/>
  <c r="N49" i="49"/>
  <c r="N50" i="49"/>
  <c r="N51" i="49"/>
  <c r="N52" i="49"/>
  <c r="N53" i="49"/>
  <c r="N54" i="49"/>
  <c r="N55" i="49"/>
  <c r="N56" i="49"/>
  <c r="N57" i="49"/>
  <c r="N58" i="49"/>
  <c r="N59" i="49"/>
  <c r="N60" i="49"/>
  <c r="N61" i="49"/>
  <c r="N62" i="49"/>
  <c r="N63" i="49"/>
  <c r="N64" i="49"/>
  <c r="N65" i="49"/>
  <c r="N66" i="49"/>
  <c r="N67" i="49"/>
  <c r="N68" i="49"/>
  <c r="N69" i="49"/>
  <c r="N70" i="49"/>
  <c r="N71" i="49"/>
  <c r="N72" i="49"/>
  <c r="N73" i="49"/>
  <c r="N74" i="49"/>
  <c r="N75" i="49"/>
  <c r="N76" i="49"/>
  <c r="N77" i="49"/>
  <c r="N78" i="49"/>
  <c r="N79" i="49"/>
  <c r="N80" i="49"/>
  <c r="N81" i="49"/>
  <c r="D11" i="49"/>
  <c r="E11" i="49" s="1"/>
  <c r="F11" i="49" s="1"/>
  <c r="G11" i="49" s="1"/>
  <c r="H11" i="49" s="1"/>
  <c r="I11" i="49" s="1"/>
  <c r="J11" i="49" s="1"/>
  <c r="K11" i="49" s="1"/>
  <c r="L11" i="49" s="1"/>
  <c r="N197" i="55" l="1"/>
  <c r="H197" i="55"/>
  <c r="N169" i="55"/>
  <c r="H169" i="55"/>
  <c r="N181" i="55"/>
  <c r="H181" i="55"/>
  <c r="C4" i="49"/>
  <c r="C5" i="49" s="1"/>
  <c r="N185" i="55"/>
  <c r="H185" i="55"/>
  <c r="N168" i="55"/>
  <c r="H168" i="55"/>
  <c r="H158" i="55"/>
  <c r="N158" i="55"/>
  <c r="N148" i="55"/>
  <c r="H148" i="55"/>
  <c r="H110" i="55"/>
  <c r="N110" i="55"/>
  <c r="H78" i="55"/>
  <c r="N78" i="55"/>
  <c r="N49" i="55"/>
  <c r="H49" i="55"/>
  <c r="H2" i="55"/>
  <c r="N2" i="55"/>
  <c r="N212" i="55"/>
  <c r="H212" i="55"/>
  <c r="N157" i="55"/>
  <c r="H157" i="55"/>
  <c r="N137" i="55"/>
  <c r="H137" i="55"/>
  <c r="N109" i="55"/>
  <c r="H109" i="55"/>
  <c r="H10" i="55"/>
  <c r="N10" i="55"/>
  <c r="N156" i="55"/>
  <c r="H156" i="55"/>
  <c r="H134" i="55"/>
  <c r="N134" i="55"/>
  <c r="N116" i="55"/>
  <c r="H116" i="55"/>
  <c r="H66" i="55"/>
  <c r="N66" i="55"/>
  <c r="N56" i="55"/>
  <c r="H56" i="55"/>
  <c r="H46" i="55"/>
  <c r="N46" i="55"/>
  <c r="N17" i="55"/>
  <c r="H17" i="55"/>
  <c r="N165" i="55"/>
  <c r="H165" i="55"/>
  <c r="H28" i="55"/>
  <c r="N28" i="55"/>
  <c r="N200" i="55"/>
  <c r="H200" i="55"/>
  <c r="N208" i="55"/>
  <c r="H208" i="55"/>
  <c r="N153" i="55"/>
  <c r="H153" i="55"/>
  <c r="H114" i="55"/>
  <c r="N114" i="55"/>
  <c r="H54" i="55"/>
  <c r="N54" i="55"/>
  <c r="N44" i="55"/>
  <c r="H44" i="55"/>
  <c r="N25" i="55"/>
  <c r="H25" i="55"/>
  <c r="H146" i="55"/>
  <c r="N146" i="55"/>
  <c r="N189" i="55"/>
  <c r="H189" i="55"/>
  <c r="N152" i="55"/>
  <c r="H152" i="55"/>
  <c r="H142" i="55"/>
  <c r="N142" i="55"/>
  <c r="N132" i="55"/>
  <c r="H132" i="55"/>
  <c r="N105" i="55"/>
  <c r="H105" i="55"/>
  <c r="N89" i="55"/>
  <c r="H89" i="55"/>
  <c r="N73" i="55"/>
  <c r="H73" i="55"/>
  <c r="H14" i="55"/>
  <c r="N14" i="55"/>
  <c r="H6" i="55"/>
  <c r="N6" i="55"/>
  <c r="N100" i="55"/>
  <c r="H100" i="55"/>
  <c r="N29" i="55"/>
  <c r="H29" i="55"/>
  <c r="N125" i="55"/>
  <c r="H125" i="55"/>
  <c r="N76" i="55"/>
  <c r="H76" i="55"/>
  <c r="H18" i="55"/>
  <c r="N18" i="55"/>
  <c r="H191" i="55"/>
  <c r="N191" i="55"/>
  <c r="H16" i="55"/>
  <c r="N16" i="55"/>
  <c r="N216" i="55"/>
  <c r="H216" i="55"/>
  <c r="N180" i="55"/>
  <c r="H180" i="55"/>
  <c r="N141" i="55"/>
  <c r="H141" i="55"/>
  <c r="H150" i="55"/>
  <c r="N150" i="55"/>
  <c r="N140" i="55"/>
  <c r="H140" i="55"/>
  <c r="H130" i="55"/>
  <c r="N130" i="55"/>
  <c r="N121" i="55"/>
  <c r="H121" i="55"/>
  <c r="H62" i="55"/>
  <c r="N62" i="55"/>
  <c r="N52" i="55"/>
  <c r="H52" i="55"/>
  <c r="N33" i="55"/>
  <c r="H33" i="55"/>
  <c r="N136" i="55"/>
  <c r="H136" i="55"/>
  <c r="N68" i="55"/>
  <c r="H68" i="55"/>
  <c r="N84" i="55"/>
  <c r="H84" i="55"/>
  <c r="N57" i="55"/>
  <c r="H57" i="55"/>
  <c r="N65" i="55"/>
  <c r="H65" i="55"/>
  <c r="N45" i="55"/>
  <c r="H45" i="55"/>
  <c r="N161" i="55"/>
  <c r="H161" i="55"/>
  <c r="N104" i="55"/>
  <c r="H104" i="55"/>
  <c r="H34" i="55"/>
  <c r="N34" i="55"/>
  <c r="N224" i="55"/>
  <c r="H224" i="55"/>
  <c r="N196" i="55"/>
  <c r="H196" i="55"/>
  <c r="N129" i="55"/>
  <c r="H129" i="55"/>
  <c r="N120" i="55"/>
  <c r="H120" i="55"/>
  <c r="N61" i="55"/>
  <c r="H61" i="55"/>
  <c r="N41" i="55"/>
  <c r="H41" i="55"/>
  <c r="N32" i="55"/>
  <c r="H32" i="55"/>
  <c r="H22" i="55"/>
  <c r="N22" i="55"/>
  <c r="H126" i="55"/>
  <c r="N126" i="55"/>
  <c r="N220" i="55"/>
  <c r="H220" i="55"/>
  <c r="N145" i="55"/>
  <c r="H145" i="55"/>
  <c r="N173" i="55"/>
  <c r="H173" i="55"/>
  <c r="H26" i="55"/>
  <c r="N26" i="55"/>
  <c r="N204" i="55"/>
  <c r="H204" i="55"/>
  <c r="N177" i="55"/>
  <c r="H177" i="55"/>
  <c r="H94" i="55"/>
  <c r="N94" i="55"/>
  <c r="H70" i="55"/>
  <c r="N70" i="55"/>
  <c r="N60" i="55"/>
  <c r="H60" i="55"/>
  <c r="H50" i="55"/>
  <c r="N50" i="55"/>
  <c r="N40" i="55"/>
  <c r="H40" i="55"/>
  <c r="N21" i="55"/>
  <c r="H21" i="55"/>
  <c r="H154" i="55"/>
  <c r="N154" i="55"/>
  <c r="H138" i="55"/>
  <c r="N138" i="55"/>
  <c r="H122" i="55"/>
  <c r="N122" i="55"/>
  <c r="H106" i="55"/>
  <c r="N106" i="55"/>
  <c r="H90" i="55"/>
  <c r="N90" i="55"/>
  <c r="H74" i="55"/>
  <c r="N74" i="55"/>
  <c r="H58" i="55"/>
  <c r="N58" i="55"/>
  <c r="H42" i="55"/>
  <c r="N42" i="55"/>
  <c r="H20" i="55"/>
  <c r="N20" i="55"/>
  <c r="H8" i="55"/>
  <c r="N8" i="55"/>
  <c r="H219" i="55"/>
  <c r="N219" i="55"/>
  <c r="H207" i="55"/>
  <c r="N207" i="55"/>
  <c r="H195" i="55"/>
  <c r="N195" i="55"/>
  <c r="H31" i="55"/>
  <c r="N31" i="55"/>
  <c r="H13" i="55"/>
  <c r="H206" i="55"/>
  <c r="N206" i="55"/>
  <c r="H159" i="55"/>
  <c r="N159" i="55"/>
  <c r="H143" i="55"/>
  <c r="N143" i="55"/>
  <c r="H95" i="55"/>
  <c r="N95" i="55"/>
  <c r="H79" i="55"/>
  <c r="N79" i="55"/>
  <c r="H63" i="55"/>
  <c r="N63" i="55"/>
  <c r="H47" i="55"/>
  <c r="N47" i="55"/>
  <c r="H36" i="55"/>
  <c r="N36" i="55"/>
  <c r="H30" i="55"/>
  <c r="N30" i="55"/>
  <c r="H19" i="55"/>
  <c r="N19" i="55"/>
  <c r="H7" i="55"/>
  <c r="N7" i="55"/>
  <c r="H217" i="55"/>
  <c r="H205" i="55"/>
  <c r="H193" i="55"/>
  <c r="H188" i="55"/>
  <c r="H182" i="55"/>
  <c r="N182" i="55"/>
  <c r="H176" i="55"/>
  <c r="H170" i="55"/>
  <c r="N170" i="55"/>
  <c r="H164" i="55"/>
  <c r="H24" i="55"/>
  <c r="H12" i="55"/>
  <c r="N12" i="55"/>
  <c r="H223" i="55"/>
  <c r="N223" i="55"/>
  <c r="H211" i="55"/>
  <c r="N211" i="55"/>
  <c r="H199" i="55"/>
  <c r="N199" i="55"/>
  <c r="H147" i="55"/>
  <c r="N147" i="55"/>
  <c r="H131" i="55"/>
  <c r="N131" i="55"/>
  <c r="H115" i="55"/>
  <c r="N115" i="55"/>
  <c r="H99" i="55"/>
  <c r="N99" i="55"/>
  <c r="H93" i="55"/>
  <c r="H88" i="55"/>
  <c r="H83" i="55"/>
  <c r="N83" i="55"/>
  <c r="H77" i="55"/>
  <c r="H72" i="55"/>
  <c r="H67" i="55"/>
  <c r="N67" i="55"/>
  <c r="H51" i="55"/>
  <c r="N51" i="55"/>
  <c r="H5" i="55"/>
  <c r="H171" i="55"/>
  <c r="N171" i="55"/>
  <c r="H222" i="55"/>
  <c r="N222" i="55"/>
  <c r="H210" i="55"/>
  <c r="N210" i="55"/>
  <c r="H198" i="55"/>
  <c r="N198" i="55"/>
  <c r="H192" i="55"/>
  <c r="H187" i="55"/>
  <c r="N187" i="55"/>
  <c r="H175" i="55"/>
  <c r="N175" i="55"/>
  <c r="H163" i="55"/>
  <c r="N163" i="55"/>
  <c r="H98" i="55"/>
  <c r="N98" i="55"/>
  <c r="H82" i="55"/>
  <c r="N82" i="55"/>
  <c r="H23" i="55"/>
  <c r="N23" i="55"/>
  <c r="H11" i="55"/>
  <c r="N11" i="55"/>
  <c r="H183" i="55"/>
  <c r="N183" i="55"/>
  <c r="H111" i="55"/>
  <c r="N111" i="55"/>
  <c r="H221" i="55"/>
  <c r="H209" i="55"/>
  <c r="H186" i="55"/>
  <c r="N186" i="55"/>
  <c r="H174" i="55"/>
  <c r="N174" i="55"/>
  <c r="H162" i="55"/>
  <c r="N162" i="55"/>
  <c r="H35" i="55"/>
  <c r="N35" i="55"/>
  <c r="H151" i="55"/>
  <c r="N151" i="55"/>
  <c r="H135" i="55"/>
  <c r="N135" i="55"/>
  <c r="H124" i="55"/>
  <c r="H119" i="55"/>
  <c r="N119" i="55"/>
  <c r="H113" i="55"/>
  <c r="H108" i="55"/>
  <c r="H103" i="55"/>
  <c r="N103" i="55"/>
  <c r="H97" i="55"/>
  <c r="H92" i="55"/>
  <c r="H87" i="55"/>
  <c r="N87" i="55"/>
  <c r="H81" i="55"/>
  <c r="H71" i="55"/>
  <c r="N71" i="55"/>
  <c r="H55" i="55"/>
  <c r="N55" i="55"/>
  <c r="H39" i="55"/>
  <c r="N39" i="55"/>
  <c r="H4" i="55"/>
  <c r="N4" i="55"/>
  <c r="H218" i="55"/>
  <c r="N218" i="55"/>
  <c r="H127" i="55"/>
  <c r="N127" i="55"/>
  <c r="H215" i="55"/>
  <c r="N215" i="55"/>
  <c r="H203" i="55"/>
  <c r="N203" i="55"/>
  <c r="H118" i="55"/>
  <c r="N118" i="55"/>
  <c r="H102" i="55"/>
  <c r="N102" i="55"/>
  <c r="H86" i="55"/>
  <c r="N86" i="55"/>
  <c r="H38" i="55"/>
  <c r="N38" i="55"/>
  <c r="H27" i="55"/>
  <c r="N27" i="55"/>
  <c r="H9" i="55"/>
  <c r="H3" i="55"/>
  <c r="N3" i="55"/>
  <c r="H194" i="55"/>
  <c r="N194" i="55"/>
  <c r="H214" i="55"/>
  <c r="N214" i="55"/>
  <c r="H202" i="55"/>
  <c r="N202" i="55"/>
  <c r="H179" i="55"/>
  <c r="N179" i="55"/>
  <c r="H167" i="55"/>
  <c r="N167" i="55"/>
  <c r="H15" i="55"/>
  <c r="N15" i="55"/>
  <c r="H225" i="55"/>
  <c r="H213" i="55"/>
  <c r="H201" i="55"/>
  <c r="H190" i="55"/>
  <c r="N190" i="55"/>
  <c r="H184" i="55"/>
  <c r="H178" i="55"/>
  <c r="N178" i="55"/>
  <c r="H172" i="55"/>
  <c r="H166" i="55"/>
  <c r="N166" i="55"/>
  <c r="H160" i="55"/>
  <c r="H155" i="55"/>
  <c r="N155" i="55"/>
  <c r="H149" i="55"/>
  <c r="H144" i="55"/>
  <c r="H139" i="55"/>
  <c r="N139" i="55"/>
  <c r="H133" i="55"/>
  <c r="H128" i="55"/>
  <c r="H123" i="55"/>
  <c r="N123" i="55"/>
  <c r="H117" i="55"/>
  <c r="H112" i="55"/>
  <c r="H107" i="55"/>
  <c r="N107" i="55"/>
  <c r="H101" i="55"/>
  <c r="H96" i="55"/>
  <c r="H91" i="55"/>
  <c r="N91" i="55"/>
  <c r="H85" i="55"/>
  <c r="H80" i="55"/>
  <c r="H75" i="55"/>
  <c r="N75" i="55"/>
  <c r="H69" i="55"/>
  <c r="H64" i="55"/>
  <c r="H59" i="55"/>
  <c r="N59" i="55"/>
  <c r="H53" i="55"/>
  <c r="H48" i="55"/>
  <c r="H43" i="55"/>
  <c r="N43" i="55"/>
  <c r="H37" i="55"/>
  <c r="J5" i="49"/>
  <c r="J7" i="49" s="1"/>
  <c r="C13" i="49" s="1"/>
  <c r="N83" i="49"/>
  <c r="D5" i="48"/>
  <c r="J5" i="48"/>
  <c r="K5" i="48" s="1"/>
  <c r="L5" i="48" s="1"/>
  <c r="M5" i="48" s="1"/>
  <c r="N5" i="48" s="1"/>
  <c r="O5" i="48" s="1"/>
  <c r="P5" i="48" s="1"/>
  <c r="Q5" i="48" s="1"/>
  <c r="R5" i="48" s="1"/>
  <c r="M53" i="4"/>
  <c r="M51" i="4"/>
  <c r="M49" i="4"/>
  <c r="M50" i="4"/>
  <c r="M48" i="4"/>
  <c r="M46" i="4"/>
  <c r="M43" i="4"/>
  <c r="M44" i="4"/>
  <c r="M42" i="4"/>
  <c r="M40" i="4"/>
  <c r="E27" i="4"/>
  <c r="F27" i="4"/>
  <c r="G27" i="4"/>
  <c r="D27" i="4"/>
  <c r="E26" i="4"/>
  <c r="F26" i="4"/>
  <c r="G26" i="4"/>
  <c r="D26" i="4"/>
  <c r="M38" i="4"/>
  <c r="M29" i="4"/>
  <c r="M34" i="4"/>
  <c r="M35" i="4"/>
  <c r="M36" i="4"/>
  <c r="M37" i="4"/>
  <c r="M28" i="4"/>
  <c r="M19" i="4"/>
  <c r="M20" i="4"/>
  <c r="M21" i="4"/>
  <c r="M22" i="4"/>
  <c r="M23" i="4"/>
  <c r="M18" i="4"/>
  <c r="M10" i="4"/>
  <c r="M8" i="4"/>
  <c r="M6" i="4"/>
  <c r="M5" i="4"/>
  <c r="I141" i="28"/>
  <c r="J141" i="28"/>
  <c r="K141" i="28"/>
  <c r="L141" i="28"/>
  <c r="M141" i="28"/>
  <c r="N141" i="28"/>
  <c r="O141" i="28"/>
  <c r="P141" i="28"/>
  <c r="Q141" i="28"/>
  <c r="I142" i="28"/>
  <c r="J142" i="28"/>
  <c r="K142" i="28"/>
  <c r="L142" i="28"/>
  <c r="M142" i="28"/>
  <c r="N142" i="28"/>
  <c r="O142" i="28"/>
  <c r="P142" i="28"/>
  <c r="Q142" i="28"/>
  <c r="H141" i="28"/>
  <c r="H142" i="28"/>
  <c r="F29" i="2"/>
  <c r="F24" i="28" s="1"/>
  <c r="F28" i="2"/>
  <c r="F23" i="28" s="1"/>
  <c r="G29" i="2"/>
  <c r="G24" i="28" s="1"/>
  <c r="G28" i="2"/>
  <c r="G23" i="28" s="1"/>
  <c r="H132" i="32"/>
  <c r="I132" i="32"/>
  <c r="J132" i="32"/>
  <c r="K132" i="32"/>
  <c r="L132" i="32"/>
  <c r="M132" i="32"/>
  <c r="N132" i="32"/>
  <c r="O132" i="32"/>
  <c r="P132" i="32"/>
  <c r="Q132" i="32"/>
  <c r="H134" i="32"/>
  <c r="I134" i="32"/>
  <c r="J134" i="32"/>
  <c r="K134" i="32"/>
  <c r="L134" i="32"/>
  <c r="M134" i="32"/>
  <c r="N134" i="32"/>
  <c r="O134" i="32"/>
  <c r="P134" i="32"/>
  <c r="Q134" i="32"/>
  <c r="H124" i="32"/>
  <c r="I124" i="32"/>
  <c r="J124" i="32"/>
  <c r="K124" i="32"/>
  <c r="L124" i="32"/>
  <c r="M124" i="32"/>
  <c r="N124" i="32"/>
  <c r="O124" i="32"/>
  <c r="P124" i="32"/>
  <c r="Q124" i="32"/>
  <c r="D129" i="32"/>
  <c r="E129" i="32"/>
  <c r="F129" i="32"/>
  <c r="G129" i="32"/>
  <c r="D130" i="32"/>
  <c r="E130" i="32"/>
  <c r="F130" i="32"/>
  <c r="G130" i="32"/>
  <c r="D131" i="32"/>
  <c r="E131" i="32"/>
  <c r="F131" i="32"/>
  <c r="G131" i="32"/>
  <c r="H46" i="59" s="1"/>
  <c r="D132" i="32"/>
  <c r="E132" i="32"/>
  <c r="F132" i="32"/>
  <c r="G132" i="32"/>
  <c r="D133" i="32"/>
  <c r="E133" i="32"/>
  <c r="F133" i="32"/>
  <c r="G133" i="32"/>
  <c r="H47" i="59" s="1"/>
  <c r="E109" i="59" s="1"/>
  <c r="D134" i="32"/>
  <c r="E134" i="32"/>
  <c r="F134" i="32"/>
  <c r="G134" i="32"/>
  <c r="C130" i="32"/>
  <c r="C131" i="32"/>
  <c r="C132" i="32"/>
  <c r="C133" i="32"/>
  <c r="C134" i="32"/>
  <c r="C129" i="32"/>
  <c r="D122" i="32"/>
  <c r="E122" i="32"/>
  <c r="F122" i="32"/>
  <c r="G122" i="32"/>
  <c r="D123" i="32"/>
  <c r="E123" i="32"/>
  <c r="F123" i="32"/>
  <c r="G123" i="32"/>
  <c r="H38" i="59" s="1"/>
  <c r="E100" i="59" s="1"/>
  <c r="D124" i="32"/>
  <c r="E124" i="32"/>
  <c r="F124" i="32"/>
  <c r="G124" i="32"/>
  <c r="D125" i="32"/>
  <c r="E125" i="32"/>
  <c r="F125" i="32"/>
  <c r="G125" i="32"/>
  <c r="D126" i="32"/>
  <c r="E126" i="32"/>
  <c r="F126" i="32"/>
  <c r="G126" i="32"/>
  <c r="H39" i="59" s="1"/>
  <c r="E101" i="59" s="1"/>
  <c r="C123" i="32"/>
  <c r="C124" i="32"/>
  <c r="C125" i="32"/>
  <c r="C126" i="32"/>
  <c r="C122" i="32"/>
  <c r="I120" i="32"/>
  <c r="C119" i="32"/>
  <c r="D63" i="32"/>
  <c r="E63" i="32" s="1"/>
  <c r="F63" i="32" s="1"/>
  <c r="G63" i="32" s="1"/>
  <c r="H63" i="32" s="1"/>
  <c r="I63" i="32" s="1"/>
  <c r="J63" i="32" s="1"/>
  <c r="K63" i="32" s="1"/>
  <c r="L63" i="32" s="1"/>
  <c r="M63" i="32" s="1"/>
  <c r="N63" i="32" s="1"/>
  <c r="O63" i="32" s="1"/>
  <c r="P63" i="32" s="1"/>
  <c r="Q63" i="32" s="1"/>
  <c r="Q119" i="32" s="1"/>
  <c r="D109" i="32"/>
  <c r="E109" i="32"/>
  <c r="F109" i="32"/>
  <c r="G109" i="32"/>
  <c r="D110" i="32"/>
  <c r="E110" i="32"/>
  <c r="F110" i="32"/>
  <c r="G110" i="32"/>
  <c r="D102" i="32"/>
  <c r="E102" i="32"/>
  <c r="F102" i="32"/>
  <c r="G102" i="32"/>
  <c r="D103" i="32"/>
  <c r="E103" i="32"/>
  <c r="F103" i="32"/>
  <c r="G103" i="32"/>
  <c r="D104" i="32"/>
  <c r="E104" i="32"/>
  <c r="F104" i="32"/>
  <c r="G104" i="32"/>
  <c r="D105" i="32"/>
  <c r="E105" i="32"/>
  <c r="F105" i="32"/>
  <c r="G105" i="32"/>
  <c r="D91" i="32"/>
  <c r="E91" i="32"/>
  <c r="F91" i="32"/>
  <c r="G91" i="32"/>
  <c r="D92" i="32"/>
  <c r="E92" i="32"/>
  <c r="F92" i="32"/>
  <c r="G92" i="32"/>
  <c r="D93" i="32"/>
  <c r="E93" i="32"/>
  <c r="F93" i="32"/>
  <c r="G93" i="32"/>
  <c r="D94" i="32"/>
  <c r="E94" i="32"/>
  <c r="F94" i="32"/>
  <c r="G94" i="32"/>
  <c r="D95" i="32"/>
  <c r="E95" i="32"/>
  <c r="F95" i="32"/>
  <c r="G95" i="32"/>
  <c r="D96" i="32"/>
  <c r="E96" i="32"/>
  <c r="F96" i="32"/>
  <c r="G96" i="32"/>
  <c r="D86" i="32"/>
  <c r="E86" i="32"/>
  <c r="F86" i="32"/>
  <c r="G86" i="32"/>
  <c r="D87" i="32"/>
  <c r="E87" i="32"/>
  <c r="F87" i="32"/>
  <c r="G87" i="32"/>
  <c r="D80" i="32"/>
  <c r="E80" i="32"/>
  <c r="F80" i="32"/>
  <c r="G80" i="32"/>
  <c r="D81" i="32"/>
  <c r="E81" i="32"/>
  <c r="F81" i="32"/>
  <c r="G81" i="32"/>
  <c r="D82" i="32"/>
  <c r="E82" i="32"/>
  <c r="F82" i="32"/>
  <c r="G82" i="32"/>
  <c r="D83" i="32"/>
  <c r="E83" i="32"/>
  <c r="F83" i="32"/>
  <c r="G83" i="32"/>
  <c r="D72" i="32"/>
  <c r="E72" i="32"/>
  <c r="F72" i="32"/>
  <c r="G72" i="32"/>
  <c r="D73" i="32"/>
  <c r="E73" i="32"/>
  <c r="F73" i="32"/>
  <c r="G73" i="32"/>
  <c r="D74" i="32"/>
  <c r="E74" i="32"/>
  <c r="F74" i="32"/>
  <c r="G74" i="32"/>
  <c r="D75" i="32"/>
  <c r="E75" i="32"/>
  <c r="F75" i="32"/>
  <c r="G75" i="32"/>
  <c r="D66" i="32"/>
  <c r="E66" i="32"/>
  <c r="F66" i="32"/>
  <c r="G66" i="32"/>
  <c r="D67" i="32"/>
  <c r="E67" i="32"/>
  <c r="F67" i="32"/>
  <c r="G67" i="32"/>
  <c r="D68" i="32"/>
  <c r="E68" i="32"/>
  <c r="F68" i="32"/>
  <c r="G68" i="32"/>
  <c r="D69" i="32"/>
  <c r="E69" i="32"/>
  <c r="F69" i="32"/>
  <c r="G69" i="32"/>
  <c r="C110" i="32"/>
  <c r="C109" i="32"/>
  <c r="C105" i="32"/>
  <c r="C104" i="32"/>
  <c r="C103" i="32"/>
  <c r="C102" i="32"/>
  <c r="C96" i="32"/>
  <c r="C95" i="32"/>
  <c r="C94" i="32"/>
  <c r="C93" i="32"/>
  <c r="C92" i="32"/>
  <c r="C91" i="32"/>
  <c r="C87" i="32"/>
  <c r="C86" i="32"/>
  <c r="C83" i="32"/>
  <c r="C82" i="32"/>
  <c r="C81" i="32"/>
  <c r="C80" i="32"/>
  <c r="C75" i="32"/>
  <c r="C74" i="32"/>
  <c r="C73" i="32"/>
  <c r="C72" i="32"/>
  <c r="C69" i="32"/>
  <c r="C68" i="32"/>
  <c r="C67" i="32"/>
  <c r="C66" i="32"/>
  <c r="J64" i="32"/>
  <c r="K64" i="32" s="1"/>
  <c r="E98" i="28"/>
  <c r="F98" i="28"/>
  <c r="G98" i="28"/>
  <c r="D98" i="28"/>
  <c r="H91" i="28"/>
  <c r="I91" i="28"/>
  <c r="J91" i="28"/>
  <c r="K91" i="28"/>
  <c r="L91" i="28"/>
  <c r="M91" i="28"/>
  <c r="N91" i="28"/>
  <c r="O91" i="28"/>
  <c r="P91" i="28"/>
  <c r="Q91" i="28"/>
  <c r="A1" i="28"/>
  <c r="C30" i="28"/>
  <c r="A28" i="28"/>
  <c r="C179" i="2"/>
  <c r="D118" i="2"/>
  <c r="E118" i="2"/>
  <c r="F118" i="2"/>
  <c r="G118" i="2"/>
  <c r="C118" i="2"/>
  <c r="C117" i="2"/>
  <c r="D37" i="2"/>
  <c r="E37" i="2" s="1"/>
  <c r="F37" i="2" s="1"/>
  <c r="G37" i="2" s="1"/>
  <c r="G30" i="28" s="1"/>
  <c r="D38" i="2"/>
  <c r="D180" i="2" s="1"/>
  <c r="E38" i="2"/>
  <c r="E31" i="28" s="1"/>
  <c r="F38" i="2"/>
  <c r="F31" i="28" s="1"/>
  <c r="G38" i="2"/>
  <c r="G31" i="28" s="1"/>
  <c r="C38" i="2"/>
  <c r="C180" i="2" s="1"/>
  <c r="D59" i="2"/>
  <c r="E59" i="2"/>
  <c r="F59" i="2"/>
  <c r="G59" i="2"/>
  <c r="C59" i="2"/>
  <c r="C58" i="2"/>
  <c r="C64" i="32" s="1"/>
  <c r="C120" i="32" s="1"/>
  <c r="D2" i="2"/>
  <c r="D117" i="2" s="1"/>
  <c r="G148" i="59" l="1"/>
  <c r="G166" i="59" s="1"/>
  <c r="F189" i="59" s="1"/>
  <c r="M177" i="59" s="1"/>
  <c r="M189" i="59" s="1"/>
  <c r="H32" i="48"/>
  <c r="F32" i="48"/>
  <c r="E32" i="48"/>
  <c r="E108" i="59"/>
  <c r="G32" i="48"/>
  <c r="N227" i="55"/>
  <c r="H227" i="55"/>
  <c r="Y83" i="49"/>
  <c r="AD38" i="49" s="1"/>
  <c r="M13" i="49"/>
  <c r="D13" i="49"/>
  <c r="E13" i="49" s="1"/>
  <c r="F13" i="49" s="1"/>
  <c r="G13" i="49" s="1"/>
  <c r="H13" i="49" s="1"/>
  <c r="I13" i="49" s="1"/>
  <c r="J13" i="49" s="1"/>
  <c r="K13" i="49" s="1"/>
  <c r="L13" i="49" s="1"/>
  <c r="V83" i="49"/>
  <c r="D31" i="28"/>
  <c r="E180" i="2"/>
  <c r="F30" i="28"/>
  <c r="E30" i="28"/>
  <c r="E179" i="2"/>
  <c r="D30" i="28"/>
  <c r="D179" i="2"/>
  <c r="F179" i="2"/>
  <c r="C31" i="28"/>
  <c r="F180" i="2"/>
  <c r="L64" i="32"/>
  <c r="L120" i="32" s="1"/>
  <c r="K120" i="32"/>
  <c r="J120" i="32"/>
  <c r="H119" i="32"/>
  <c r="P119" i="32"/>
  <c r="O119" i="32"/>
  <c r="N119" i="32"/>
  <c r="G119" i="32"/>
  <c r="M119" i="32"/>
  <c r="F119" i="32"/>
  <c r="L119" i="32"/>
  <c r="E119" i="32"/>
  <c r="K119" i="32"/>
  <c r="D119" i="32"/>
  <c r="J119" i="32"/>
  <c r="I119" i="32"/>
  <c r="D58" i="2"/>
  <c r="D64" i="32" s="1"/>
  <c r="D120" i="32" s="1"/>
  <c r="E2" i="2"/>
  <c r="E117" i="2" s="1"/>
  <c r="G189" i="59" l="1"/>
  <c r="N177" i="59" s="1"/>
  <c r="N189" i="59" s="1"/>
  <c r="H186" i="59"/>
  <c r="O174" i="59" s="1"/>
  <c r="O186" i="59" s="1"/>
  <c r="E190" i="59"/>
  <c r="L178" i="59" s="1"/>
  <c r="L190" i="59" s="1"/>
  <c r="G187" i="59"/>
  <c r="N175" i="59" s="1"/>
  <c r="N187" i="59" s="1"/>
  <c r="H187" i="59"/>
  <c r="O175" i="59" s="1"/>
  <c r="O187" i="59" s="1"/>
  <c r="F188" i="59"/>
  <c r="M176" i="59" s="1"/>
  <c r="M188" i="59" s="1"/>
  <c r="D188" i="59"/>
  <c r="K176" i="59" s="1"/>
  <c r="K188" i="59" s="1"/>
  <c r="H189" i="59"/>
  <c r="O177" i="59" s="1"/>
  <c r="O189" i="59" s="1"/>
  <c r="G190" i="59"/>
  <c r="N178" i="59" s="1"/>
  <c r="N190" i="59" s="1"/>
  <c r="D190" i="59"/>
  <c r="K178" i="59" s="1"/>
  <c r="K190" i="59" s="1"/>
  <c r="E186" i="59"/>
  <c r="L174" i="59" s="1"/>
  <c r="L186" i="59" s="1"/>
  <c r="G188" i="59"/>
  <c r="N176" i="59" s="1"/>
  <c r="N188" i="59" s="1"/>
  <c r="F186" i="59"/>
  <c r="M174" i="59" s="1"/>
  <c r="M186" i="59" s="1"/>
  <c r="D187" i="59"/>
  <c r="K175" i="59" s="1"/>
  <c r="K187" i="59" s="1"/>
  <c r="H190" i="59"/>
  <c r="O178" i="59" s="1"/>
  <c r="O190" i="59" s="1"/>
  <c r="E188" i="59"/>
  <c r="L176" i="59" s="1"/>
  <c r="L188" i="59" s="1"/>
  <c r="E189" i="59"/>
  <c r="L177" i="59" s="1"/>
  <c r="L189" i="59" s="1"/>
  <c r="F190" i="59"/>
  <c r="M178" i="59" s="1"/>
  <c r="M190" i="59" s="1"/>
  <c r="G186" i="59"/>
  <c r="N174" i="59" s="1"/>
  <c r="N186" i="59" s="1"/>
  <c r="H188" i="59"/>
  <c r="O176" i="59" s="1"/>
  <c r="O188" i="59" s="1"/>
  <c r="E187" i="59"/>
  <c r="L175" i="59" s="1"/>
  <c r="L187" i="59" s="1"/>
  <c r="F187" i="59"/>
  <c r="M175" i="59" s="1"/>
  <c r="M187" i="59" s="1"/>
  <c r="D186" i="59"/>
  <c r="K174" i="59" s="1"/>
  <c r="K186" i="59" s="1"/>
  <c r="D189" i="59"/>
  <c r="K177" i="59" s="1"/>
  <c r="K189" i="59" s="1"/>
  <c r="AE41" i="49"/>
  <c r="C6" i="49" s="1"/>
  <c r="D6" i="49" s="1"/>
  <c r="D7" i="49" s="1"/>
  <c r="M12" i="49" s="1"/>
  <c r="M14" i="49" s="1"/>
  <c r="M64" i="32"/>
  <c r="N64" i="32" s="1"/>
  <c r="F2" i="2"/>
  <c r="F117" i="2" s="1"/>
  <c r="E58" i="2"/>
  <c r="E64" i="32" s="1"/>
  <c r="E120" i="32" s="1"/>
  <c r="C7" i="49" l="1"/>
  <c r="C12" i="49" s="1"/>
  <c r="D12" i="49" s="1"/>
  <c r="M120" i="32"/>
  <c r="O64" i="32"/>
  <c r="N120" i="32"/>
  <c r="G2" i="2"/>
  <c r="G117" i="2" s="1"/>
  <c r="F58" i="2"/>
  <c r="F64" i="32" s="1"/>
  <c r="F120" i="32" s="1"/>
  <c r="D14" i="49" l="1"/>
  <c r="E12" i="49"/>
  <c r="E14" i="49" s="1"/>
  <c r="C14" i="49"/>
  <c r="P64" i="32"/>
  <c r="O120" i="32"/>
  <c r="G58" i="2"/>
  <c r="G64" i="32" s="1"/>
  <c r="G134" i="59" l="1"/>
  <c r="G164" i="59"/>
  <c r="Y62" i="59"/>
  <c r="L66" i="59"/>
  <c r="Z62" i="59"/>
  <c r="C66" i="59"/>
  <c r="Q62" i="59"/>
  <c r="H66" i="59"/>
  <c r="J66" i="59"/>
  <c r="E94" i="59"/>
  <c r="T62" i="59"/>
  <c r="W62" i="59"/>
  <c r="M66" i="59"/>
  <c r="D66" i="59"/>
  <c r="E66" i="59"/>
  <c r="F66" i="59"/>
  <c r="G66" i="59"/>
  <c r="V62" i="59"/>
  <c r="X62" i="59"/>
  <c r="R62" i="59"/>
  <c r="S62" i="59"/>
  <c r="U62" i="59"/>
  <c r="I66" i="59"/>
  <c r="K66" i="59"/>
  <c r="D79" i="59"/>
  <c r="D80" i="59"/>
  <c r="D81" i="59"/>
  <c r="D82" i="59"/>
  <c r="D83" i="59"/>
  <c r="D84" i="59"/>
  <c r="D85" i="59"/>
  <c r="D86" i="59"/>
  <c r="D87" i="59"/>
  <c r="D88" i="59"/>
  <c r="H33" i="59"/>
  <c r="D89" i="59"/>
  <c r="F29" i="59"/>
  <c r="F12" i="49"/>
  <c r="G12" i="49" s="1"/>
  <c r="F22" i="59"/>
  <c r="F23" i="59"/>
  <c r="F24" i="59"/>
  <c r="F25" i="59"/>
  <c r="F26" i="59"/>
  <c r="F27" i="59"/>
  <c r="F28" i="59"/>
  <c r="F19" i="59"/>
  <c r="F20" i="59"/>
  <c r="F21" i="59"/>
  <c r="H64" i="32"/>
  <c r="H120" i="32" s="1"/>
  <c r="G120" i="32"/>
  <c r="Q64" i="32"/>
  <c r="Q120" i="32" s="1"/>
  <c r="P120" i="32"/>
  <c r="F14" i="49" l="1"/>
  <c r="H12" i="49"/>
  <c r="G14" i="49"/>
  <c r="I233" i="32"/>
  <c r="J233" i="32" s="1"/>
  <c r="K233" i="32" s="1"/>
  <c r="L233" i="32" s="1"/>
  <c r="M233" i="32" s="1"/>
  <c r="N233" i="32" s="1"/>
  <c r="O233" i="32" s="1"/>
  <c r="P233" i="32" s="1"/>
  <c r="Q233" i="32" s="1"/>
  <c r="I231" i="32"/>
  <c r="J231" i="32" s="1"/>
  <c r="K231" i="32" s="1"/>
  <c r="L231" i="32" s="1"/>
  <c r="I220" i="32"/>
  <c r="J220" i="32" s="1"/>
  <c r="K220" i="32" s="1"/>
  <c r="L220" i="32" s="1"/>
  <c r="M220" i="32" s="1"/>
  <c r="N220" i="32" s="1"/>
  <c r="O220" i="32" s="1"/>
  <c r="P220" i="32" s="1"/>
  <c r="Q220" i="32" s="1"/>
  <c r="I223" i="32"/>
  <c r="J223" i="32" s="1"/>
  <c r="K223" i="32" s="1"/>
  <c r="L223" i="32" s="1"/>
  <c r="M223" i="32" s="1"/>
  <c r="N223" i="32" s="1"/>
  <c r="O223" i="32" s="1"/>
  <c r="P223" i="32" s="1"/>
  <c r="Q223" i="32" s="1"/>
  <c r="I224" i="32"/>
  <c r="J224" i="32" s="1"/>
  <c r="K224" i="32" s="1"/>
  <c r="L224" i="32" s="1"/>
  <c r="M224" i="32" s="1"/>
  <c r="N224" i="32" s="1"/>
  <c r="O224" i="32" s="1"/>
  <c r="P224" i="32" s="1"/>
  <c r="Q224" i="32" s="1"/>
  <c r="I225" i="32"/>
  <c r="J225" i="32" s="1"/>
  <c r="K225" i="32" s="1"/>
  <c r="L225" i="32" s="1"/>
  <c r="M225" i="32" s="1"/>
  <c r="N225" i="32" s="1"/>
  <c r="O225" i="32" s="1"/>
  <c r="P225" i="32" s="1"/>
  <c r="Q225" i="32" s="1"/>
  <c r="I222" i="32"/>
  <c r="J222" i="32" s="1"/>
  <c r="K222" i="32" s="1"/>
  <c r="L222" i="32" s="1"/>
  <c r="M222" i="32" s="1"/>
  <c r="N222" i="32" s="1"/>
  <c r="O222" i="32" s="1"/>
  <c r="P222" i="32" s="1"/>
  <c r="Q222" i="32" s="1"/>
  <c r="H221" i="32"/>
  <c r="I221" i="32" s="1"/>
  <c r="J221" i="32" s="1"/>
  <c r="K221" i="32" s="1"/>
  <c r="L221" i="32" s="1"/>
  <c r="M221" i="32" s="1"/>
  <c r="N221" i="32" s="1"/>
  <c r="O221" i="32" s="1"/>
  <c r="P221" i="32" s="1"/>
  <c r="Q221" i="32" s="1"/>
  <c r="D246" i="32"/>
  <c r="E246" i="32"/>
  <c r="F246" i="32"/>
  <c r="G246" i="32"/>
  <c r="D247" i="32"/>
  <c r="E247" i="32"/>
  <c r="F247" i="32"/>
  <c r="G247" i="32"/>
  <c r="D248" i="32"/>
  <c r="E248" i="32"/>
  <c r="F248" i="32"/>
  <c r="G248" i="32"/>
  <c r="D249" i="32"/>
  <c r="E249" i="32"/>
  <c r="F249" i="32"/>
  <c r="G249" i="32"/>
  <c r="D250" i="32"/>
  <c r="E250" i="32"/>
  <c r="F250" i="32"/>
  <c r="G250" i="32"/>
  <c r="D251" i="32"/>
  <c r="E251" i="32"/>
  <c r="F251" i="32"/>
  <c r="G251" i="32"/>
  <c r="D253" i="32"/>
  <c r="E253" i="32"/>
  <c r="F253" i="32"/>
  <c r="G253" i="32"/>
  <c r="J22" i="48"/>
  <c r="K22" i="48"/>
  <c r="L22" i="48"/>
  <c r="M22" i="48"/>
  <c r="N22" i="48"/>
  <c r="O22" i="48"/>
  <c r="P22" i="48"/>
  <c r="Q22" i="48"/>
  <c r="R22" i="48"/>
  <c r="I22" i="48"/>
  <c r="E22" i="48"/>
  <c r="F22" i="48"/>
  <c r="G22" i="48"/>
  <c r="H22" i="48"/>
  <c r="D22" i="48"/>
  <c r="H38" i="32"/>
  <c r="H278" i="32" s="1"/>
  <c r="H37" i="32"/>
  <c r="H277" i="32" s="1"/>
  <c r="H27" i="32"/>
  <c r="H26" i="32"/>
  <c r="J15" i="48"/>
  <c r="K15" i="48" s="1"/>
  <c r="L15" i="48" s="1"/>
  <c r="M15" i="48" s="1"/>
  <c r="E15" i="48"/>
  <c r="E16" i="48" s="1"/>
  <c r="F15" i="48"/>
  <c r="F16" i="48" s="1"/>
  <c r="G15" i="48"/>
  <c r="G16" i="48" s="1"/>
  <c r="H15" i="48"/>
  <c r="H16" i="48" s="1"/>
  <c r="D15" i="48"/>
  <c r="D16" i="48" s="1"/>
  <c r="J32" i="48"/>
  <c r="K32" i="48" s="1"/>
  <c r="L32" i="48" s="1"/>
  <c r="M32" i="48" s="1"/>
  <c r="N32" i="48" s="1"/>
  <c r="O32" i="48" s="1"/>
  <c r="P32" i="48" s="1"/>
  <c r="Q32" i="48" s="1"/>
  <c r="R32" i="48" s="1"/>
  <c r="I168" i="32"/>
  <c r="J168" i="32" s="1"/>
  <c r="K168" i="32" s="1"/>
  <c r="L168" i="32" s="1"/>
  <c r="M168" i="32" s="1"/>
  <c r="N168" i="32" s="1"/>
  <c r="O168" i="32" s="1"/>
  <c r="P168" i="32" s="1"/>
  <c r="Q168" i="32" s="1"/>
  <c r="H10" i="32"/>
  <c r="H250" i="32" s="1"/>
  <c r="I12" i="49" l="1"/>
  <c r="H14" i="49"/>
  <c r="N43" i="4"/>
  <c r="H267" i="32"/>
  <c r="N44" i="4"/>
  <c r="H131" i="32"/>
  <c r="H266" i="32"/>
  <c r="I26" i="32"/>
  <c r="J26" i="32" s="1"/>
  <c r="H104" i="32"/>
  <c r="I10" i="32"/>
  <c r="I250" i="32" s="1"/>
  <c r="H91" i="32"/>
  <c r="I27" i="32"/>
  <c r="H105" i="32"/>
  <c r="I37" i="32"/>
  <c r="H102" i="32"/>
  <c r="I38" i="32"/>
  <c r="H103" i="32"/>
  <c r="N15" i="48"/>
  <c r="M231" i="32"/>
  <c r="N231" i="32" s="1"/>
  <c r="O231" i="32" s="1"/>
  <c r="P231" i="32" s="1"/>
  <c r="Q231" i="32" s="1"/>
  <c r="I18" i="48"/>
  <c r="J12" i="49" l="1"/>
  <c r="I14" i="49"/>
  <c r="O44" i="4"/>
  <c r="J266" i="32"/>
  <c r="I266" i="32"/>
  <c r="O43" i="4"/>
  <c r="I102" i="32"/>
  <c r="I277" i="32"/>
  <c r="I105" i="32"/>
  <c r="I267" i="32"/>
  <c r="I103" i="32"/>
  <c r="I278" i="32"/>
  <c r="J37" i="32"/>
  <c r="P43" i="4" s="1"/>
  <c r="J38" i="32"/>
  <c r="J278" i="32" s="1"/>
  <c r="J104" i="32"/>
  <c r="J27" i="32"/>
  <c r="I104" i="32"/>
  <c r="I131" i="32"/>
  <c r="H106" i="32"/>
  <c r="J10" i="32"/>
  <c r="J250" i="32" s="1"/>
  <c r="I91" i="32"/>
  <c r="J18" i="48"/>
  <c r="O15" i="48"/>
  <c r="K26" i="32"/>
  <c r="K12" i="49" l="1"/>
  <c r="J14" i="49"/>
  <c r="J131" i="32"/>
  <c r="P44" i="4"/>
  <c r="K266" i="32"/>
  <c r="I106" i="32"/>
  <c r="K18" i="48"/>
  <c r="K27" i="32"/>
  <c r="J267" i="32"/>
  <c r="J103" i="32"/>
  <c r="J102" i="32"/>
  <c r="J277" i="32"/>
  <c r="K38" i="32"/>
  <c r="K278" i="32" s="1"/>
  <c r="K37" i="32"/>
  <c r="Q43" i="4" s="1"/>
  <c r="K104" i="32"/>
  <c r="J105" i="32"/>
  <c r="K10" i="32"/>
  <c r="K250" i="32" s="1"/>
  <c r="J91" i="32"/>
  <c r="P15" i="48"/>
  <c r="L26" i="32"/>
  <c r="L12" i="49" l="1"/>
  <c r="L14" i="49" s="1"/>
  <c r="K14" i="49"/>
  <c r="L37" i="32"/>
  <c r="L277" i="32" s="1"/>
  <c r="K131" i="32"/>
  <c r="K267" i="32"/>
  <c r="Q44" i="4"/>
  <c r="L18" i="48"/>
  <c r="K105" i="32"/>
  <c r="L27" i="32"/>
  <c r="M27" i="32" s="1"/>
  <c r="J106" i="32"/>
  <c r="L266" i="32"/>
  <c r="L38" i="32"/>
  <c r="L278" i="32" s="1"/>
  <c r="K102" i="32"/>
  <c r="K277" i="32"/>
  <c r="K103" i="32"/>
  <c r="L104" i="32"/>
  <c r="L10" i="32"/>
  <c r="L250" i="32" s="1"/>
  <c r="K91" i="32"/>
  <c r="Q15" i="48"/>
  <c r="M26" i="32"/>
  <c r="R43" i="4" l="1"/>
  <c r="L102" i="32"/>
  <c r="M37" i="32"/>
  <c r="M277" i="32" s="1"/>
  <c r="L105" i="32"/>
  <c r="L131" i="32"/>
  <c r="M38" i="32"/>
  <c r="M278" i="32" s="1"/>
  <c r="M266" i="32"/>
  <c r="L267" i="32"/>
  <c r="R44" i="4"/>
  <c r="L103" i="32"/>
  <c r="M267" i="32"/>
  <c r="K106" i="32"/>
  <c r="M18" i="48"/>
  <c r="M104" i="32"/>
  <c r="N27" i="32"/>
  <c r="M105" i="32"/>
  <c r="M10" i="32"/>
  <c r="M250" i="32" s="1"/>
  <c r="L91" i="32"/>
  <c r="R15" i="48"/>
  <c r="N26" i="32"/>
  <c r="M102" i="32" l="1"/>
  <c r="N18" i="48"/>
  <c r="M131" i="32"/>
  <c r="N38" i="32"/>
  <c r="N278" i="32" s="1"/>
  <c r="N37" i="32"/>
  <c r="O37" i="32" s="1"/>
  <c r="S43" i="4"/>
  <c r="S44" i="4"/>
  <c r="M103" i="32"/>
  <c r="L106" i="32"/>
  <c r="N267" i="32"/>
  <c r="N266" i="32"/>
  <c r="N104" i="32"/>
  <c r="N10" i="32"/>
  <c r="N250" i="32" s="1"/>
  <c r="M91" i="32"/>
  <c r="O27" i="32"/>
  <c r="N105" i="32"/>
  <c r="O26" i="32"/>
  <c r="N131" i="32" l="1"/>
  <c r="M106" i="32"/>
  <c r="O18" i="48"/>
  <c r="O38" i="32"/>
  <c r="O278" i="32" s="1"/>
  <c r="N102" i="32"/>
  <c r="T43" i="4"/>
  <c r="T44" i="4"/>
  <c r="N277" i="32"/>
  <c r="N103" i="32"/>
  <c r="O266" i="32"/>
  <c r="U43" i="4"/>
  <c r="O267" i="32"/>
  <c r="O102" i="32"/>
  <c r="O277" i="32"/>
  <c r="O104" i="32"/>
  <c r="O10" i="32"/>
  <c r="O250" i="32" s="1"/>
  <c r="N91" i="32"/>
  <c r="P27" i="32"/>
  <c r="O105" i="32"/>
  <c r="P26" i="32"/>
  <c r="P37" i="32"/>
  <c r="O131" i="32" l="1"/>
  <c r="N106" i="32"/>
  <c r="U44" i="4"/>
  <c r="O103" i="32"/>
  <c r="O106" i="32" s="1"/>
  <c r="P38" i="32"/>
  <c r="P278" i="32" s="1"/>
  <c r="P18" i="48"/>
  <c r="P266" i="32"/>
  <c r="V43" i="4"/>
  <c r="P267" i="32"/>
  <c r="P102" i="32"/>
  <c r="P277" i="32"/>
  <c r="P104" i="32"/>
  <c r="Q27" i="32"/>
  <c r="P105" i="32"/>
  <c r="P10" i="32"/>
  <c r="P250" i="32" s="1"/>
  <c r="O91" i="32"/>
  <c r="Q37" i="32"/>
  <c r="Q26" i="32"/>
  <c r="Q18" i="48" l="1"/>
  <c r="P131" i="32"/>
  <c r="Q38" i="32"/>
  <c r="W44" i="4" s="1"/>
  <c r="V44" i="4"/>
  <c r="P103" i="32"/>
  <c r="P106" i="32" s="1"/>
  <c r="Q266" i="32"/>
  <c r="W43" i="4"/>
  <c r="Q102" i="32"/>
  <c r="Q277" i="32"/>
  <c r="Q105" i="32"/>
  <c r="Q267" i="32"/>
  <c r="Q104" i="32"/>
  <c r="Q10" i="32"/>
  <c r="Q250" i="32" s="1"/>
  <c r="P91" i="32"/>
  <c r="Q131" i="32" l="1"/>
  <c r="Q278" i="32"/>
  <c r="Q103" i="32"/>
  <c r="Q106" i="32" s="1"/>
  <c r="R18" i="48"/>
  <c r="Q91" i="32"/>
  <c r="F12" i="48"/>
  <c r="G12" i="48"/>
  <c r="H12" i="48"/>
  <c r="K10" i="48"/>
  <c r="L10" i="48" s="1"/>
  <c r="E12" i="48"/>
  <c r="E19" i="48"/>
  <c r="F19" i="48"/>
  <c r="G19" i="48"/>
  <c r="H19" i="48"/>
  <c r="D19" i="48"/>
  <c r="D18" i="48"/>
  <c r="F18" i="48"/>
  <c r="G18" i="48"/>
  <c r="H18" i="48"/>
  <c r="E18" i="48"/>
  <c r="J31" i="48"/>
  <c r="D30" i="2"/>
  <c r="E31" i="48" s="1"/>
  <c r="E30" i="2"/>
  <c r="F31" i="48" s="1"/>
  <c r="F30" i="2"/>
  <c r="G31" i="48" s="1"/>
  <c r="G30" i="2"/>
  <c r="H31" i="48" s="1"/>
  <c r="C30" i="2"/>
  <c r="D31" i="48" s="1"/>
  <c r="H53" i="32"/>
  <c r="H52" i="32"/>
  <c r="H51" i="32"/>
  <c r="H50" i="32"/>
  <c r="H49" i="32"/>
  <c r="H288" i="32" s="1"/>
  <c r="E263" i="32"/>
  <c r="F263" i="32"/>
  <c r="G263" i="32"/>
  <c r="E264" i="32"/>
  <c r="F264" i="32"/>
  <c r="G264" i="32"/>
  <c r="E265" i="32"/>
  <c r="F265" i="32"/>
  <c r="G265" i="32"/>
  <c r="E266" i="32"/>
  <c r="F266" i="32"/>
  <c r="G266" i="32"/>
  <c r="E267" i="32"/>
  <c r="F267" i="32"/>
  <c r="G267" i="32"/>
  <c r="E268" i="32"/>
  <c r="F268" i="32"/>
  <c r="G268" i="32"/>
  <c r="E269" i="32"/>
  <c r="F269" i="32"/>
  <c r="G269" i="32"/>
  <c r="E270" i="32"/>
  <c r="F270" i="32"/>
  <c r="G270" i="32"/>
  <c r="E271" i="32"/>
  <c r="F271" i="32"/>
  <c r="G271" i="32"/>
  <c r="E272" i="32"/>
  <c r="F272" i="32"/>
  <c r="G272" i="32"/>
  <c r="E273" i="32"/>
  <c r="F273" i="32"/>
  <c r="G273" i="32"/>
  <c r="E275" i="32"/>
  <c r="F275" i="32"/>
  <c r="G275" i="32"/>
  <c r="E276" i="32"/>
  <c r="F276" i="32"/>
  <c r="G276" i="32"/>
  <c r="E277" i="32"/>
  <c r="F277" i="32"/>
  <c r="G277" i="32"/>
  <c r="E278" i="32"/>
  <c r="F278" i="32"/>
  <c r="G278" i="32"/>
  <c r="E279" i="32"/>
  <c r="F279" i="32"/>
  <c r="G279" i="32"/>
  <c r="E280" i="32"/>
  <c r="F280" i="32"/>
  <c r="G280" i="32"/>
  <c r="E281" i="32"/>
  <c r="F281" i="32"/>
  <c r="G281" i="32"/>
  <c r="E284" i="32"/>
  <c r="F284" i="32"/>
  <c r="G284" i="32"/>
  <c r="E286" i="32"/>
  <c r="F286" i="32"/>
  <c r="G286" i="32"/>
  <c r="E287" i="32"/>
  <c r="F287" i="32"/>
  <c r="G287" i="32"/>
  <c r="E288" i="32"/>
  <c r="F288" i="32"/>
  <c r="G288" i="32"/>
  <c r="E289" i="32"/>
  <c r="F289" i="32"/>
  <c r="G289" i="32"/>
  <c r="E290" i="32"/>
  <c r="F290" i="32"/>
  <c r="G290" i="32"/>
  <c r="E291" i="32"/>
  <c r="F291" i="32"/>
  <c r="G291" i="32"/>
  <c r="E292" i="32"/>
  <c r="F292" i="32"/>
  <c r="G292" i="32"/>
  <c r="E293" i="32"/>
  <c r="F293" i="32"/>
  <c r="G293" i="32"/>
  <c r="D263" i="32"/>
  <c r="D264" i="32"/>
  <c r="D265" i="32"/>
  <c r="D266" i="32"/>
  <c r="D267" i="32"/>
  <c r="D268" i="32"/>
  <c r="D269" i="32"/>
  <c r="D270" i="32"/>
  <c r="D271" i="32"/>
  <c r="D272" i="32"/>
  <c r="D273" i="32"/>
  <c r="D275" i="32"/>
  <c r="D276" i="32"/>
  <c r="D277" i="32"/>
  <c r="D278" i="32"/>
  <c r="D279" i="32"/>
  <c r="D280" i="32"/>
  <c r="D281" i="32"/>
  <c r="D286" i="32"/>
  <c r="D287" i="32"/>
  <c r="D288" i="32"/>
  <c r="D289" i="32"/>
  <c r="D290" i="32"/>
  <c r="D291" i="32"/>
  <c r="D292" i="32"/>
  <c r="D293" i="32"/>
  <c r="D254" i="32"/>
  <c r="E254" i="32"/>
  <c r="F254" i="32"/>
  <c r="G254" i="32"/>
  <c r="D255" i="32"/>
  <c r="E255" i="32"/>
  <c r="F255" i="32"/>
  <c r="G255" i="32"/>
  <c r="D256" i="32"/>
  <c r="E256" i="32"/>
  <c r="F256" i="32"/>
  <c r="G256" i="32"/>
  <c r="D257" i="32"/>
  <c r="E257" i="32"/>
  <c r="F257" i="32"/>
  <c r="G257" i="32"/>
  <c r="D258" i="32"/>
  <c r="E258" i="32"/>
  <c r="F258" i="32"/>
  <c r="G258" i="32"/>
  <c r="D259" i="32"/>
  <c r="E259" i="32"/>
  <c r="F259" i="32"/>
  <c r="G259" i="32"/>
  <c r="D260" i="32"/>
  <c r="E260" i="32"/>
  <c r="F260" i="32"/>
  <c r="G260" i="32"/>
  <c r="J25" i="48"/>
  <c r="K25" i="48" s="1"/>
  <c r="L25" i="48" s="1"/>
  <c r="M25" i="48" s="1"/>
  <c r="N25" i="48" s="1"/>
  <c r="O25" i="48" s="1"/>
  <c r="P25" i="48" s="1"/>
  <c r="Q25" i="48" s="1"/>
  <c r="R25" i="48" s="1"/>
  <c r="I3" i="28"/>
  <c r="J3" i="28"/>
  <c r="K3" i="28"/>
  <c r="L3" i="28"/>
  <c r="M3" i="28"/>
  <c r="N3" i="28"/>
  <c r="O3" i="28"/>
  <c r="P3" i="28"/>
  <c r="Q3" i="28"/>
  <c r="C2" i="28"/>
  <c r="D2" i="48" s="1"/>
  <c r="D3" i="28"/>
  <c r="E3" i="28"/>
  <c r="F3" i="28"/>
  <c r="G3" i="28"/>
  <c r="H3" i="28"/>
  <c r="C3" i="28"/>
  <c r="I4" i="32"/>
  <c r="J4" i="32"/>
  <c r="K4" i="32"/>
  <c r="L4" i="32"/>
  <c r="M4" i="32"/>
  <c r="N4" i="32"/>
  <c r="O4" i="32"/>
  <c r="P4" i="32"/>
  <c r="Q4" i="32"/>
  <c r="C3" i="32"/>
  <c r="D4" i="32"/>
  <c r="E4" i="32"/>
  <c r="F4" i="32"/>
  <c r="G4" i="32"/>
  <c r="H4" i="32"/>
  <c r="C4" i="32"/>
  <c r="G55" i="32"/>
  <c r="F55" i="32"/>
  <c r="E55" i="32"/>
  <c r="D55" i="32"/>
  <c r="C55" i="32"/>
  <c r="G42" i="32"/>
  <c r="F42" i="32"/>
  <c r="E42" i="32"/>
  <c r="D42" i="32"/>
  <c r="C42" i="32"/>
  <c r="G34" i="32"/>
  <c r="F34" i="32"/>
  <c r="E34" i="32"/>
  <c r="D34" i="32"/>
  <c r="C34" i="32"/>
  <c r="G21" i="32"/>
  <c r="F21" i="32"/>
  <c r="E21" i="32"/>
  <c r="D21" i="32"/>
  <c r="C21" i="32"/>
  <c r="G12" i="32"/>
  <c r="F12" i="32"/>
  <c r="E12" i="32"/>
  <c r="D12" i="32"/>
  <c r="C12" i="32"/>
  <c r="E126" i="28"/>
  <c r="F126" i="28"/>
  <c r="G126" i="28"/>
  <c r="D126" i="28"/>
  <c r="D124" i="28"/>
  <c r="E124" i="28"/>
  <c r="F124" i="28"/>
  <c r="G124" i="28"/>
  <c r="C124" i="28"/>
  <c r="D120" i="28"/>
  <c r="E10" i="48" s="1"/>
  <c r="E120" i="28"/>
  <c r="F10" i="48" s="1"/>
  <c r="F120" i="28"/>
  <c r="G10" i="48" s="1"/>
  <c r="G120" i="28"/>
  <c r="H10" i="48" s="1"/>
  <c r="D121" i="28"/>
  <c r="E8" i="48" s="1"/>
  <c r="E121" i="28"/>
  <c r="F8" i="48" s="1"/>
  <c r="F121" i="28"/>
  <c r="G8" i="48" s="1"/>
  <c r="G121" i="28"/>
  <c r="H8" i="48" s="1"/>
  <c r="C121" i="28"/>
  <c r="D8" i="48" s="1"/>
  <c r="C120" i="28"/>
  <c r="D10" i="48" s="1"/>
  <c r="D117" i="28"/>
  <c r="E6" i="48" s="1"/>
  <c r="E117" i="28"/>
  <c r="F6" i="48" s="1"/>
  <c r="F117" i="28"/>
  <c r="G6" i="48" s="1"/>
  <c r="G117" i="28"/>
  <c r="H6" i="48" s="1"/>
  <c r="C117" i="28"/>
  <c r="D6" i="48" s="1"/>
  <c r="C115" i="28"/>
  <c r="D4" i="48"/>
  <c r="D50" i="28"/>
  <c r="E50" i="28" s="1"/>
  <c r="E3" i="32" s="1"/>
  <c r="A345" i="46"/>
  <c r="B345" i="46"/>
  <c r="C345" i="46"/>
  <c r="D345" i="46"/>
  <c r="A346" i="46"/>
  <c r="B346" i="46"/>
  <c r="C346" i="46"/>
  <c r="D346" i="46"/>
  <c r="A347" i="46"/>
  <c r="B347" i="46"/>
  <c r="C347" i="46"/>
  <c r="D347" i="46"/>
  <c r="A348" i="46"/>
  <c r="B348" i="46"/>
  <c r="C348" i="46"/>
  <c r="D348" i="46"/>
  <c r="A349" i="46"/>
  <c r="B349" i="46"/>
  <c r="C349" i="46"/>
  <c r="D349" i="46"/>
  <c r="A352" i="46"/>
  <c r="E52" i="4"/>
  <c r="F52" i="4"/>
  <c r="G52" i="4"/>
  <c r="D52" i="4"/>
  <c r="A52" i="4"/>
  <c r="E53" i="4"/>
  <c r="F53" i="4"/>
  <c r="G53" i="4"/>
  <c r="D53" i="4"/>
  <c r="E42" i="4"/>
  <c r="F42" i="4"/>
  <c r="G42" i="4"/>
  <c r="D42" i="4"/>
  <c r="A42" i="4"/>
  <c r="G43" i="4"/>
  <c r="F43" i="4"/>
  <c r="E43" i="4"/>
  <c r="D43" i="4"/>
  <c r="D15" i="46"/>
  <c r="D16" i="46" s="1"/>
  <c r="D27" i="48" s="1"/>
  <c r="E15" i="46"/>
  <c r="E16" i="46" s="1"/>
  <c r="E27" i="48" s="1"/>
  <c r="F15" i="46"/>
  <c r="F16" i="46" s="1"/>
  <c r="F27" i="48" s="1"/>
  <c r="G15" i="46"/>
  <c r="G16" i="46" s="1"/>
  <c r="G27" i="48" s="1"/>
  <c r="H15" i="46"/>
  <c r="H16" i="46" s="1"/>
  <c r="H27" i="48" s="1"/>
  <c r="D17" i="46"/>
  <c r="D18" i="46" s="1"/>
  <c r="D26" i="48" s="1"/>
  <c r="E17" i="46"/>
  <c r="E18" i="46" s="1"/>
  <c r="E26" i="48" s="1"/>
  <c r="F17" i="46"/>
  <c r="F18" i="46" s="1"/>
  <c r="F26" i="48" s="1"/>
  <c r="G17" i="46"/>
  <c r="G18" i="46" s="1"/>
  <c r="G26" i="48" s="1"/>
  <c r="H17" i="46"/>
  <c r="H18" i="46" s="1"/>
  <c r="H26" i="48" s="1"/>
  <c r="D19" i="46"/>
  <c r="D20" i="46" s="1"/>
  <c r="D28" i="48" s="1"/>
  <c r="E19" i="46"/>
  <c r="E20" i="46" s="1"/>
  <c r="E28" i="48" s="1"/>
  <c r="F19" i="46"/>
  <c r="F20" i="46" s="1"/>
  <c r="F28" i="48" s="1"/>
  <c r="G19" i="46"/>
  <c r="G20" i="46" s="1"/>
  <c r="G28" i="48" s="1"/>
  <c r="H19" i="46"/>
  <c r="H20" i="46" s="1"/>
  <c r="H28" i="48" s="1"/>
  <c r="B54" i="46"/>
  <c r="C54" i="46"/>
  <c r="D54" i="46"/>
  <c r="E54" i="46"/>
  <c r="F54" i="46"/>
  <c r="G54" i="46"/>
  <c r="D138" i="28"/>
  <c r="E138" i="28"/>
  <c r="F5" i="48" s="1"/>
  <c r="F138" i="28"/>
  <c r="G138" i="28"/>
  <c r="D139" i="28"/>
  <c r="E139" i="28"/>
  <c r="F139" i="28"/>
  <c r="G139" i="28"/>
  <c r="D142" i="28"/>
  <c r="E142" i="28"/>
  <c r="F142" i="28"/>
  <c r="G142" i="28"/>
  <c r="D143" i="28"/>
  <c r="E143" i="28"/>
  <c r="F143" i="28"/>
  <c r="G143" i="28"/>
  <c r="D146" i="28"/>
  <c r="E146" i="28"/>
  <c r="F146" i="28"/>
  <c r="G146" i="28"/>
  <c r="D148" i="28"/>
  <c r="E148" i="28"/>
  <c r="F148" i="28"/>
  <c r="G148" i="28"/>
  <c r="C116" i="28"/>
  <c r="D116" i="28"/>
  <c r="E116" i="28"/>
  <c r="F116" i="28"/>
  <c r="G116" i="28"/>
  <c r="C126" i="28"/>
  <c r="C142" i="2"/>
  <c r="C146" i="2" s="1"/>
  <c r="C150" i="2" s="1"/>
  <c r="D42" i="46" s="1"/>
  <c r="D142" i="2"/>
  <c r="D146" i="2" s="1"/>
  <c r="D150" i="2" s="1"/>
  <c r="E142" i="2"/>
  <c r="E146" i="2" s="1"/>
  <c r="E150" i="2" s="1"/>
  <c r="F142" i="2"/>
  <c r="F146" i="2" s="1"/>
  <c r="F150" i="2" s="1"/>
  <c r="G142" i="2"/>
  <c r="G146" i="2" s="1"/>
  <c r="G150" i="2" s="1"/>
  <c r="C159" i="2"/>
  <c r="D159" i="2"/>
  <c r="E159" i="2"/>
  <c r="F159" i="2"/>
  <c r="G159" i="2"/>
  <c r="C168" i="2"/>
  <c r="D168" i="2"/>
  <c r="E168" i="2"/>
  <c r="F168" i="2"/>
  <c r="G168" i="2"/>
  <c r="C67" i="2"/>
  <c r="D67" i="2"/>
  <c r="E67" i="2"/>
  <c r="F67" i="2"/>
  <c r="G67" i="2"/>
  <c r="C76" i="2"/>
  <c r="D76" i="2"/>
  <c r="E76" i="2"/>
  <c r="F76" i="2"/>
  <c r="G76" i="2"/>
  <c r="C89" i="2"/>
  <c r="D27" i="46" s="1"/>
  <c r="D89" i="2"/>
  <c r="E89" i="2"/>
  <c r="F27" i="46" s="1"/>
  <c r="F89" i="2"/>
  <c r="G27" i="46" s="1"/>
  <c r="G89" i="2"/>
  <c r="H27" i="46" s="1"/>
  <c r="C97" i="2"/>
  <c r="D97" i="2"/>
  <c r="E97" i="2"/>
  <c r="F97" i="2"/>
  <c r="G97" i="2"/>
  <c r="C109" i="2"/>
  <c r="D109" i="2"/>
  <c r="E109" i="2"/>
  <c r="F109" i="2"/>
  <c r="G109" i="2"/>
  <c r="D111" i="46"/>
  <c r="C111" i="46"/>
  <c r="D109" i="46"/>
  <c r="H93" i="46"/>
  <c r="H89" i="46"/>
  <c r="H85" i="46"/>
  <c r="C72" i="46"/>
  <c r="G44" i="46" l="1"/>
  <c r="G45" i="46"/>
  <c r="G42" i="46"/>
  <c r="H44" i="46"/>
  <c r="H45" i="46"/>
  <c r="H42" i="46"/>
  <c r="F45" i="46"/>
  <c r="F42" i="46"/>
  <c r="F44" i="46"/>
  <c r="E45" i="46"/>
  <c r="E42" i="46"/>
  <c r="E44" i="46"/>
  <c r="N49" i="4"/>
  <c r="G121" i="32"/>
  <c r="G65" i="32" s="1"/>
  <c r="G4" i="4"/>
  <c r="J121" i="32"/>
  <c r="J65" i="32" s="1"/>
  <c r="P4" i="4"/>
  <c r="E161" i="32"/>
  <c r="E243" i="32" s="1"/>
  <c r="E3" i="4"/>
  <c r="F121" i="32"/>
  <c r="F65" i="32" s="1"/>
  <c r="F4" i="4"/>
  <c r="I121" i="32"/>
  <c r="I65" i="32" s="1"/>
  <c r="O4" i="4"/>
  <c r="C137" i="28"/>
  <c r="C83" i="28"/>
  <c r="D121" i="32"/>
  <c r="D65" i="32" s="1"/>
  <c r="D4" i="4"/>
  <c r="C161" i="32"/>
  <c r="C243" i="32" s="1"/>
  <c r="C3" i="4"/>
  <c r="Q121" i="32"/>
  <c r="Q65" i="32" s="1"/>
  <c r="W4" i="4"/>
  <c r="P121" i="32"/>
  <c r="P65" i="32" s="1"/>
  <c r="V4" i="4"/>
  <c r="O121" i="32"/>
  <c r="O65" i="32" s="1"/>
  <c r="U4" i="4"/>
  <c r="E4" i="48"/>
  <c r="E5" i="48"/>
  <c r="N121" i="32"/>
  <c r="N65" i="32" s="1"/>
  <c r="T4" i="4"/>
  <c r="H4" i="48"/>
  <c r="H5" i="48"/>
  <c r="M121" i="32"/>
  <c r="M65" i="32" s="1"/>
  <c r="S4" i="4"/>
  <c r="E121" i="32"/>
  <c r="E65" i="32" s="1"/>
  <c r="E4" i="4"/>
  <c r="G4" i="48"/>
  <c r="G5" i="48"/>
  <c r="C121" i="32"/>
  <c r="C65" i="32" s="1"/>
  <c r="C4" i="4"/>
  <c r="L121" i="32"/>
  <c r="L65" i="32" s="1"/>
  <c r="R4" i="4"/>
  <c r="H121" i="32"/>
  <c r="H65" i="32" s="1"/>
  <c r="D18" i="59" s="1"/>
  <c r="H18" i="59" s="1"/>
  <c r="N4" i="4"/>
  <c r="K121" i="32"/>
  <c r="K65" i="32" s="1"/>
  <c r="Q4" i="4"/>
  <c r="K31" i="48"/>
  <c r="I50" i="32"/>
  <c r="H289" i="32"/>
  <c r="I51" i="32"/>
  <c r="H290" i="32"/>
  <c r="I52" i="32"/>
  <c r="H291" i="32"/>
  <c r="I53" i="32"/>
  <c r="H292" i="32"/>
  <c r="C108" i="32"/>
  <c r="C135" i="32"/>
  <c r="C136" i="32" s="1"/>
  <c r="D108" i="32"/>
  <c r="D135" i="32"/>
  <c r="D136" i="32" s="1"/>
  <c r="E108" i="32"/>
  <c r="E135" i="32"/>
  <c r="E136" i="32" s="1"/>
  <c r="F108" i="32"/>
  <c r="F135" i="32"/>
  <c r="F136" i="32" s="1"/>
  <c r="G108" i="32"/>
  <c r="G135" i="32"/>
  <c r="G136" i="32" s="1"/>
  <c r="I10" i="48"/>
  <c r="H25" i="46"/>
  <c r="G25" i="46"/>
  <c r="C77" i="2"/>
  <c r="C164" i="32" s="1"/>
  <c r="D77" i="2"/>
  <c r="D173" i="32" s="1"/>
  <c r="F25" i="46"/>
  <c r="H26" i="46"/>
  <c r="E25" i="46"/>
  <c r="E282" i="32"/>
  <c r="F294" i="32"/>
  <c r="G252" i="32"/>
  <c r="D282" i="32"/>
  <c r="E294" i="32"/>
  <c r="F252" i="32"/>
  <c r="D274" i="32"/>
  <c r="I49" i="32"/>
  <c r="I288" i="32" s="1"/>
  <c r="E261" i="32"/>
  <c r="G282" i="32"/>
  <c r="D252" i="32"/>
  <c r="F261" i="32"/>
  <c r="F274" i="32"/>
  <c r="E252" i="32"/>
  <c r="M10" i="48"/>
  <c r="D261" i="32"/>
  <c r="F282" i="32"/>
  <c r="G261" i="32"/>
  <c r="D294" i="32"/>
  <c r="E274" i="32"/>
  <c r="G294" i="32"/>
  <c r="G274" i="32"/>
  <c r="E2" i="28"/>
  <c r="F2" i="48" s="1"/>
  <c r="D2" i="28"/>
  <c r="E2" i="48" s="1"/>
  <c r="F4" i="48"/>
  <c r="G17" i="48"/>
  <c r="H17" i="48"/>
  <c r="E17" i="48"/>
  <c r="F17" i="48"/>
  <c r="D17" i="48"/>
  <c r="D171" i="2"/>
  <c r="G26" i="46"/>
  <c r="F26" i="46"/>
  <c r="E26" i="46"/>
  <c r="D26" i="46"/>
  <c r="G77" i="2"/>
  <c r="G212" i="32" s="1"/>
  <c r="D25" i="46"/>
  <c r="D98" i="2"/>
  <c r="E27" i="46"/>
  <c r="I27" i="48"/>
  <c r="J27" i="48" s="1"/>
  <c r="K27" i="48" s="1"/>
  <c r="I26" i="48"/>
  <c r="I28" i="48"/>
  <c r="J28" i="48" s="1"/>
  <c r="K28" i="48" s="1"/>
  <c r="H4" i="28"/>
  <c r="I6" i="48"/>
  <c r="H117" i="28" s="1"/>
  <c r="I8" i="48"/>
  <c r="J8" i="48" s="1"/>
  <c r="E115" i="28"/>
  <c r="D115" i="28"/>
  <c r="D3" i="32"/>
  <c r="C127" i="32"/>
  <c r="E127" i="32"/>
  <c r="F127" i="32"/>
  <c r="D127" i="32"/>
  <c r="G127" i="32"/>
  <c r="D43" i="32"/>
  <c r="G43" i="32"/>
  <c r="F22" i="32"/>
  <c r="C43" i="32"/>
  <c r="D22" i="32"/>
  <c r="G22" i="32"/>
  <c r="C22" i="32"/>
  <c r="E43" i="32"/>
  <c r="E22" i="32"/>
  <c r="F43" i="32"/>
  <c r="K4" i="48"/>
  <c r="J4" i="48"/>
  <c r="F50" i="28"/>
  <c r="F2" i="28" s="1"/>
  <c r="G2" i="48" s="1"/>
  <c r="C350" i="46"/>
  <c r="C352" i="46" s="1"/>
  <c r="D350" i="46"/>
  <c r="D352" i="46" s="1"/>
  <c r="G28" i="46"/>
  <c r="E28" i="46"/>
  <c r="D28" i="46"/>
  <c r="F28" i="46"/>
  <c r="H28" i="46"/>
  <c r="E111" i="46"/>
  <c r="E171" i="2"/>
  <c r="C171" i="2"/>
  <c r="C98" i="2"/>
  <c r="G171" i="2"/>
  <c r="F171" i="2"/>
  <c r="F98" i="2"/>
  <c r="E77" i="2"/>
  <c r="E192" i="32" s="1"/>
  <c r="G98" i="2"/>
  <c r="E98" i="2"/>
  <c r="F77" i="2"/>
  <c r="F200" i="32" s="1"/>
  <c r="H43" i="46" l="1"/>
  <c r="G43" i="46"/>
  <c r="F43" i="46"/>
  <c r="E43" i="46"/>
  <c r="E23" i="48"/>
  <c r="O49" i="4"/>
  <c r="D161" i="32"/>
  <c r="D243" i="32" s="1"/>
  <c r="D3" i="4"/>
  <c r="E137" i="28"/>
  <c r="E83" i="28"/>
  <c r="C203" i="32"/>
  <c r="D137" i="28"/>
  <c r="D83" i="28"/>
  <c r="H52" i="28"/>
  <c r="H116" i="28" s="1"/>
  <c r="H138" i="28"/>
  <c r="L31" i="48"/>
  <c r="D191" i="32"/>
  <c r="C198" i="32"/>
  <c r="D176" i="32"/>
  <c r="E25" i="48"/>
  <c r="D208" i="32"/>
  <c r="D166" i="32"/>
  <c r="D178" i="32"/>
  <c r="C165" i="32"/>
  <c r="C185" i="32"/>
  <c r="C179" i="32"/>
  <c r="D189" i="32"/>
  <c r="D192" i="32"/>
  <c r="C196" i="32"/>
  <c r="C199" i="32"/>
  <c r="D195" i="32"/>
  <c r="C211" i="32"/>
  <c r="D210" i="32"/>
  <c r="D23" i="48"/>
  <c r="C207" i="32"/>
  <c r="D206" i="32"/>
  <c r="D174" i="32"/>
  <c r="D180" i="32"/>
  <c r="D209" i="32"/>
  <c r="D190" i="32"/>
  <c r="C177" i="32"/>
  <c r="D196" i="32"/>
  <c r="C178" i="32"/>
  <c r="D207" i="32"/>
  <c r="D188" i="32"/>
  <c r="D186" i="32"/>
  <c r="D21" i="46"/>
  <c r="C187" i="32"/>
  <c r="D187" i="32"/>
  <c r="D211" i="32"/>
  <c r="C195" i="32"/>
  <c r="C191" i="32"/>
  <c r="C192" i="32"/>
  <c r="D169" i="32"/>
  <c r="D167" i="32"/>
  <c r="D203" i="32"/>
  <c r="C208" i="32"/>
  <c r="C175" i="32"/>
  <c r="C197" i="32"/>
  <c r="C209" i="32"/>
  <c r="C176" i="32"/>
  <c r="C174" i="32"/>
  <c r="C210" i="32"/>
  <c r="E21" i="46"/>
  <c r="D185" i="32"/>
  <c r="D183" i="32"/>
  <c r="C168" i="32"/>
  <c r="C212" i="32"/>
  <c r="D164" i="32"/>
  <c r="C190" i="32"/>
  <c r="C188" i="32"/>
  <c r="D165" i="32"/>
  <c r="D177" i="32"/>
  <c r="C166" i="32"/>
  <c r="C200" i="32"/>
  <c r="C169" i="32"/>
  <c r="D199" i="32"/>
  <c r="D197" i="32"/>
  <c r="C186" i="32"/>
  <c r="C184" i="32"/>
  <c r="C180" i="32"/>
  <c r="D179" i="32"/>
  <c r="J53" i="32"/>
  <c r="I292" i="32"/>
  <c r="J52" i="32"/>
  <c r="I291" i="32"/>
  <c r="J51" i="32"/>
  <c r="I290" i="32"/>
  <c r="J50" i="32"/>
  <c r="I289" i="32"/>
  <c r="E46" i="32"/>
  <c r="C46" i="32"/>
  <c r="G46" i="32"/>
  <c r="D46" i="32"/>
  <c r="D285" i="32" s="1"/>
  <c r="E235" i="32"/>
  <c r="E217" i="32"/>
  <c r="E220" i="32"/>
  <c r="E223" i="32"/>
  <c r="E229" i="32"/>
  <c r="E232" i="32"/>
  <c r="E222" i="32"/>
  <c r="E218" i="32"/>
  <c r="E221" i="32"/>
  <c r="E224" i="32"/>
  <c r="E225" i="32"/>
  <c r="E230" i="32"/>
  <c r="E233" i="32"/>
  <c r="E219" i="32"/>
  <c r="E231" i="32"/>
  <c r="C56" i="32"/>
  <c r="C59" i="32" s="1"/>
  <c r="C219" i="32"/>
  <c r="C235" i="32"/>
  <c r="C220" i="32"/>
  <c r="C221" i="32"/>
  <c r="C222" i="32"/>
  <c r="C230" i="32"/>
  <c r="C223" i="32"/>
  <c r="C231" i="32"/>
  <c r="C224" i="32"/>
  <c r="C232" i="32"/>
  <c r="C225" i="32"/>
  <c r="C233" i="32"/>
  <c r="C217" i="32"/>
  <c r="C218" i="32"/>
  <c r="C229" i="32"/>
  <c r="F46" i="32"/>
  <c r="G231" i="32"/>
  <c r="G222" i="32"/>
  <c r="G235" i="32"/>
  <c r="G217" i="32"/>
  <c r="G220" i="32"/>
  <c r="G223" i="32"/>
  <c r="G229" i="32"/>
  <c r="G232" i="32"/>
  <c r="G218" i="32"/>
  <c r="G221" i="32"/>
  <c r="G224" i="32"/>
  <c r="G219" i="32"/>
  <c r="G230" i="32"/>
  <c r="G233" i="32"/>
  <c r="G225" i="32"/>
  <c r="F235" i="32"/>
  <c r="F217" i="32"/>
  <c r="F220" i="32"/>
  <c r="F223" i="32"/>
  <c r="F229" i="32"/>
  <c r="F232" i="32"/>
  <c r="F218" i="32"/>
  <c r="F221" i="32"/>
  <c r="F224" i="32"/>
  <c r="F230" i="32"/>
  <c r="F233" i="32"/>
  <c r="F219" i="32"/>
  <c r="F222" i="32"/>
  <c r="F225" i="32"/>
  <c r="F231" i="32"/>
  <c r="D217" i="32"/>
  <c r="D220" i="32"/>
  <c r="D223" i="32"/>
  <c r="D231" i="32"/>
  <c r="D235" i="32"/>
  <c r="D229" i="32"/>
  <c r="D232" i="32"/>
  <c r="D218" i="32"/>
  <c r="D221" i="32"/>
  <c r="D224" i="32"/>
  <c r="D230" i="32"/>
  <c r="D233" i="32"/>
  <c r="D219" i="32"/>
  <c r="D222" i="32"/>
  <c r="D225" i="32"/>
  <c r="I16" i="48"/>
  <c r="H9" i="28"/>
  <c r="I12" i="48" s="1"/>
  <c r="D168" i="32"/>
  <c r="D184" i="32"/>
  <c r="C189" i="32"/>
  <c r="C206" i="32"/>
  <c r="D198" i="32"/>
  <c r="C167" i="32"/>
  <c r="C173" i="32"/>
  <c r="C183" i="32"/>
  <c r="D212" i="32"/>
  <c r="D170" i="32"/>
  <c r="D175" i="32"/>
  <c r="C170" i="32"/>
  <c r="D200" i="32"/>
  <c r="J49" i="32"/>
  <c r="J288" i="32" s="1"/>
  <c r="N10" i="48"/>
  <c r="F262" i="32"/>
  <c r="I19" i="48"/>
  <c r="H14" i="28" s="1"/>
  <c r="H124" i="28" s="1"/>
  <c r="H16" i="32"/>
  <c r="N19" i="4" s="1"/>
  <c r="G179" i="32"/>
  <c r="F179" i="32"/>
  <c r="F212" i="32"/>
  <c r="G170" i="32"/>
  <c r="D110" i="2"/>
  <c r="D201" i="32"/>
  <c r="G262" i="32"/>
  <c r="D262" i="32"/>
  <c r="J26" i="48"/>
  <c r="E200" i="32"/>
  <c r="C110" i="2"/>
  <c r="C201" i="32"/>
  <c r="G56" i="32"/>
  <c r="G59" i="32" s="1"/>
  <c r="G283" i="32"/>
  <c r="E179" i="32"/>
  <c r="G21" i="46"/>
  <c r="F175" i="32"/>
  <c r="F189" i="32"/>
  <c r="F206" i="32"/>
  <c r="F178" i="32"/>
  <c r="G25" i="48"/>
  <c r="F166" i="32"/>
  <c r="F180" i="32"/>
  <c r="F196" i="32"/>
  <c r="F211" i="32"/>
  <c r="F209" i="32"/>
  <c r="F173" i="32"/>
  <c r="F187" i="32"/>
  <c r="F164" i="32"/>
  <c r="F169" i="32"/>
  <c r="F185" i="32"/>
  <c r="F199" i="32"/>
  <c r="G23" i="48"/>
  <c r="F176" i="32"/>
  <c r="F190" i="32"/>
  <c r="F207" i="32"/>
  <c r="F168" i="32"/>
  <c r="F184" i="32"/>
  <c r="F167" i="32"/>
  <c r="F183" i="32"/>
  <c r="F197" i="32"/>
  <c r="F174" i="32"/>
  <c r="F188" i="32"/>
  <c r="F203" i="32"/>
  <c r="F198" i="32"/>
  <c r="F165" i="32"/>
  <c r="F195" i="32"/>
  <c r="F210" i="32"/>
  <c r="F186" i="32"/>
  <c r="F177" i="32"/>
  <c r="F191" i="32"/>
  <c r="F208" i="32"/>
  <c r="D56" i="32"/>
  <c r="D283" i="32"/>
  <c r="G200" i="32"/>
  <c r="E110" i="2"/>
  <c r="E201" i="32"/>
  <c r="G110" i="2"/>
  <c r="G201" i="32"/>
  <c r="F25" i="48"/>
  <c r="E166" i="32"/>
  <c r="I166" i="32" s="1"/>
  <c r="J166" i="32" s="1"/>
  <c r="K166" i="32" s="1"/>
  <c r="L166" i="32" s="1"/>
  <c r="M166" i="32" s="1"/>
  <c r="N166" i="32" s="1"/>
  <c r="O166" i="32" s="1"/>
  <c r="P166" i="32" s="1"/>
  <c r="Q166" i="32" s="1"/>
  <c r="E180" i="32"/>
  <c r="E196" i="32"/>
  <c r="E211" i="32"/>
  <c r="E173" i="32"/>
  <c r="E187" i="32"/>
  <c r="E185" i="32"/>
  <c r="E199" i="32"/>
  <c r="E164" i="32"/>
  <c r="E178" i="32"/>
  <c r="E209" i="32"/>
  <c r="E169" i="32"/>
  <c r="F21" i="46"/>
  <c r="E189" i="32"/>
  <c r="E206" i="32"/>
  <c r="E175" i="32"/>
  <c r="F23" i="48"/>
  <c r="E176" i="32"/>
  <c r="E190" i="32"/>
  <c r="E207" i="32"/>
  <c r="E167" i="32"/>
  <c r="E183" i="32"/>
  <c r="E197" i="32"/>
  <c r="E174" i="32"/>
  <c r="E188" i="32"/>
  <c r="E203" i="32"/>
  <c r="E165" i="32"/>
  <c r="I165" i="32" s="1"/>
  <c r="J165" i="32" s="1"/>
  <c r="K165" i="32" s="1"/>
  <c r="L165" i="32" s="1"/>
  <c r="M165" i="32" s="1"/>
  <c r="N165" i="32" s="1"/>
  <c r="O165" i="32" s="1"/>
  <c r="P165" i="32" s="1"/>
  <c r="Q165" i="32" s="1"/>
  <c r="E195" i="32"/>
  <c r="E210" i="32"/>
  <c r="E186" i="32"/>
  <c r="E177" i="32"/>
  <c r="E191" i="32"/>
  <c r="E208" i="32"/>
  <c r="E168" i="32"/>
  <c r="E184" i="32"/>
  <c r="E198" i="32"/>
  <c r="F110" i="2"/>
  <c r="F201" i="32"/>
  <c r="E262" i="32"/>
  <c r="E170" i="32"/>
  <c r="G168" i="32"/>
  <c r="G184" i="32"/>
  <c r="G198" i="32"/>
  <c r="G173" i="32"/>
  <c r="G187" i="32"/>
  <c r="G177" i="32"/>
  <c r="H21" i="46"/>
  <c r="G175" i="32"/>
  <c r="G189" i="32"/>
  <c r="G206" i="32"/>
  <c r="G208" i="32"/>
  <c r="H25" i="48"/>
  <c r="G166" i="32"/>
  <c r="G180" i="32"/>
  <c r="G196" i="32"/>
  <c r="G211" i="32"/>
  <c r="G164" i="32"/>
  <c r="G178" i="32"/>
  <c r="G209" i="32"/>
  <c r="G169" i="32"/>
  <c r="G185" i="32"/>
  <c r="G199" i="32"/>
  <c r="G191" i="32"/>
  <c r="H23" i="48"/>
  <c r="G176" i="32"/>
  <c r="H176" i="32" s="1"/>
  <c r="I176" i="32" s="1"/>
  <c r="J176" i="32" s="1"/>
  <c r="K176" i="32" s="1"/>
  <c r="L176" i="32" s="1"/>
  <c r="M176" i="32" s="1"/>
  <c r="N176" i="32" s="1"/>
  <c r="O176" i="32" s="1"/>
  <c r="P176" i="32" s="1"/>
  <c r="Q176" i="32" s="1"/>
  <c r="G190" i="32"/>
  <c r="G207" i="32"/>
  <c r="G167" i="32"/>
  <c r="G183" i="32"/>
  <c r="G197" i="32"/>
  <c r="G174" i="32"/>
  <c r="G188" i="32"/>
  <c r="G203" i="32"/>
  <c r="G165" i="32"/>
  <c r="G195" i="32"/>
  <c r="G210" i="32"/>
  <c r="G186" i="32"/>
  <c r="F56" i="32"/>
  <c r="F59" i="32" s="1"/>
  <c r="F283" i="32"/>
  <c r="G192" i="32"/>
  <c r="E212" i="32"/>
  <c r="E56" i="32"/>
  <c r="E283" i="32"/>
  <c r="F192" i="32"/>
  <c r="F170" i="32"/>
  <c r="J6" i="48"/>
  <c r="L28" i="48"/>
  <c r="L27" i="48"/>
  <c r="H5" i="28"/>
  <c r="I4" i="28"/>
  <c r="H10" i="28"/>
  <c r="G50" i="28"/>
  <c r="G2" i="28" s="1"/>
  <c r="H2" i="48" s="1"/>
  <c r="F3" i="32"/>
  <c r="F115" i="28"/>
  <c r="L4" i="48"/>
  <c r="K8" i="48"/>
  <c r="E36" i="4"/>
  <c r="F36" i="4"/>
  <c r="G36" i="4"/>
  <c r="D36" i="4"/>
  <c r="G37" i="4"/>
  <c r="F37" i="4"/>
  <c r="E37" i="4"/>
  <c r="D37" i="4"/>
  <c r="D68" i="28"/>
  <c r="E68" i="28"/>
  <c r="F68" i="28"/>
  <c r="G68" i="28"/>
  <c r="C68" i="28"/>
  <c r="E40" i="4"/>
  <c r="F40" i="4"/>
  <c r="G40" i="4"/>
  <c r="D40" i="4"/>
  <c r="C43" i="4"/>
  <c r="E41" i="4"/>
  <c r="F41" i="4"/>
  <c r="G41" i="4"/>
  <c r="D41" i="4"/>
  <c r="H144" i="28" l="1"/>
  <c r="H121" i="28"/>
  <c r="D295" i="32"/>
  <c r="P49" i="4"/>
  <c r="F137" i="28"/>
  <c r="F83" i="28"/>
  <c r="F161" i="32"/>
  <c r="F243" i="32" s="1"/>
  <c r="F3" i="4"/>
  <c r="I52" i="28"/>
  <c r="I116" i="28" s="1"/>
  <c r="I138" i="28"/>
  <c r="H148" i="28"/>
  <c r="N42" i="4"/>
  <c r="N46" i="4" s="1"/>
  <c r="H53" i="28"/>
  <c r="H54" i="28" s="1"/>
  <c r="H139" i="28"/>
  <c r="H56" i="28"/>
  <c r="N9" i="4" s="1"/>
  <c r="H120" i="28"/>
  <c r="H143" i="28"/>
  <c r="M31" i="48"/>
  <c r="F285" i="32"/>
  <c r="H11" i="28"/>
  <c r="H122" i="28" s="1"/>
  <c r="H57" i="28"/>
  <c r="H94" i="28"/>
  <c r="H68" i="28"/>
  <c r="H75" i="28"/>
  <c r="K50" i="32"/>
  <c r="J289" i="32"/>
  <c r="K51" i="32"/>
  <c r="J290" i="32"/>
  <c r="K52" i="32"/>
  <c r="J291" i="32"/>
  <c r="H68" i="32"/>
  <c r="H256" i="32"/>
  <c r="K53" i="32"/>
  <c r="J292" i="32"/>
  <c r="E285" i="32"/>
  <c r="C234" i="32"/>
  <c r="G226" i="32"/>
  <c r="C226" i="32"/>
  <c r="F234" i="32"/>
  <c r="E234" i="32"/>
  <c r="D226" i="32"/>
  <c r="G234" i="32"/>
  <c r="G285" i="32"/>
  <c r="D234" i="32"/>
  <c r="F226" i="32"/>
  <c r="E226" i="32"/>
  <c r="J16" i="48"/>
  <c r="I9" i="28"/>
  <c r="E295" i="32"/>
  <c r="H164" i="32"/>
  <c r="K49" i="32"/>
  <c r="K288" i="32" s="1"/>
  <c r="H167" i="32"/>
  <c r="I167" i="32" s="1"/>
  <c r="J167" i="32" s="1"/>
  <c r="K167" i="32" s="1"/>
  <c r="L167" i="32" s="1"/>
  <c r="M167" i="32" s="1"/>
  <c r="N167" i="32" s="1"/>
  <c r="O167" i="32" s="1"/>
  <c r="P167" i="32" s="1"/>
  <c r="Q167" i="32" s="1"/>
  <c r="O10" i="48"/>
  <c r="K6" i="48"/>
  <c r="L6" i="48" s="1"/>
  <c r="K26" i="48"/>
  <c r="I23" i="48"/>
  <c r="I16" i="32"/>
  <c r="O19" i="4" s="1"/>
  <c r="I117" i="28"/>
  <c r="G295" i="32"/>
  <c r="D59" i="32"/>
  <c r="G213" i="32"/>
  <c r="C213" i="32"/>
  <c r="E213" i="32"/>
  <c r="F295" i="32"/>
  <c r="F213" i="32"/>
  <c r="E59" i="32"/>
  <c r="D213" i="32"/>
  <c r="M28" i="48"/>
  <c r="H6" i="28"/>
  <c r="H15" i="32"/>
  <c r="N20" i="4" s="1"/>
  <c r="H25" i="32"/>
  <c r="M27" i="48"/>
  <c r="J4" i="28"/>
  <c r="I5" i="28"/>
  <c r="I10" i="28"/>
  <c r="I121" i="28" s="1"/>
  <c r="G3" i="32"/>
  <c r="G115" i="28"/>
  <c r="H50" i="28"/>
  <c r="H2" i="28" s="1"/>
  <c r="I2" i="48" s="1"/>
  <c r="L8" i="48"/>
  <c r="M4" i="48"/>
  <c r="D44" i="4"/>
  <c r="E44" i="4"/>
  <c r="F44" i="4"/>
  <c r="G44" i="4"/>
  <c r="C41" i="4"/>
  <c r="C44" i="4" s="1"/>
  <c r="D35" i="4"/>
  <c r="D38" i="4" s="1"/>
  <c r="E35" i="4"/>
  <c r="F35" i="4"/>
  <c r="F38" i="4" s="1"/>
  <c r="G35" i="4"/>
  <c r="G38" i="4" s="1"/>
  <c r="C35" i="4"/>
  <c r="C38" i="4" s="1"/>
  <c r="E31" i="4"/>
  <c r="F31" i="4"/>
  <c r="G31" i="4"/>
  <c r="D31" i="4"/>
  <c r="E30" i="4"/>
  <c r="F30" i="4"/>
  <c r="G30" i="4"/>
  <c r="D30" i="4"/>
  <c r="C30" i="4"/>
  <c r="D29" i="4"/>
  <c r="E29" i="4"/>
  <c r="F29" i="4"/>
  <c r="G29" i="4"/>
  <c r="C29" i="4"/>
  <c r="E21" i="4"/>
  <c r="F21" i="4"/>
  <c r="G21" i="4"/>
  <c r="D21" i="4"/>
  <c r="E16" i="4"/>
  <c r="F16" i="4"/>
  <c r="G16" i="4"/>
  <c r="D16" i="4"/>
  <c r="J23" i="48" l="1"/>
  <c r="H22" i="32"/>
  <c r="I120" i="28"/>
  <c r="Q49" i="4"/>
  <c r="G137" i="28"/>
  <c r="G83" i="28"/>
  <c r="G161" i="32"/>
  <c r="G243" i="32" s="1"/>
  <c r="G3" i="4"/>
  <c r="J52" i="28"/>
  <c r="J116" i="28" s="1"/>
  <c r="J138" i="28"/>
  <c r="H265" i="32"/>
  <c r="N21" i="4"/>
  <c r="H12" i="28"/>
  <c r="H123" i="28" s="1"/>
  <c r="H118" i="28"/>
  <c r="I56" i="28"/>
  <c r="O9" i="4" s="1"/>
  <c r="I143" i="28"/>
  <c r="H63" i="28"/>
  <c r="N34" i="4"/>
  <c r="H58" i="28"/>
  <c r="H59" i="28" s="1"/>
  <c r="H85" i="28" s="1"/>
  <c r="H97" i="28" s="1"/>
  <c r="N31" i="48"/>
  <c r="I57" i="28"/>
  <c r="I144" i="28"/>
  <c r="I53" i="28"/>
  <c r="I54" i="28" s="1"/>
  <c r="I139" i="28"/>
  <c r="I68" i="32"/>
  <c r="I256" i="32"/>
  <c r="L53" i="32"/>
  <c r="K292" i="32"/>
  <c r="H67" i="32"/>
  <c r="H255" i="32"/>
  <c r="L52" i="32"/>
  <c r="K291" i="32"/>
  <c r="L51" i="32"/>
  <c r="K290" i="32"/>
  <c r="L50" i="32"/>
  <c r="K289" i="32"/>
  <c r="H72" i="32"/>
  <c r="K16" i="48"/>
  <c r="J9" i="28"/>
  <c r="L49" i="32"/>
  <c r="L288" i="32" s="1"/>
  <c r="J19" i="48"/>
  <c r="I14" i="28" s="1"/>
  <c r="I124" i="28" s="1"/>
  <c r="K17" i="48"/>
  <c r="I164" i="32"/>
  <c r="P10" i="48"/>
  <c r="J117" i="28"/>
  <c r="H262" i="32"/>
  <c r="J16" i="32"/>
  <c r="P19" i="4" s="1"/>
  <c r="L26" i="48"/>
  <c r="M26" i="48" s="1"/>
  <c r="N28" i="48"/>
  <c r="N27" i="48"/>
  <c r="I6" i="28"/>
  <c r="I25" i="32"/>
  <c r="I15" i="32"/>
  <c r="O20" i="4" s="1"/>
  <c r="J10" i="28"/>
  <c r="J121" i="28" s="1"/>
  <c r="K4" i="28"/>
  <c r="J5" i="28"/>
  <c r="J139" i="28" s="1"/>
  <c r="I50" i="28"/>
  <c r="I2" i="28" s="1"/>
  <c r="J2" i="48" s="1"/>
  <c r="H115" i="28"/>
  <c r="H3" i="32"/>
  <c r="K117" i="28"/>
  <c r="M6" i="48"/>
  <c r="M8" i="48"/>
  <c r="N4" i="48"/>
  <c r="E38" i="4"/>
  <c r="E46" i="4" s="1"/>
  <c r="C46" i="4"/>
  <c r="D46" i="4"/>
  <c r="G46" i="4"/>
  <c r="F46" i="4"/>
  <c r="E20" i="4"/>
  <c r="F20" i="4"/>
  <c r="G20" i="4"/>
  <c r="D20" i="4"/>
  <c r="E19" i="4"/>
  <c r="F19" i="4"/>
  <c r="G19" i="4"/>
  <c r="D19" i="4"/>
  <c r="E18" i="4"/>
  <c r="F18" i="4"/>
  <c r="G18" i="4"/>
  <c r="D18" i="4"/>
  <c r="E17" i="4"/>
  <c r="F17" i="4"/>
  <c r="G17" i="4"/>
  <c r="D17" i="4"/>
  <c r="D9" i="4"/>
  <c r="E9" i="4"/>
  <c r="F9" i="4"/>
  <c r="G9" i="4"/>
  <c r="D10" i="4"/>
  <c r="E10" i="4"/>
  <c r="F10" i="4"/>
  <c r="G10" i="4"/>
  <c r="D11" i="4"/>
  <c r="E11" i="4"/>
  <c r="F11" i="4"/>
  <c r="G11" i="4"/>
  <c r="D12" i="4"/>
  <c r="E12" i="4"/>
  <c r="F12" i="4"/>
  <c r="G12" i="4"/>
  <c r="D13" i="4"/>
  <c r="E13" i="4"/>
  <c r="F13" i="4"/>
  <c r="G13" i="4"/>
  <c r="C20" i="4"/>
  <c r="C19" i="4"/>
  <c r="C18" i="4"/>
  <c r="C17" i="4"/>
  <c r="C16" i="4"/>
  <c r="C13" i="4"/>
  <c r="C12" i="4"/>
  <c r="C11" i="4"/>
  <c r="C10" i="4"/>
  <c r="C9" i="4"/>
  <c r="R49" i="4" l="1"/>
  <c r="K23" i="48"/>
  <c r="I22" i="32"/>
  <c r="I17" i="32" s="1"/>
  <c r="J120" i="28"/>
  <c r="H137" i="28"/>
  <c r="H83" i="28"/>
  <c r="C62" i="59" s="1"/>
  <c r="H161" i="32"/>
  <c r="H243" i="32" s="1"/>
  <c r="N3" i="4"/>
  <c r="B19" i="59" s="1"/>
  <c r="I58" i="28"/>
  <c r="I59" i="28" s="1"/>
  <c r="I85" i="28" s="1"/>
  <c r="I97" i="28" s="1"/>
  <c r="K52" i="28"/>
  <c r="K116" i="28" s="1"/>
  <c r="K138" i="28"/>
  <c r="I148" i="28"/>
  <c r="O42" i="4"/>
  <c r="O46" i="4" s="1"/>
  <c r="I265" i="32"/>
  <c r="O21" i="4"/>
  <c r="H15" i="28"/>
  <c r="H125" i="28" s="1"/>
  <c r="J57" i="28"/>
  <c r="J144" i="28"/>
  <c r="J56" i="28"/>
  <c r="P9" i="4" s="1"/>
  <c r="J143" i="28"/>
  <c r="I118" i="28"/>
  <c r="I140" i="28"/>
  <c r="O31" i="48"/>
  <c r="I94" i="28"/>
  <c r="I68" i="28"/>
  <c r="I75" i="28"/>
  <c r="J6" i="28"/>
  <c r="J53" i="28"/>
  <c r="J54" i="28" s="1"/>
  <c r="M50" i="32"/>
  <c r="L289" i="32"/>
  <c r="M51" i="32"/>
  <c r="L290" i="32"/>
  <c r="M52" i="32"/>
  <c r="L291" i="32"/>
  <c r="I67" i="32"/>
  <c r="I255" i="32"/>
  <c r="J68" i="32"/>
  <c r="J256" i="32"/>
  <c r="M53" i="32"/>
  <c r="L292" i="32"/>
  <c r="I72" i="32"/>
  <c r="L16" i="48"/>
  <c r="K9" i="28"/>
  <c r="J164" i="32"/>
  <c r="K19" i="48"/>
  <c r="J14" i="28" s="1"/>
  <c r="J124" i="28" s="1"/>
  <c r="L17" i="48"/>
  <c r="H19" i="32"/>
  <c r="H18" i="32"/>
  <c r="H180" i="32"/>
  <c r="H11" i="32"/>
  <c r="H251" i="32" s="1"/>
  <c r="H17" i="32"/>
  <c r="M49" i="32"/>
  <c r="M288" i="32" s="1"/>
  <c r="Q10" i="48"/>
  <c r="H9" i="32"/>
  <c r="H7" i="32"/>
  <c r="N29" i="4" s="1"/>
  <c r="H8" i="32"/>
  <c r="H6" i="32"/>
  <c r="K16" i="32"/>
  <c r="Q19" i="4" s="1"/>
  <c r="N26" i="48"/>
  <c r="O28" i="48"/>
  <c r="J15" i="32"/>
  <c r="P20" i="4" s="1"/>
  <c r="J25" i="32"/>
  <c r="O27" i="48"/>
  <c r="L4" i="28"/>
  <c r="K10" i="28"/>
  <c r="K121" i="28" s="1"/>
  <c r="K5" i="28"/>
  <c r="N6" i="48"/>
  <c r="L117" i="28"/>
  <c r="J50" i="28"/>
  <c r="J2" i="28" s="1"/>
  <c r="K2" i="48" s="1"/>
  <c r="I3" i="32"/>
  <c r="I115" i="28"/>
  <c r="N8" i="48"/>
  <c r="O4" i="48"/>
  <c r="D91" i="28"/>
  <c r="E91" i="28"/>
  <c r="F91" i="28"/>
  <c r="G91" i="28"/>
  <c r="C91" i="28"/>
  <c r="E88" i="28"/>
  <c r="F88" i="28"/>
  <c r="G88" i="28"/>
  <c r="D88" i="28"/>
  <c r="C88" i="28"/>
  <c r="I7" i="32" l="1"/>
  <c r="O29" i="4" s="1"/>
  <c r="I18" i="32"/>
  <c r="I93" i="32" s="1"/>
  <c r="I180" i="32"/>
  <c r="I9" i="32"/>
  <c r="I81" i="32" s="1"/>
  <c r="I6" i="32"/>
  <c r="I86" i="32" s="1"/>
  <c r="I19" i="32"/>
  <c r="I11" i="32"/>
  <c r="I262" i="32"/>
  <c r="I8" i="32"/>
  <c r="L23" i="48"/>
  <c r="J22" i="32"/>
  <c r="J12" i="48"/>
  <c r="K120" i="28"/>
  <c r="B20" i="59"/>
  <c r="B79" i="59"/>
  <c r="S49" i="4"/>
  <c r="I137" i="28"/>
  <c r="I83" i="28"/>
  <c r="D62" i="59" s="1"/>
  <c r="I161" i="32"/>
  <c r="I243" i="32" s="1"/>
  <c r="O3" i="4"/>
  <c r="K56" i="28"/>
  <c r="Q9" i="4" s="1"/>
  <c r="K143" i="28"/>
  <c r="J58" i="28"/>
  <c r="J59" i="28" s="1"/>
  <c r="N22" i="4"/>
  <c r="H16" i="28"/>
  <c r="I63" i="28"/>
  <c r="O34" i="4"/>
  <c r="K53" i="28"/>
  <c r="K54" i="28" s="1"/>
  <c r="K139" i="28"/>
  <c r="K57" i="28"/>
  <c r="K144" i="28"/>
  <c r="J140" i="28"/>
  <c r="J118" i="28"/>
  <c r="P31" i="48"/>
  <c r="J148" i="28"/>
  <c r="P42" i="4"/>
  <c r="P46" i="4" s="1"/>
  <c r="H246" i="32"/>
  <c r="N28" i="4"/>
  <c r="L52" i="28"/>
  <c r="L116" i="28" s="1"/>
  <c r="L138" i="28"/>
  <c r="J265" i="32"/>
  <c r="P21" i="4"/>
  <c r="H257" i="32"/>
  <c r="J94" i="28"/>
  <c r="J68" i="28"/>
  <c r="J75" i="28"/>
  <c r="N53" i="32"/>
  <c r="M292" i="32"/>
  <c r="K68" i="32"/>
  <c r="K256" i="32"/>
  <c r="H80" i="32"/>
  <c r="H248" i="32"/>
  <c r="H93" i="32"/>
  <c r="H258" i="32"/>
  <c r="N52" i="32"/>
  <c r="M291" i="32"/>
  <c r="N51" i="32"/>
  <c r="M290" i="32"/>
  <c r="J67" i="32"/>
  <c r="J255" i="32"/>
  <c r="I257" i="32"/>
  <c r="H69" i="32"/>
  <c r="H259" i="32"/>
  <c r="H81" i="32"/>
  <c r="H249" i="32"/>
  <c r="I69" i="32"/>
  <c r="I259" i="32"/>
  <c r="H87" i="32"/>
  <c r="H247" i="32"/>
  <c r="I87" i="32"/>
  <c r="I247" i="32"/>
  <c r="N50" i="32"/>
  <c r="M289" i="32"/>
  <c r="J72" i="32"/>
  <c r="H86" i="32"/>
  <c r="H122" i="32"/>
  <c r="H109" i="32"/>
  <c r="H125" i="32"/>
  <c r="H92" i="32"/>
  <c r="H123" i="32"/>
  <c r="I92" i="32"/>
  <c r="I109" i="32"/>
  <c r="I125" i="32"/>
  <c r="M16" i="48"/>
  <c r="L9" i="28"/>
  <c r="H12" i="32"/>
  <c r="L19" i="48"/>
  <c r="K14" i="28" s="1"/>
  <c r="K124" i="28" s="1"/>
  <c r="N49" i="32"/>
  <c r="N288" i="32" s="1"/>
  <c r="K164" i="32"/>
  <c r="L16" i="32"/>
  <c r="R19" i="4" s="1"/>
  <c r="I11" i="28"/>
  <c r="I122" i="28" s="1"/>
  <c r="R10" i="48"/>
  <c r="P27" i="48"/>
  <c r="O26" i="48"/>
  <c r="P28" i="48"/>
  <c r="K6" i="28"/>
  <c r="K15" i="32"/>
  <c r="Q20" i="4" s="1"/>
  <c r="K25" i="32"/>
  <c r="M4" i="28"/>
  <c r="L10" i="28"/>
  <c r="L121" i="28" s="1"/>
  <c r="L5" i="28"/>
  <c r="K50" i="28"/>
  <c r="K2" i="28" s="1"/>
  <c r="L2" i="48" s="1"/>
  <c r="J3" i="32"/>
  <c r="J115" i="28"/>
  <c r="O6" i="48"/>
  <c r="M117" i="28"/>
  <c r="P4" i="48"/>
  <c r="O8" i="48"/>
  <c r="B104" i="32"/>
  <c r="B105" i="32"/>
  <c r="A105" i="32"/>
  <c r="A104" i="32"/>
  <c r="B94" i="32"/>
  <c r="B95" i="32"/>
  <c r="A95" i="32"/>
  <c r="A94" i="32"/>
  <c r="B96" i="32"/>
  <c r="A96" i="32"/>
  <c r="B108" i="32"/>
  <c r="B102" i="32"/>
  <c r="B103" i="32"/>
  <c r="B110" i="32"/>
  <c r="B91" i="32"/>
  <c r="B92" i="32"/>
  <c r="B93" i="32"/>
  <c r="B109" i="32"/>
  <c r="B86" i="32"/>
  <c r="B87" i="32"/>
  <c r="B82" i="32"/>
  <c r="B83" i="32"/>
  <c r="B81" i="32"/>
  <c r="B80" i="32"/>
  <c r="B75" i="32"/>
  <c r="B74" i="32"/>
  <c r="B73" i="32"/>
  <c r="B72" i="32"/>
  <c r="B69" i="32"/>
  <c r="B68" i="32"/>
  <c r="B67" i="32"/>
  <c r="B66" i="32"/>
  <c r="A103" i="32"/>
  <c r="A110" i="32"/>
  <c r="A102" i="32"/>
  <c r="A108" i="32"/>
  <c r="A109" i="32"/>
  <c r="A93" i="32"/>
  <c r="A92" i="32"/>
  <c r="A91" i="32"/>
  <c r="A87" i="32"/>
  <c r="A86" i="32"/>
  <c r="A83" i="32"/>
  <c r="A82" i="32"/>
  <c r="A81" i="32"/>
  <c r="A80" i="32"/>
  <c r="A75" i="32"/>
  <c r="A74" i="32"/>
  <c r="A73" i="32"/>
  <c r="A72" i="32"/>
  <c r="A69" i="32"/>
  <c r="A68" i="32"/>
  <c r="A67" i="32"/>
  <c r="A66" i="32"/>
  <c r="D75" i="28"/>
  <c r="E75" i="28"/>
  <c r="F75" i="28"/>
  <c r="G75" i="28"/>
  <c r="C75" i="28"/>
  <c r="G58" i="28"/>
  <c r="H6" i="46" s="1"/>
  <c r="F58" i="28"/>
  <c r="G6" i="46" s="1"/>
  <c r="E58" i="28"/>
  <c r="F6" i="46" s="1"/>
  <c r="D58" i="28"/>
  <c r="E6" i="46" s="1"/>
  <c r="C58" i="28"/>
  <c r="D6" i="46" s="1"/>
  <c r="G54" i="28"/>
  <c r="H5" i="46" s="1"/>
  <c r="F54" i="28"/>
  <c r="G5" i="46" s="1"/>
  <c r="E54" i="28"/>
  <c r="F5" i="46" s="1"/>
  <c r="D54" i="28"/>
  <c r="E5" i="46" s="1"/>
  <c r="C54" i="28"/>
  <c r="D5" i="46" s="1"/>
  <c r="E22" i="46"/>
  <c r="F22" i="46"/>
  <c r="G22" i="46"/>
  <c r="H22" i="46"/>
  <c r="D22" i="46"/>
  <c r="O28" i="4" l="1"/>
  <c r="I122" i="32"/>
  <c r="I249" i="32"/>
  <c r="I80" i="32"/>
  <c r="I246" i="32"/>
  <c r="O22" i="4"/>
  <c r="I12" i="32"/>
  <c r="I252" i="32" s="1"/>
  <c r="I248" i="32"/>
  <c r="K12" i="48"/>
  <c r="I251" i="32"/>
  <c r="I123" i="32"/>
  <c r="I258" i="32"/>
  <c r="J19" i="32"/>
  <c r="J180" i="32"/>
  <c r="J18" i="32"/>
  <c r="J9" i="32"/>
  <c r="J17" i="32"/>
  <c r="J8" i="32"/>
  <c r="J11" i="32"/>
  <c r="J7" i="32"/>
  <c r="P29" i="4" s="1"/>
  <c r="J262" i="32"/>
  <c r="M23" i="48"/>
  <c r="K22" i="32"/>
  <c r="K6" i="32" s="1"/>
  <c r="J6" i="32"/>
  <c r="H18" i="28"/>
  <c r="H127" i="28" s="1"/>
  <c r="H126" i="28"/>
  <c r="L120" i="28"/>
  <c r="B21" i="59"/>
  <c r="B80" i="59"/>
  <c r="T49" i="4"/>
  <c r="J137" i="28"/>
  <c r="J83" i="28"/>
  <c r="E62" i="59" s="1"/>
  <c r="J161" i="32"/>
  <c r="J243" i="32" s="1"/>
  <c r="P3" i="4"/>
  <c r="K58" i="28"/>
  <c r="K59" i="28" s="1"/>
  <c r="K85" i="28" s="1"/>
  <c r="K97" i="28" s="1"/>
  <c r="K140" i="28"/>
  <c r="K118" i="28"/>
  <c r="K148" i="28"/>
  <c r="Q42" i="4"/>
  <c r="Q46" i="4" s="1"/>
  <c r="Q31" i="48"/>
  <c r="J63" i="28"/>
  <c r="P34" i="4"/>
  <c r="I12" i="28"/>
  <c r="I123" i="28" s="1"/>
  <c r="I145" i="28"/>
  <c r="L53" i="28"/>
  <c r="L54" i="28" s="1"/>
  <c r="L139" i="28"/>
  <c r="H76" i="28"/>
  <c r="H88" i="28"/>
  <c r="H96" i="28" s="1"/>
  <c r="H99" i="28" s="1"/>
  <c r="L57" i="28"/>
  <c r="L144" i="28"/>
  <c r="M52" i="28"/>
  <c r="M116" i="28" s="1"/>
  <c r="M138" i="28"/>
  <c r="L56" i="28"/>
  <c r="R9" i="4" s="1"/>
  <c r="L143" i="28"/>
  <c r="K265" i="32"/>
  <c r="Q21" i="4"/>
  <c r="J85" i="28"/>
  <c r="J97" i="28" s="1"/>
  <c r="K94" i="28"/>
  <c r="K68" i="28"/>
  <c r="K75" i="28"/>
  <c r="O50" i="32"/>
  <c r="N289" i="32"/>
  <c r="K67" i="32"/>
  <c r="K255" i="32"/>
  <c r="O51" i="32"/>
  <c r="N290" i="32"/>
  <c r="O53" i="32"/>
  <c r="N292" i="32"/>
  <c r="O52" i="32"/>
  <c r="N291" i="32"/>
  <c r="L68" i="32"/>
  <c r="L256" i="32"/>
  <c r="I170" i="32"/>
  <c r="I178" i="32" s="1"/>
  <c r="I20" i="32" s="1"/>
  <c r="H170" i="32"/>
  <c r="H178" i="32" s="1"/>
  <c r="H20" i="32" s="1"/>
  <c r="H252" i="32"/>
  <c r="K72" i="32"/>
  <c r="N16" i="48"/>
  <c r="M9" i="28"/>
  <c r="L164" i="32"/>
  <c r="O49" i="32"/>
  <c r="O288" i="32" s="1"/>
  <c r="N17" i="48"/>
  <c r="M19" i="48"/>
  <c r="L14" i="28" s="1"/>
  <c r="L124" i="28" s="1"/>
  <c r="M16" i="32"/>
  <c r="S19" i="4" s="1"/>
  <c r="J11" i="28"/>
  <c r="J122" i="28" s="1"/>
  <c r="Q28" i="48"/>
  <c r="L6" i="28"/>
  <c r="L25" i="32"/>
  <c r="L15" i="32"/>
  <c r="R20" i="4" s="1"/>
  <c r="P26" i="48"/>
  <c r="Q27" i="48"/>
  <c r="N4" i="28"/>
  <c r="M10" i="28"/>
  <c r="M121" i="28" s="1"/>
  <c r="M5" i="28"/>
  <c r="N117" i="28"/>
  <c r="P6" i="48"/>
  <c r="L50" i="28"/>
  <c r="L2" i="28" s="1"/>
  <c r="M2" i="48" s="1"/>
  <c r="K3" i="32"/>
  <c r="K115" i="28"/>
  <c r="D45" i="46"/>
  <c r="P8" i="48"/>
  <c r="R4" i="48"/>
  <c r="Q4" i="48"/>
  <c r="E70" i="32"/>
  <c r="F70" i="32"/>
  <c r="D70" i="32"/>
  <c r="G70" i="32"/>
  <c r="G76" i="32"/>
  <c r="D76" i="32"/>
  <c r="H104" i="46"/>
  <c r="H101" i="46"/>
  <c r="D106" i="32"/>
  <c r="F76" i="32"/>
  <c r="G106" i="32"/>
  <c r="C106" i="32"/>
  <c r="F106" i="32"/>
  <c r="E106" i="32"/>
  <c r="C59" i="28"/>
  <c r="E76" i="32"/>
  <c r="C70" i="32"/>
  <c r="C76" i="32"/>
  <c r="F32" i="46"/>
  <c r="F59" i="28"/>
  <c r="D59" i="28"/>
  <c r="G59" i="28"/>
  <c r="E59" i="28"/>
  <c r="H32" i="46"/>
  <c r="G33" i="46"/>
  <c r="H67" i="28" l="1"/>
  <c r="H69" i="28" s="1"/>
  <c r="H54" i="32"/>
  <c r="H55" i="32" s="1"/>
  <c r="H74" i="28"/>
  <c r="N50" i="4"/>
  <c r="Q28" i="4"/>
  <c r="N23" i="48"/>
  <c r="L22" i="32"/>
  <c r="J87" i="32"/>
  <c r="J247" i="32"/>
  <c r="P22" i="4"/>
  <c r="L12" i="48"/>
  <c r="J109" i="32"/>
  <c r="J251" i="32"/>
  <c r="J125" i="32"/>
  <c r="J80" i="32"/>
  <c r="J248" i="32"/>
  <c r="J257" i="32"/>
  <c r="J92" i="32"/>
  <c r="J123" i="32"/>
  <c r="J81" i="32"/>
  <c r="J249" i="32"/>
  <c r="J258" i="32"/>
  <c r="J93" i="32"/>
  <c r="K262" i="32"/>
  <c r="K19" i="32"/>
  <c r="K8" i="32"/>
  <c r="K180" i="32"/>
  <c r="K7" i="32"/>
  <c r="Q29" i="4" s="1"/>
  <c r="K18" i="32"/>
  <c r="K11" i="32"/>
  <c r="K17" i="32"/>
  <c r="K9" i="32"/>
  <c r="J69" i="32"/>
  <c r="J259" i="32"/>
  <c r="J86" i="32"/>
  <c r="J246" i="32"/>
  <c r="J122" i="32"/>
  <c r="P28" i="4"/>
  <c r="J12" i="32"/>
  <c r="M120" i="28"/>
  <c r="U49" i="4"/>
  <c r="B22" i="59"/>
  <c r="B81" i="59"/>
  <c r="K137" i="28"/>
  <c r="K83" i="28"/>
  <c r="F62" i="59" s="1"/>
  <c r="K161" i="32"/>
  <c r="K243" i="32" s="1"/>
  <c r="Q3" i="4"/>
  <c r="L58" i="28"/>
  <c r="L59" i="28" s="1"/>
  <c r="L85" i="28" s="1"/>
  <c r="L97" i="28" s="1"/>
  <c r="K63" i="28"/>
  <c r="Q34" i="4"/>
  <c r="R31" i="48"/>
  <c r="L148" i="28"/>
  <c r="R42" i="4"/>
  <c r="R46" i="4" s="1"/>
  <c r="N52" i="28"/>
  <c r="N116" i="28" s="1"/>
  <c r="N138" i="28"/>
  <c r="H60" i="28"/>
  <c r="H61" i="28" s="1"/>
  <c r="H101" i="28"/>
  <c r="H100" i="28"/>
  <c r="M53" i="28"/>
  <c r="M54" i="28" s="1"/>
  <c r="M139" i="28"/>
  <c r="M57" i="28"/>
  <c r="M144" i="28"/>
  <c r="H293" i="32"/>
  <c r="M56" i="28"/>
  <c r="M143" i="28"/>
  <c r="H77" i="28"/>
  <c r="C63" i="59" s="1"/>
  <c r="J12" i="28"/>
  <c r="J123" i="28" s="1"/>
  <c r="J145" i="28"/>
  <c r="L265" i="32"/>
  <c r="R21" i="4"/>
  <c r="L140" i="28"/>
  <c r="L118" i="28"/>
  <c r="I15" i="28"/>
  <c r="I125" i="28" s="1"/>
  <c r="I146" i="28"/>
  <c r="L94" i="28"/>
  <c r="L68" i="28"/>
  <c r="L75" i="28"/>
  <c r="P50" i="32"/>
  <c r="O289" i="32"/>
  <c r="L67" i="32"/>
  <c r="L255" i="32"/>
  <c r="I126" i="32"/>
  <c r="I127" i="32" s="1"/>
  <c r="I260" i="32"/>
  <c r="P52" i="32"/>
  <c r="O291" i="32"/>
  <c r="P51" i="32"/>
  <c r="O290" i="32"/>
  <c r="M68" i="32"/>
  <c r="M256" i="32"/>
  <c r="K246" i="32"/>
  <c r="H126" i="32"/>
  <c r="H127" i="32" s="1"/>
  <c r="H143" i="32" s="1"/>
  <c r="H260" i="32"/>
  <c r="P53" i="32"/>
  <c r="O292" i="32"/>
  <c r="L72" i="32"/>
  <c r="I21" i="32"/>
  <c r="I66" i="32"/>
  <c r="I70" i="32" s="1"/>
  <c r="K86" i="32"/>
  <c r="H21" i="32"/>
  <c r="N36" i="4" s="1"/>
  <c r="H66" i="32"/>
  <c r="H70" i="32" s="1"/>
  <c r="O16" i="48"/>
  <c r="N9" i="28"/>
  <c r="P49" i="32"/>
  <c r="P288" i="32" s="1"/>
  <c r="M164" i="32"/>
  <c r="N19" i="48"/>
  <c r="M14" i="28" s="1"/>
  <c r="M124" i="28" s="1"/>
  <c r="L6" i="32"/>
  <c r="R28" i="4" s="1"/>
  <c r="N16" i="32"/>
  <c r="T19" i="4" s="1"/>
  <c r="K11" i="28"/>
  <c r="K122" i="28" s="1"/>
  <c r="Q26" i="48"/>
  <c r="R27" i="48"/>
  <c r="M6" i="28"/>
  <c r="M25" i="32"/>
  <c r="M15" i="32"/>
  <c r="S20" i="4" s="1"/>
  <c r="R28" i="48"/>
  <c r="O4" i="28"/>
  <c r="N5" i="28"/>
  <c r="N139" i="28" s="1"/>
  <c r="N10" i="28"/>
  <c r="N121" i="28" s="1"/>
  <c r="M50" i="28"/>
  <c r="M2" i="28" s="1"/>
  <c r="N2" i="48" s="1"/>
  <c r="L3" i="32"/>
  <c r="L115" i="28"/>
  <c r="Q6" i="48"/>
  <c r="O117" i="28"/>
  <c r="G32" i="46"/>
  <c r="H33" i="46"/>
  <c r="E33" i="46"/>
  <c r="F33" i="46"/>
  <c r="E32" i="46"/>
  <c r="Q8" i="48"/>
  <c r="E78" i="32"/>
  <c r="E84" i="32" s="1"/>
  <c r="E88" i="32" s="1"/>
  <c r="E90" i="32" s="1"/>
  <c r="E97" i="32" s="1"/>
  <c r="E7" i="46"/>
  <c r="E37" i="46"/>
  <c r="G7" i="46"/>
  <c r="G37" i="46"/>
  <c r="H7" i="46"/>
  <c r="H37" i="46"/>
  <c r="D7" i="46"/>
  <c r="D37" i="46"/>
  <c r="D33" i="46"/>
  <c r="D32" i="46"/>
  <c r="F7" i="46"/>
  <c r="F37" i="46"/>
  <c r="F78" i="32"/>
  <c r="F84" i="32" s="1"/>
  <c r="D78" i="32"/>
  <c r="D84" i="32" s="1"/>
  <c r="D88" i="32" s="1"/>
  <c r="D90" i="32" s="1"/>
  <c r="D97" i="32" s="1"/>
  <c r="G78" i="32"/>
  <c r="G84" i="32" s="1"/>
  <c r="G88" i="32" s="1"/>
  <c r="D112" i="46"/>
  <c r="D115" i="46"/>
  <c r="F87" i="46"/>
  <c r="C115" i="46"/>
  <c r="C112" i="46"/>
  <c r="F140" i="32"/>
  <c r="D142" i="32"/>
  <c r="E141" i="32"/>
  <c r="E85" i="28"/>
  <c r="F85" i="28"/>
  <c r="G85" i="28"/>
  <c r="D85" i="28"/>
  <c r="C143" i="32"/>
  <c r="C85" i="28"/>
  <c r="C78" i="32"/>
  <c r="E139" i="32"/>
  <c r="E143" i="32"/>
  <c r="E142" i="32"/>
  <c r="E140" i="32"/>
  <c r="C140" i="32"/>
  <c r="F141" i="32"/>
  <c r="C139" i="32"/>
  <c r="F143" i="32"/>
  <c r="G143" i="32"/>
  <c r="G139" i="32"/>
  <c r="G141" i="32"/>
  <c r="D141" i="32"/>
  <c r="D143" i="32"/>
  <c r="F142" i="32"/>
  <c r="G142" i="32"/>
  <c r="C142" i="32"/>
  <c r="D140" i="32"/>
  <c r="F139" i="32"/>
  <c r="D139" i="32"/>
  <c r="G140" i="32"/>
  <c r="C141" i="32"/>
  <c r="K12" i="32" l="1"/>
  <c r="K252" i="32" s="1"/>
  <c r="K259" i="32"/>
  <c r="K69" i="32"/>
  <c r="J170" i="32"/>
  <c r="J178" i="32" s="1"/>
  <c r="J20" i="32" s="1"/>
  <c r="J252" i="32"/>
  <c r="K80" i="32"/>
  <c r="K248" i="32"/>
  <c r="K81" i="32"/>
  <c r="K249" i="32"/>
  <c r="K92" i="32"/>
  <c r="K123" i="32"/>
  <c r="K257" i="32"/>
  <c r="K122" i="32"/>
  <c r="K251" i="32"/>
  <c r="K109" i="32"/>
  <c r="K125" i="32"/>
  <c r="K93" i="32"/>
  <c r="K258" i="32"/>
  <c r="L262" i="32"/>
  <c r="L17" i="32"/>
  <c r="L11" i="32"/>
  <c r="L18" i="32"/>
  <c r="L19" i="32"/>
  <c r="L180" i="32"/>
  <c r="L8" i="32"/>
  <c r="L7" i="32"/>
  <c r="R29" i="4" s="1"/>
  <c r="L9" i="32"/>
  <c r="M12" i="48"/>
  <c r="K87" i="32"/>
  <c r="Q22" i="4"/>
  <c r="K247" i="32"/>
  <c r="O23" i="48"/>
  <c r="M22" i="32"/>
  <c r="N120" i="28"/>
  <c r="E91" i="59"/>
  <c r="C65" i="59"/>
  <c r="C67" i="59" s="1"/>
  <c r="C69" i="59" s="1"/>
  <c r="C79" i="59" s="1"/>
  <c r="E79" i="59" s="1"/>
  <c r="B23" i="59"/>
  <c r="B82" i="59"/>
  <c r="L137" i="28"/>
  <c r="L83" i="28"/>
  <c r="G62" i="59" s="1"/>
  <c r="L161" i="32"/>
  <c r="L243" i="32" s="1"/>
  <c r="R3" i="4"/>
  <c r="V49" i="4"/>
  <c r="N6" i="4"/>
  <c r="N10" i="4" s="1"/>
  <c r="H64" i="28"/>
  <c r="M148" i="28"/>
  <c r="S42" i="4"/>
  <c r="S46" i="4" s="1"/>
  <c r="I16" i="28"/>
  <c r="I147" i="28"/>
  <c r="I149" i="28"/>
  <c r="M58" i="28"/>
  <c r="M59" i="28" s="1"/>
  <c r="M85" i="28" s="1"/>
  <c r="M97" i="28" s="1"/>
  <c r="S9" i="4"/>
  <c r="L63" i="28"/>
  <c r="R34" i="4"/>
  <c r="H43" i="32"/>
  <c r="H108" i="32"/>
  <c r="H135" i="32"/>
  <c r="H294" i="32"/>
  <c r="O52" i="28"/>
  <c r="O116" i="28" s="1"/>
  <c r="O138" i="28"/>
  <c r="N57" i="28"/>
  <c r="N144" i="28"/>
  <c r="K12" i="28"/>
  <c r="K123" i="28" s="1"/>
  <c r="K145" i="28"/>
  <c r="N56" i="28"/>
  <c r="T9" i="4" s="1"/>
  <c r="N143" i="28"/>
  <c r="M118" i="28"/>
  <c r="M140" i="28"/>
  <c r="O36" i="4"/>
  <c r="M265" i="32"/>
  <c r="S21" i="4"/>
  <c r="J15" i="28"/>
  <c r="J125" i="28" s="1"/>
  <c r="J146" i="28"/>
  <c r="M94" i="28"/>
  <c r="M68" i="28"/>
  <c r="M75" i="28"/>
  <c r="N6" i="28"/>
  <c r="N53" i="28"/>
  <c r="N54" i="28" s="1"/>
  <c r="M67" i="32"/>
  <c r="M255" i="32"/>
  <c r="N68" i="32"/>
  <c r="N256" i="32"/>
  <c r="Q53" i="32"/>
  <c r="Q292" i="32" s="1"/>
  <c r="P292" i="32"/>
  <c r="L246" i="32"/>
  <c r="H179" i="32"/>
  <c r="H261" i="32"/>
  <c r="Q51" i="32"/>
  <c r="Q290" i="32" s="1"/>
  <c r="P290" i="32"/>
  <c r="Q50" i="32"/>
  <c r="P289" i="32"/>
  <c r="I179" i="32"/>
  <c r="I261" i="32"/>
  <c r="Q52" i="32"/>
  <c r="Q291" i="32" s="1"/>
  <c r="P291" i="32"/>
  <c r="I141" i="32"/>
  <c r="I139" i="32"/>
  <c r="I140" i="32"/>
  <c r="I142" i="32"/>
  <c r="I143" i="32"/>
  <c r="H141" i="32"/>
  <c r="H142" i="32"/>
  <c r="H140" i="32"/>
  <c r="H139" i="32"/>
  <c r="M72" i="32"/>
  <c r="L86" i="32"/>
  <c r="P16" i="48"/>
  <c r="O9" i="28"/>
  <c r="N164" i="32"/>
  <c r="Q49" i="32"/>
  <c r="Q288" i="32" s="1"/>
  <c r="P17" i="48"/>
  <c r="O19" i="48"/>
  <c r="N14" i="28" s="1"/>
  <c r="N124" i="28" s="1"/>
  <c r="O16" i="32"/>
  <c r="U19" i="4" s="1"/>
  <c r="L11" i="28"/>
  <c r="L122" i="28" s="1"/>
  <c r="N15" i="32"/>
  <c r="T20" i="4" s="1"/>
  <c r="N25" i="32"/>
  <c r="R26" i="48"/>
  <c r="P4" i="28"/>
  <c r="O5" i="28"/>
  <c r="O139" i="28" s="1"/>
  <c r="O10" i="28"/>
  <c r="O121" i="28" s="1"/>
  <c r="R6" i="48"/>
  <c r="Q117" i="28" s="1"/>
  <c r="P117" i="28"/>
  <c r="N50" i="28"/>
  <c r="N2" i="28" s="1"/>
  <c r="O2" i="48" s="1"/>
  <c r="M3" i="32"/>
  <c r="M115" i="28"/>
  <c r="R8" i="48"/>
  <c r="E84" i="28"/>
  <c r="E89" i="46"/>
  <c r="D84" i="28"/>
  <c r="D75" i="46"/>
  <c r="H98" i="46"/>
  <c r="G90" i="32"/>
  <c r="G97" i="32" s="1"/>
  <c r="G84" i="28"/>
  <c r="E112" i="46"/>
  <c r="F88" i="32"/>
  <c r="F98" i="46"/>
  <c r="C75" i="46"/>
  <c r="E115" i="46"/>
  <c r="C84" i="32"/>
  <c r="C88" i="32" s="1"/>
  <c r="E144" i="32"/>
  <c r="D144" i="32"/>
  <c r="C144" i="32"/>
  <c r="G144" i="32"/>
  <c r="F144" i="32"/>
  <c r="K170" i="32" l="1"/>
  <c r="K178" i="32" s="1"/>
  <c r="K20" i="32" s="1"/>
  <c r="K66" i="32" s="1"/>
  <c r="K70" i="32" s="1"/>
  <c r="L122" i="32"/>
  <c r="L12" i="32"/>
  <c r="L252" i="32" s="1"/>
  <c r="P23" i="48"/>
  <c r="N22" i="32"/>
  <c r="L258" i="32"/>
  <c r="L93" i="32"/>
  <c r="M262" i="32"/>
  <c r="M18" i="32"/>
  <c r="M17" i="32"/>
  <c r="M7" i="32"/>
  <c r="S29" i="4" s="1"/>
  <c r="M9" i="32"/>
  <c r="M11" i="32"/>
  <c r="M8" i="32"/>
  <c r="M19" i="32"/>
  <c r="M180" i="32"/>
  <c r="L251" i="32"/>
  <c r="L109" i="32"/>
  <c r="L125" i="32"/>
  <c r="L92" i="32"/>
  <c r="L123" i="32"/>
  <c r="L257" i="32"/>
  <c r="L69" i="32"/>
  <c r="L259" i="32"/>
  <c r="M6" i="32"/>
  <c r="L249" i="32"/>
  <c r="L81" i="32"/>
  <c r="J66" i="32"/>
  <c r="J70" i="32" s="1"/>
  <c r="J21" i="32"/>
  <c r="J126" i="32"/>
  <c r="J260" i="32"/>
  <c r="L87" i="32"/>
  <c r="N12" i="48"/>
  <c r="L247" i="32"/>
  <c r="R22" i="4"/>
  <c r="L80" i="32"/>
  <c r="L248" i="32"/>
  <c r="O120" i="28"/>
  <c r="I18" i="28"/>
  <c r="I127" i="28" s="1"/>
  <c r="I126" i="28"/>
  <c r="B24" i="59"/>
  <c r="B83" i="59"/>
  <c r="M137" i="28"/>
  <c r="M83" i="28"/>
  <c r="H62" i="59" s="1"/>
  <c r="M161" i="32"/>
  <c r="M243" i="32" s="1"/>
  <c r="S3" i="4"/>
  <c r="Q289" i="32"/>
  <c r="W49" i="4"/>
  <c r="K15" i="28"/>
  <c r="K125" i="28" s="1"/>
  <c r="K146" i="28"/>
  <c r="N118" i="28"/>
  <c r="N140" i="28"/>
  <c r="J16" i="28"/>
  <c r="J149" i="28"/>
  <c r="J147" i="28"/>
  <c r="O50" i="4"/>
  <c r="P52" i="28"/>
  <c r="P116" i="28" s="1"/>
  <c r="P138" i="28"/>
  <c r="I76" i="28"/>
  <c r="I88" i="28"/>
  <c r="I96" i="28" s="1"/>
  <c r="I99" i="28" s="1"/>
  <c r="M63" i="28"/>
  <c r="S34" i="4"/>
  <c r="H41" i="32"/>
  <c r="H283" i="32"/>
  <c r="H28" i="32"/>
  <c r="H29" i="32"/>
  <c r="H219" i="32"/>
  <c r="H229" i="32"/>
  <c r="H32" i="32"/>
  <c r="H30" i="32"/>
  <c r="H39" i="32"/>
  <c r="H217" i="32"/>
  <c r="H230" i="32"/>
  <c r="H31" i="32"/>
  <c r="H218" i="32"/>
  <c r="H33" i="32"/>
  <c r="H46" i="32"/>
  <c r="H285" i="32" s="1"/>
  <c r="H56" i="32"/>
  <c r="H235" i="32"/>
  <c r="N148" i="28"/>
  <c r="T42" i="4"/>
  <c r="T46" i="4" s="1"/>
  <c r="N265" i="32"/>
  <c r="T21" i="4"/>
  <c r="O57" i="28"/>
  <c r="O144" i="28"/>
  <c r="L12" i="28"/>
  <c r="L123" i="28" s="1"/>
  <c r="L145" i="28"/>
  <c r="O56" i="28"/>
  <c r="U9" i="4" s="1"/>
  <c r="O143" i="28"/>
  <c r="N58" i="28"/>
  <c r="N59" i="28" s="1"/>
  <c r="N85" i="28" s="1"/>
  <c r="N97" i="28" s="1"/>
  <c r="O6" i="28"/>
  <c r="O53" i="28"/>
  <c r="O54" i="28" s="1"/>
  <c r="N94" i="28"/>
  <c r="N68" i="28"/>
  <c r="N75" i="28"/>
  <c r="L170" i="32"/>
  <c r="L178" i="32" s="1"/>
  <c r="L20" i="32" s="1"/>
  <c r="O68" i="32"/>
  <c r="O256" i="32"/>
  <c r="N67" i="32"/>
  <c r="N255" i="32"/>
  <c r="H144" i="32"/>
  <c r="I144" i="32"/>
  <c r="N72" i="32"/>
  <c r="Q16" i="48"/>
  <c r="P9" i="28"/>
  <c r="Q17" i="48"/>
  <c r="P19" i="48"/>
  <c r="O14" i="28" s="1"/>
  <c r="O124" i="28" s="1"/>
  <c r="O164" i="32"/>
  <c r="P16" i="32"/>
  <c r="V19" i="4" s="1"/>
  <c r="M11" i="28"/>
  <c r="M122" i="28" s="1"/>
  <c r="O25" i="32"/>
  <c r="O15" i="32"/>
  <c r="U20" i="4" s="1"/>
  <c r="Q4" i="28"/>
  <c r="P5" i="28"/>
  <c r="P139" i="28" s="1"/>
  <c r="P10" i="28"/>
  <c r="P121" i="28" s="1"/>
  <c r="O50" i="28"/>
  <c r="O2" i="28" s="1"/>
  <c r="P2" i="48" s="1"/>
  <c r="N3" i="32"/>
  <c r="N115" i="28"/>
  <c r="E75" i="46"/>
  <c r="F90" i="32"/>
  <c r="F97" i="32" s="1"/>
  <c r="F84" i="28"/>
  <c r="C76" i="46"/>
  <c r="D113" i="46"/>
  <c r="D116" i="46"/>
  <c r="C116" i="46"/>
  <c r="C113" i="46"/>
  <c r="D76" i="46"/>
  <c r="C90" i="32"/>
  <c r="C97" i="32" s="1"/>
  <c r="C84" i="28"/>
  <c r="C94" i="46"/>
  <c r="F11" i="28"/>
  <c r="F122" i="28" s="1"/>
  <c r="E11" i="28"/>
  <c r="E122" i="28" s="1"/>
  <c r="D11" i="28"/>
  <c r="D122" i="28" s="1"/>
  <c r="C11" i="28"/>
  <c r="C122" i="28" s="1"/>
  <c r="G11" i="28"/>
  <c r="F6" i="28"/>
  <c r="E6" i="28"/>
  <c r="D6" i="28"/>
  <c r="C6" i="28"/>
  <c r="C118" i="28" s="1"/>
  <c r="G6" i="28"/>
  <c r="H140" i="28" s="1"/>
  <c r="K21" i="32" l="1"/>
  <c r="Q36" i="4" s="1"/>
  <c r="K260" i="32"/>
  <c r="K126" i="32"/>
  <c r="K127" i="32" s="1"/>
  <c r="K141" i="32" s="1"/>
  <c r="I54" i="32"/>
  <c r="I293" i="32" s="1"/>
  <c r="S22" i="4"/>
  <c r="M251" i="32"/>
  <c r="M109" i="32"/>
  <c r="M125" i="32"/>
  <c r="M81" i="32"/>
  <c r="M249" i="32"/>
  <c r="M80" i="32"/>
  <c r="M248" i="32"/>
  <c r="O12" i="48"/>
  <c r="M87" i="32"/>
  <c r="M247" i="32"/>
  <c r="M122" i="32"/>
  <c r="M86" i="32"/>
  <c r="M246" i="32"/>
  <c r="M12" i="32"/>
  <c r="S28" i="4"/>
  <c r="M257" i="32"/>
  <c r="M92" i="32"/>
  <c r="M123" i="32"/>
  <c r="M93" i="32"/>
  <c r="M258" i="32"/>
  <c r="J127" i="32"/>
  <c r="J143" i="32" s="1"/>
  <c r="J179" i="32"/>
  <c r="J261" i="32"/>
  <c r="P36" i="4"/>
  <c r="N262" i="32"/>
  <c r="N11" i="32"/>
  <c r="N180" i="32"/>
  <c r="N19" i="32"/>
  <c r="N17" i="32"/>
  <c r="N18" i="32"/>
  <c r="N7" i="32"/>
  <c r="T29" i="4" s="1"/>
  <c r="N9" i="32"/>
  <c r="N8" i="32"/>
  <c r="I74" i="28"/>
  <c r="I77" i="28" s="1"/>
  <c r="D63" i="59" s="1"/>
  <c r="Q23" i="48"/>
  <c r="O22" i="32"/>
  <c r="I67" i="28"/>
  <c r="I69" i="28" s="1"/>
  <c r="M259" i="32"/>
  <c r="M69" i="32"/>
  <c r="N6" i="32"/>
  <c r="J18" i="28"/>
  <c r="J127" i="28" s="1"/>
  <c r="J126" i="28"/>
  <c r="P120" i="28"/>
  <c r="B25" i="59"/>
  <c r="B84" i="59"/>
  <c r="N137" i="28"/>
  <c r="N83" i="28"/>
  <c r="I62" i="59" s="1"/>
  <c r="N161" i="32"/>
  <c r="N243" i="32" s="1"/>
  <c r="T3" i="4"/>
  <c r="H226" i="32"/>
  <c r="H232" i="32" s="1"/>
  <c r="H40" i="32" s="1"/>
  <c r="H280" i="32" s="1"/>
  <c r="G122" i="28"/>
  <c r="H145" i="28"/>
  <c r="H271" i="32"/>
  <c r="H74" i="32"/>
  <c r="I55" i="32"/>
  <c r="N48" i="4"/>
  <c r="N51" i="4" s="1"/>
  <c r="N53" i="4" s="1"/>
  <c r="H133" i="32"/>
  <c r="H279" i="32"/>
  <c r="H98" i="28"/>
  <c r="H110" i="32"/>
  <c r="H111" i="32" s="1"/>
  <c r="H112" i="32" s="1"/>
  <c r="P56" i="28"/>
  <c r="V9" i="4" s="1"/>
  <c r="P143" i="28"/>
  <c r="P57" i="28"/>
  <c r="P144" i="28"/>
  <c r="N63" i="28"/>
  <c r="T34" i="4"/>
  <c r="H270" i="32"/>
  <c r="H95" i="32"/>
  <c r="I60" i="28"/>
  <c r="I61" i="28" s="1"/>
  <c r="I101" i="28"/>
  <c r="I102" i="28" s="1"/>
  <c r="I100" i="28"/>
  <c r="M12" i="28"/>
  <c r="M123" i="28" s="1"/>
  <c r="M145" i="28"/>
  <c r="H96" i="32"/>
  <c r="H272" i="32"/>
  <c r="J76" i="28"/>
  <c r="J88" i="28"/>
  <c r="J96" i="28" s="1"/>
  <c r="J99" i="28" s="1"/>
  <c r="Q52" i="28"/>
  <c r="Q116" i="28" s="1"/>
  <c r="Q138" i="28"/>
  <c r="O265" i="32"/>
  <c r="U21" i="4"/>
  <c r="H59" i="32"/>
  <c r="H295" i="32"/>
  <c r="N37" i="4"/>
  <c r="H269" i="32"/>
  <c r="H94" i="32"/>
  <c r="H130" i="32"/>
  <c r="O148" i="28"/>
  <c r="U42" i="4"/>
  <c r="U46" i="4" s="1"/>
  <c r="H268" i="32"/>
  <c r="H73" i="32"/>
  <c r="H34" i="32"/>
  <c r="H274" i="32" s="1"/>
  <c r="O118" i="28"/>
  <c r="O140" i="28"/>
  <c r="N23" i="4"/>
  <c r="H75" i="32"/>
  <c r="H273" i="32"/>
  <c r="K16" i="28"/>
  <c r="K149" i="28"/>
  <c r="K147" i="28"/>
  <c r="O58" i="28"/>
  <c r="O59" i="28" s="1"/>
  <c r="O85" i="28" s="1"/>
  <c r="O97" i="28" s="1"/>
  <c r="L15" i="28"/>
  <c r="L125" i="28" s="1"/>
  <c r="L146" i="28"/>
  <c r="H83" i="32"/>
  <c r="H281" i="32"/>
  <c r="K143" i="32"/>
  <c r="P6" i="28"/>
  <c r="P53" i="28"/>
  <c r="P54" i="28" s="1"/>
  <c r="O94" i="28"/>
  <c r="O68" i="28"/>
  <c r="O75" i="28"/>
  <c r="O67" i="32"/>
  <c r="O255" i="32"/>
  <c r="L126" i="32"/>
  <c r="L127" i="32" s="1"/>
  <c r="L260" i="32"/>
  <c r="K179" i="32"/>
  <c r="K261" i="32"/>
  <c r="K140" i="32"/>
  <c r="P68" i="32"/>
  <c r="P256" i="32"/>
  <c r="K142" i="32"/>
  <c r="K139" i="32"/>
  <c r="L66" i="32"/>
  <c r="L70" i="32" s="1"/>
  <c r="L21" i="32"/>
  <c r="R36" i="4" s="1"/>
  <c r="O72" i="32"/>
  <c r="R16" i="48"/>
  <c r="Q9" i="28"/>
  <c r="R17" i="48"/>
  <c r="R19" i="48" s="1"/>
  <c r="Q14" i="28" s="1"/>
  <c r="Q124" i="28" s="1"/>
  <c r="Q19" i="48"/>
  <c r="P14" i="28" s="1"/>
  <c r="P124" i="28" s="1"/>
  <c r="P164" i="32"/>
  <c r="O6" i="32"/>
  <c r="N11" i="28"/>
  <c r="N122" i="28" s="1"/>
  <c r="Q16" i="32"/>
  <c r="W19" i="4" s="1"/>
  <c r="P15" i="32"/>
  <c r="V20" i="4" s="1"/>
  <c r="P25" i="32"/>
  <c r="Q5" i="28"/>
  <c r="Q10" i="28"/>
  <c r="Q121" i="28" s="1"/>
  <c r="P50" i="28"/>
  <c r="P2" i="28" s="1"/>
  <c r="Q2" i="48" s="1"/>
  <c r="O3" i="32"/>
  <c r="O115" i="28"/>
  <c r="E76" i="46"/>
  <c r="E118" i="28"/>
  <c r="E140" i="28"/>
  <c r="F118" i="28"/>
  <c r="F140" i="28"/>
  <c r="D118" i="28"/>
  <c r="D140" i="28"/>
  <c r="E144" i="28"/>
  <c r="G144" i="28"/>
  <c r="D144" i="28"/>
  <c r="F144" i="28"/>
  <c r="G118" i="28"/>
  <c r="G140" i="28"/>
  <c r="E116" i="46"/>
  <c r="E113" i="46"/>
  <c r="E111" i="32"/>
  <c r="E112" i="32" s="1"/>
  <c r="C111" i="32"/>
  <c r="C112" i="32" s="1"/>
  <c r="G111" i="32"/>
  <c r="G112" i="32" s="1"/>
  <c r="F111" i="32"/>
  <c r="F112" i="32" s="1"/>
  <c r="D111" i="32"/>
  <c r="D112" i="32" s="1"/>
  <c r="D12" i="28"/>
  <c r="E39" i="46" s="1"/>
  <c r="G12" i="28"/>
  <c r="H146" i="28" s="1"/>
  <c r="E12" i="28"/>
  <c r="F12" i="28"/>
  <c r="C12" i="28"/>
  <c r="U28" i="4" l="1"/>
  <c r="J74" i="28"/>
  <c r="J67" i="28"/>
  <c r="J69" i="28" s="1"/>
  <c r="P50" i="4"/>
  <c r="N80" i="32"/>
  <c r="N248" i="32"/>
  <c r="N249" i="32"/>
  <c r="N81" i="32"/>
  <c r="J141" i="32"/>
  <c r="J140" i="32"/>
  <c r="J142" i="32"/>
  <c r="J139" i="32"/>
  <c r="P12" i="48"/>
  <c r="N87" i="32"/>
  <c r="N247" i="32"/>
  <c r="T22" i="4"/>
  <c r="N93" i="32"/>
  <c r="N258" i="32"/>
  <c r="N123" i="32"/>
  <c r="N257" i="32"/>
  <c r="N92" i="32"/>
  <c r="N259" i="32"/>
  <c r="N69" i="32"/>
  <c r="N251" i="32"/>
  <c r="N109" i="32"/>
  <c r="N125" i="32"/>
  <c r="O262" i="32"/>
  <c r="O17" i="32"/>
  <c r="O11" i="32"/>
  <c r="O19" i="32"/>
  <c r="O9" i="32"/>
  <c r="O8" i="32"/>
  <c r="O7" i="32"/>
  <c r="U29" i="4" s="1"/>
  <c r="O180" i="32"/>
  <c r="O18" i="32"/>
  <c r="M252" i="32"/>
  <c r="M170" i="32"/>
  <c r="M178" i="32" s="1"/>
  <c r="M20" i="32" s="1"/>
  <c r="N12" i="32"/>
  <c r="T28" i="4"/>
  <c r="N86" i="32"/>
  <c r="N122" i="32"/>
  <c r="N246" i="32"/>
  <c r="R23" i="48"/>
  <c r="Q22" i="32" s="1"/>
  <c r="Q9" i="32" s="1"/>
  <c r="P22" i="32"/>
  <c r="P6" i="32" s="1"/>
  <c r="V28" i="4" s="1"/>
  <c r="J54" i="32"/>
  <c r="J55" i="32" s="1"/>
  <c r="Q120" i="28"/>
  <c r="K18" i="28"/>
  <c r="K127" i="28" s="1"/>
  <c r="K126" i="28"/>
  <c r="B26" i="59"/>
  <c r="B85" i="59"/>
  <c r="O161" i="32"/>
  <c r="O243" i="32" s="1"/>
  <c r="U3" i="4"/>
  <c r="O137" i="28"/>
  <c r="O83" i="28"/>
  <c r="J62" i="59" s="1"/>
  <c r="P58" i="28"/>
  <c r="P59" i="28" s="1"/>
  <c r="P85" i="28" s="1"/>
  <c r="P97" i="28" s="1"/>
  <c r="H129" i="32"/>
  <c r="H136" i="32" s="1"/>
  <c r="H147" i="32" s="1"/>
  <c r="H42" i="32"/>
  <c r="H82" i="32"/>
  <c r="N18" i="4"/>
  <c r="N24" i="4" s="1"/>
  <c r="N31" i="4" s="1"/>
  <c r="N38" i="4" s="1"/>
  <c r="H234" i="32"/>
  <c r="N12" i="28"/>
  <c r="N123" i="28" s="1"/>
  <c r="N145" i="28"/>
  <c r="J60" i="28"/>
  <c r="J61" i="28" s="1"/>
  <c r="J100" i="28"/>
  <c r="J101" i="28"/>
  <c r="J102" i="28" s="1"/>
  <c r="Q57" i="28"/>
  <c r="Q144" i="28"/>
  <c r="P118" i="28"/>
  <c r="P140" i="28"/>
  <c r="Q53" i="28"/>
  <c r="Q54" i="28" s="1"/>
  <c r="Q139" i="28"/>
  <c r="Q56" i="28"/>
  <c r="W9" i="4" s="1"/>
  <c r="Q143" i="28"/>
  <c r="H76" i="32"/>
  <c r="H78" i="32" s="1"/>
  <c r="M15" i="28"/>
  <c r="M125" i="28" s="1"/>
  <c r="M146" i="28"/>
  <c r="J77" i="28"/>
  <c r="E63" i="59" s="1"/>
  <c r="I108" i="32"/>
  <c r="I135" i="32"/>
  <c r="I43" i="32"/>
  <c r="I56" i="32" s="1"/>
  <c r="I294" i="32"/>
  <c r="L16" i="28"/>
  <c r="L126" i="28" s="1"/>
  <c r="L149" i="28"/>
  <c r="L147" i="28"/>
  <c r="V42" i="4"/>
  <c r="V46" i="4" s="1"/>
  <c r="P148" i="28"/>
  <c r="O63" i="28"/>
  <c r="U34" i="4"/>
  <c r="K76" i="28"/>
  <c r="K88" i="28"/>
  <c r="K96" i="28" s="1"/>
  <c r="K99" i="28" s="1"/>
  <c r="P265" i="32"/>
  <c r="V21" i="4"/>
  <c r="W42" i="4"/>
  <c r="W46" i="4" s="1"/>
  <c r="Q148" i="28"/>
  <c r="O6" i="4"/>
  <c r="O10" i="4" s="1"/>
  <c r="I64" i="28"/>
  <c r="K144" i="32"/>
  <c r="Q94" i="28"/>
  <c r="Q75" i="28"/>
  <c r="Q68" i="28"/>
  <c r="P94" i="28"/>
  <c r="P68" i="28"/>
  <c r="P75" i="28"/>
  <c r="L179" i="32"/>
  <c r="L261" i="32"/>
  <c r="O246" i="32"/>
  <c r="P67" i="32"/>
  <c r="P255" i="32"/>
  <c r="Q68" i="32"/>
  <c r="Q256" i="32"/>
  <c r="P72" i="32"/>
  <c r="L141" i="32"/>
  <c r="L142" i="32"/>
  <c r="L139" i="32"/>
  <c r="L140" i="32"/>
  <c r="L143" i="32"/>
  <c r="O86" i="32"/>
  <c r="Q164" i="32"/>
  <c r="O11" i="28"/>
  <c r="O122" i="28" s="1"/>
  <c r="Q6" i="28"/>
  <c r="Q25" i="32"/>
  <c r="Q15" i="32"/>
  <c r="W20" i="4" s="1"/>
  <c r="G145" i="28"/>
  <c r="H39" i="46"/>
  <c r="F145" i="28"/>
  <c r="G39" i="46"/>
  <c r="E145" i="28"/>
  <c r="F39" i="46"/>
  <c r="C123" i="28"/>
  <c r="D39" i="46"/>
  <c r="Q50" i="28"/>
  <c r="Q2" i="28" s="1"/>
  <c r="R2" i="48" s="1"/>
  <c r="P3" i="32"/>
  <c r="P115" i="28"/>
  <c r="D31" i="46"/>
  <c r="D34" i="46"/>
  <c r="E31" i="46"/>
  <c r="E34" i="46"/>
  <c r="F31" i="46"/>
  <c r="F34" i="46"/>
  <c r="H31" i="46"/>
  <c r="H34" i="46"/>
  <c r="G31" i="46"/>
  <c r="G34" i="46"/>
  <c r="D123" i="28"/>
  <c r="D145" i="28"/>
  <c r="G123" i="28"/>
  <c r="E123" i="28"/>
  <c r="F123" i="28"/>
  <c r="G152" i="32"/>
  <c r="F152" i="32"/>
  <c r="G99" i="32"/>
  <c r="F99" i="32"/>
  <c r="E99" i="32"/>
  <c r="C152" i="32"/>
  <c r="E152" i="32"/>
  <c r="D15" i="28"/>
  <c r="D99" i="32"/>
  <c r="D152" i="32"/>
  <c r="E15" i="28"/>
  <c r="G15" i="28"/>
  <c r="F15" i="28"/>
  <c r="C15" i="28"/>
  <c r="C87" i="28" s="1"/>
  <c r="Q50" i="4" l="1"/>
  <c r="O122" i="32"/>
  <c r="O12" i="32"/>
  <c r="Q11" i="32"/>
  <c r="Q109" i="32" s="1"/>
  <c r="J144" i="32"/>
  <c r="Q262" i="32"/>
  <c r="Q180" i="32"/>
  <c r="Q18" i="32"/>
  <c r="Q19" i="32"/>
  <c r="Q69" i="32" s="1"/>
  <c r="Q17" i="32"/>
  <c r="K74" i="28"/>
  <c r="O257" i="32"/>
  <c r="O123" i="32"/>
  <c r="O92" i="32"/>
  <c r="M260" i="32"/>
  <c r="M126" i="32"/>
  <c r="M21" i="32"/>
  <c r="M66" i="32"/>
  <c r="M70" i="32" s="1"/>
  <c r="N170" i="32"/>
  <c r="N178" i="32" s="1"/>
  <c r="N20" i="32" s="1"/>
  <c r="N252" i="32"/>
  <c r="O258" i="32"/>
  <c r="O93" i="32"/>
  <c r="U22" i="4"/>
  <c r="O247" i="32"/>
  <c r="O87" i="32"/>
  <c r="Q12" i="48"/>
  <c r="P262" i="32"/>
  <c r="P7" i="32"/>
  <c r="V29" i="4" s="1"/>
  <c r="P18" i="32"/>
  <c r="P180" i="32"/>
  <c r="P9" i="32"/>
  <c r="P17" i="32"/>
  <c r="P8" i="32"/>
  <c r="P11" i="32"/>
  <c r="P19" i="32"/>
  <c r="O248" i="32"/>
  <c r="O80" i="32"/>
  <c r="O81" i="32"/>
  <c r="O249" i="32"/>
  <c r="Q7" i="32"/>
  <c r="W29" i="4" s="1"/>
  <c r="K54" i="32"/>
  <c r="K55" i="32" s="1"/>
  <c r="O259" i="32"/>
  <c r="O69" i="32"/>
  <c r="Q8" i="32"/>
  <c r="Q80" i="32" s="1"/>
  <c r="J293" i="32"/>
  <c r="K67" i="28"/>
  <c r="K69" i="28" s="1"/>
  <c r="O251" i="32"/>
  <c r="O109" i="32"/>
  <c r="O125" i="32"/>
  <c r="B27" i="59"/>
  <c r="B86" i="59"/>
  <c r="P161" i="32"/>
  <c r="P243" i="32" s="1"/>
  <c r="V3" i="4"/>
  <c r="N57" i="4"/>
  <c r="D19" i="59"/>
  <c r="P137" i="28"/>
  <c r="P83" i="28"/>
  <c r="K62" i="59" s="1"/>
  <c r="H282" i="32"/>
  <c r="H84" i="32"/>
  <c r="H88" i="32" s="1"/>
  <c r="H147" i="28"/>
  <c r="H149" i="28"/>
  <c r="L76" i="28"/>
  <c r="L88" i="28"/>
  <c r="L96" i="28" s="1"/>
  <c r="L99" i="28" s="1"/>
  <c r="Q265" i="32"/>
  <c r="W21" i="4"/>
  <c r="K60" i="28"/>
  <c r="K61" i="28" s="1"/>
  <c r="K101" i="28"/>
  <c r="K102" i="28" s="1"/>
  <c r="K100" i="28"/>
  <c r="I295" i="32"/>
  <c r="I59" i="32"/>
  <c r="Q118" i="28"/>
  <c r="Q140" i="28"/>
  <c r="Q63" i="28"/>
  <c r="W34" i="4"/>
  <c r="P6" i="4"/>
  <c r="P10" i="4" s="1"/>
  <c r="J64" i="28"/>
  <c r="I283" i="32"/>
  <c r="I217" i="32"/>
  <c r="I229" i="32"/>
  <c r="I230" i="32"/>
  <c r="I32" i="32"/>
  <c r="I30" i="32"/>
  <c r="I219" i="32"/>
  <c r="I29" i="32"/>
  <c r="I39" i="32"/>
  <c r="I31" i="32"/>
  <c r="I33" i="32"/>
  <c r="I235" i="32"/>
  <c r="I218" i="32"/>
  <c r="I41" i="32"/>
  <c r="I46" i="32"/>
  <c r="I285" i="32" s="1"/>
  <c r="I28" i="32"/>
  <c r="J43" i="32"/>
  <c r="J56" i="32" s="1"/>
  <c r="J294" i="32"/>
  <c r="J108" i="32"/>
  <c r="J135" i="32"/>
  <c r="P63" i="28"/>
  <c r="V34" i="4"/>
  <c r="N15" i="28"/>
  <c r="N125" i="28" s="1"/>
  <c r="N146" i="28"/>
  <c r="H150" i="32"/>
  <c r="H146" i="32"/>
  <c r="H149" i="32"/>
  <c r="H152" i="32"/>
  <c r="H151" i="32"/>
  <c r="H148" i="32"/>
  <c r="L18" i="28"/>
  <c r="L127" i="28" s="1"/>
  <c r="K77" i="28"/>
  <c r="F63" i="59" s="1"/>
  <c r="O12" i="28"/>
  <c r="O123" i="28" s="1"/>
  <c r="O145" i="28"/>
  <c r="Q58" i="28"/>
  <c r="Q59" i="28" s="1"/>
  <c r="Q85" i="28" s="1"/>
  <c r="Q97" i="28" s="1"/>
  <c r="M16" i="28"/>
  <c r="M149" i="28"/>
  <c r="M147" i="28"/>
  <c r="C94" i="28"/>
  <c r="C97" i="28"/>
  <c r="H8" i="46"/>
  <c r="G87" i="28"/>
  <c r="G8" i="46"/>
  <c r="F87" i="28"/>
  <c r="E8" i="46"/>
  <c r="D87" i="28"/>
  <c r="F8" i="46"/>
  <c r="E87" i="28"/>
  <c r="Q93" i="32"/>
  <c r="O170" i="32"/>
  <c r="O178" i="32" s="1"/>
  <c r="O20" i="32" s="1"/>
  <c r="O252" i="32"/>
  <c r="Q67" i="32"/>
  <c r="Q255" i="32"/>
  <c r="Q81" i="32"/>
  <c r="Q249" i="32"/>
  <c r="P246" i="32"/>
  <c r="Q72" i="32"/>
  <c r="L144" i="32"/>
  <c r="P86" i="32"/>
  <c r="Q6" i="32"/>
  <c r="W28" i="4" s="1"/>
  <c r="P11" i="28"/>
  <c r="P122" i="28" s="1"/>
  <c r="D18" i="28"/>
  <c r="D127" i="28" s="1"/>
  <c r="Q3" i="32"/>
  <c r="Q115" i="28"/>
  <c r="C125" i="28"/>
  <c r="D8" i="46"/>
  <c r="F125" i="28"/>
  <c r="F147" i="28"/>
  <c r="D125" i="28"/>
  <c r="D147" i="28"/>
  <c r="G125" i="28"/>
  <c r="G147" i="28"/>
  <c r="E125" i="28"/>
  <c r="E147" i="28"/>
  <c r="C150" i="32"/>
  <c r="C146" i="32"/>
  <c r="C151" i="32"/>
  <c r="C148" i="32"/>
  <c r="C149" i="32"/>
  <c r="C147" i="32"/>
  <c r="E148" i="32"/>
  <c r="E151" i="32"/>
  <c r="E147" i="32"/>
  <c r="E150" i="32"/>
  <c r="E146" i="32"/>
  <c r="E149" i="32"/>
  <c r="F147" i="32"/>
  <c r="F151" i="32"/>
  <c r="F150" i="32"/>
  <c r="F149" i="32"/>
  <c r="F146" i="32"/>
  <c r="F148" i="32"/>
  <c r="G149" i="32"/>
  <c r="G150" i="32"/>
  <c r="G147" i="32"/>
  <c r="G148" i="32"/>
  <c r="G151" i="32"/>
  <c r="G146" i="32"/>
  <c r="E76" i="28"/>
  <c r="F76" i="28"/>
  <c r="C76" i="28"/>
  <c r="G76" i="28"/>
  <c r="D76" i="28"/>
  <c r="D151" i="32"/>
  <c r="D149" i="32"/>
  <c r="D150" i="32"/>
  <c r="D147" i="32"/>
  <c r="D148" i="32"/>
  <c r="D146" i="32"/>
  <c r="F18" i="28"/>
  <c r="E18" i="28"/>
  <c r="G18" i="28"/>
  <c r="C18" i="28"/>
  <c r="H19" i="59" l="1"/>
  <c r="K128" i="59"/>
  <c r="K132" i="59" s="1"/>
  <c r="Q123" i="32"/>
  <c r="Q258" i="32"/>
  <c r="Q125" i="32"/>
  <c r="Q257" i="32"/>
  <c r="W22" i="4"/>
  <c r="Q87" i="32"/>
  <c r="P122" i="32"/>
  <c r="P12" i="32"/>
  <c r="P170" i="32" s="1"/>
  <c r="P178" i="32" s="1"/>
  <c r="Q92" i="32"/>
  <c r="Q247" i="32"/>
  <c r="P251" i="32"/>
  <c r="P109" i="32"/>
  <c r="P125" i="32"/>
  <c r="P257" i="32"/>
  <c r="P92" i="32"/>
  <c r="P123" i="32"/>
  <c r="P249" i="32"/>
  <c r="P81" i="32"/>
  <c r="N21" i="32"/>
  <c r="N66" i="32"/>
  <c r="N70" i="32" s="1"/>
  <c r="N260" i="32"/>
  <c r="N126" i="32"/>
  <c r="P93" i="32"/>
  <c r="P258" i="32"/>
  <c r="M179" i="32"/>
  <c r="M261" i="32"/>
  <c r="S36" i="4"/>
  <c r="Q248" i="32"/>
  <c r="V22" i="4"/>
  <c r="P247" i="32"/>
  <c r="P87" i="32"/>
  <c r="R12" i="48"/>
  <c r="M127" i="32"/>
  <c r="M143" i="32" s="1"/>
  <c r="K293" i="32"/>
  <c r="Q251" i="32"/>
  <c r="P69" i="32"/>
  <c r="P259" i="32"/>
  <c r="P80" i="32"/>
  <c r="P248" i="32"/>
  <c r="Q259" i="32"/>
  <c r="M18" i="28"/>
  <c r="M127" i="28" s="1"/>
  <c r="M126" i="28"/>
  <c r="H103" i="28"/>
  <c r="D65" i="59"/>
  <c r="B28" i="59"/>
  <c r="B88" i="59" s="1"/>
  <c r="B87" i="59"/>
  <c r="Q137" i="28"/>
  <c r="Q83" i="28"/>
  <c r="L62" i="59" s="1"/>
  <c r="Q161" i="32"/>
  <c r="Q243" i="32" s="1"/>
  <c r="W3" i="4"/>
  <c r="H84" i="28"/>
  <c r="H90" i="32"/>
  <c r="H97" i="32" s="1"/>
  <c r="H99" i="32" s="1"/>
  <c r="N16" i="28"/>
  <c r="N147" i="28"/>
  <c r="N149" i="28"/>
  <c r="R50" i="4"/>
  <c r="L67" i="28"/>
  <c r="L69" i="28" s="1"/>
  <c r="L74" i="28"/>
  <c r="L77" i="28" s="1"/>
  <c r="G63" i="59" s="1"/>
  <c r="O23" i="4"/>
  <c r="I75" i="32"/>
  <c r="I273" i="32"/>
  <c r="Q6" i="4"/>
  <c r="Q10" i="4" s="1"/>
  <c r="K64" i="28"/>
  <c r="I74" i="32"/>
  <c r="I271" i="32"/>
  <c r="J59" i="32"/>
  <c r="J295" i="32"/>
  <c r="O48" i="4"/>
  <c r="O51" i="4" s="1"/>
  <c r="O53" i="4" s="1"/>
  <c r="I98" i="28"/>
  <c r="I110" i="32"/>
  <c r="I111" i="32" s="1"/>
  <c r="I112" i="32" s="1"/>
  <c r="I279" i="32"/>
  <c r="I133" i="32"/>
  <c r="O37" i="4"/>
  <c r="I130" i="32"/>
  <c r="I269" i="32"/>
  <c r="I94" i="32"/>
  <c r="H153" i="32"/>
  <c r="I95" i="32"/>
  <c r="I270" i="32"/>
  <c r="J28" i="32"/>
  <c r="J31" i="32"/>
  <c r="J235" i="32"/>
  <c r="J229" i="32"/>
  <c r="J217" i="32"/>
  <c r="J32" i="32"/>
  <c r="J218" i="32"/>
  <c r="J283" i="32"/>
  <c r="J46" i="32"/>
  <c r="J285" i="32" s="1"/>
  <c r="J219" i="32"/>
  <c r="J33" i="32"/>
  <c r="J41" i="32"/>
  <c r="J30" i="32"/>
  <c r="J230" i="32"/>
  <c r="J39" i="32"/>
  <c r="J29" i="32"/>
  <c r="I96" i="32"/>
  <c r="I272" i="32"/>
  <c r="L54" i="32"/>
  <c r="M76" i="28"/>
  <c r="M88" i="28"/>
  <c r="M96" i="28" s="1"/>
  <c r="M99" i="28" s="1"/>
  <c r="I268" i="32"/>
  <c r="I73" i="32"/>
  <c r="I34" i="32"/>
  <c r="I274" i="32" s="1"/>
  <c r="K294" i="32"/>
  <c r="K43" i="32"/>
  <c r="K56" i="32" s="1"/>
  <c r="K135" i="32"/>
  <c r="K108" i="32"/>
  <c r="P12" i="28"/>
  <c r="P123" i="28" s="1"/>
  <c r="P145" i="28"/>
  <c r="L60" i="28"/>
  <c r="L61" i="28" s="1"/>
  <c r="L100" i="28"/>
  <c r="L101" i="28"/>
  <c r="L102" i="28" s="1"/>
  <c r="I281" i="32"/>
  <c r="I83" i="32"/>
  <c r="I226" i="32"/>
  <c r="I232" i="32" s="1"/>
  <c r="O15" i="28"/>
  <c r="O125" i="28" s="1"/>
  <c r="O146" i="28"/>
  <c r="D94" i="28"/>
  <c r="D97" i="28"/>
  <c r="G94" i="28"/>
  <c r="G97" i="28"/>
  <c r="F94" i="28"/>
  <c r="F97" i="28"/>
  <c r="C63" i="28"/>
  <c r="C96" i="28"/>
  <c r="C99" i="28" s="1"/>
  <c r="C28" i="4"/>
  <c r="E94" i="28"/>
  <c r="E97" i="28"/>
  <c r="Q122" i="32"/>
  <c r="Q246" i="32"/>
  <c r="O126" i="32"/>
  <c r="O127" i="32" s="1"/>
  <c r="O143" i="32" s="1"/>
  <c r="O260" i="32"/>
  <c r="O66" i="32"/>
  <c r="O70" i="32" s="1"/>
  <c r="O21" i="32"/>
  <c r="Q12" i="32"/>
  <c r="Q86" i="32"/>
  <c r="D67" i="28"/>
  <c r="D69" i="28" s="1"/>
  <c r="D74" i="28"/>
  <c r="D77" i="28" s="1"/>
  <c r="Q11" i="28"/>
  <c r="Q122" i="28" s="1"/>
  <c r="E149" i="28"/>
  <c r="F11" i="46"/>
  <c r="F9" i="46"/>
  <c r="D149" i="28"/>
  <c r="D11" i="46"/>
  <c r="D9" i="46"/>
  <c r="G149" i="28"/>
  <c r="H11" i="46"/>
  <c r="H9" i="46"/>
  <c r="G11" i="46"/>
  <c r="G9" i="46"/>
  <c r="E11" i="46"/>
  <c r="E9" i="46"/>
  <c r="F149" i="28"/>
  <c r="F67" i="28"/>
  <c r="F69" i="28" s="1"/>
  <c r="F127" i="28"/>
  <c r="C67" i="28"/>
  <c r="C69" i="28" s="1"/>
  <c r="C127" i="28"/>
  <c r="E67" i="28"/>
  <c r="E69" i="28" s="1"/>
  <c r="E127" i="28"/>
  <c r="G67" i="28"/>
  <c r="G69" i="28" s="1"/>
  <c r="G127" i="28"/>
  <c r="G153" i="32"/>
  <c r="C153" i="32"/>
  <c r="F153" i="32"/>
  <c r="E153" i="32"/>
  <c r="E74" i="28"/>
  <c r="E77" i="28" s="1"/>
  <c r="G74" i="28"/>
  <c r="G77" i="28" s="1"/>
  <c r="F74" i="28"/>
  <c r="F77" i="28" s="1"/>
  <c r="D153" i="32"/>
  <c r="C74" i="28"/>
  <c r="C77" i="28" s="1"/>
  <c r="U36" i="4" l="1"/>
  <c r="K134" i="59"/>
  <c r="P252" i="32"/>
  <c r="S50" i="4"/>
  <c r="M74" i="28"/>
  <c r="T36" i="4"/>
  <c r="N179" i="32"/>
  <c r="N261" i="32"/>
  <c r="N127" i="32"/>
  <c r="N143" i="32" s="1"/>
  <c r="M139" i="32"/>
  <c r="M141" i="32"/>
  <c r="M140" i="32"/>
  <c r="M142" i="32"/>
  <c r="M67" i="28"/>
  <c r="M69" i="28" s="1"/>
  <c r="N18" i="28"/>
  <c r="N127" i="28" s="1"/>
  <c r="N126" i="28"/>
  <c r="D67" i="59"/>
  <c r="D69" i="59" s="1"/>
  <c r="C80" i="59" s="1"/>
  <c r="E80" i="59" s="1"/>
  <c r="Q61" i="59"/>
  <c r="Q63" i="59" s="1"/>
  <c r="Q65" i="59" s="1"/>
  <c r="I76" i="32"/>
  <c r="I78" i="32" s="1"/>
  <c r="I40" i="32"/>
  <c r="I234" i="32"/>
  <c r="J270" i="32"/>
  <c r="J95" i="32"/>
  <c r="J73" i="32"/>
  <c r="J268" i="32"/>
  <c r="J83" i="32"/>
  <c r="J281" i="32"/>
  <c r="J34" i="32"/>
  <c r="J274" i="32" s="1"/>
  <c r="P23" i="4"/>
  <c r="J75" i="32"/>
  <c r="J273" i="32"/>
  <c r="R6" i="4"/>
  <c r="R10" i="4" s="1"/>
  <c r="L64" i="28"/>
  <c r="M60" i="28"/>
  <c r="M61" i="28" s="1"/>
  <c r="M101" i="28"/>
  <c r="M102" i="28" s="1"/>
  <c r="M100" i="28"/>
  <c r="M77" i="28"/>
  <c r="H63" i="59" s="1"/>
  <c r="J96" i="32"/>
  <c r="J272" i="32"/>
  <c r="L293" i="32"/>
  <c r="L55" i="32"/>
  <c r="M54" i="32"/>
  <c r="K59" i="32"/>
  <c r="K295" i="32"/>
  <c r="J226" i="32"/>
  <c r="J232" i="32" s="1"/>
  <c r="J40" i="32" s="1"/>
  <c r="J129" i="32" s="1"/>
  <c r="J269" i="32"/>
  <c r="P37" i="4"/>
  <c r="J130" i="32"/>
  <c r="J94" i="32"/>
  <c r="Q12" i="28"/>
  <c r="Q123" i="28" s="1"/>
  <c r="Q145" i="28"/>
  <c r="K30" i="32"/>
  <c r="K29" i="32"/>
  <c r="K218" i="32"/>
  <c r="K229" i="32"/>
  <c r="K230" i="32"/>
  <c r="K28" i="32"/>
  <c r="K217" i="32"/>
  <c r="K235" i="32"/>
  <c r="K46" i="32"/>
  <c r="K285" i="32" s="1"/>
  <c r="K32" i="32"/>
  <c r="K31" i="32"/>
  <c r="K283" i="32"/>
  <c r="K33" i="32"/>
  <c r="K39" i="32"/>
  <c r="K219" i="32"/>
  <c r="K41" i="32"/>
  <c r="J110" i="32"/>
  <c r="J111" i="32" s="1"/>
  <c r="J112" i="32" s="1"/>
  <c r="P48" i="4"/>
  <c r="P51" i="4" s="1"/>
  <c r="P53" i="4" s="1"/>
  <c r="J133" i="32"/>
  <c r="J98" i="28"/>
  <c r="J279" i="32"/>
  <c r="P15" i="28"/>
  <c r="P125" i="28" s="1"/>
  <c r="P146" i="28"/>
  <c r="O16" i="28"/>
  <c r="O147" i="28"/>
  <c r="O149" i="28"/>
  <c r="J74" i="32"/>
  <c r="J271" i="32"/>
  <c r="N76" i="28"/>
  <c r="N88" i="28"/>
  <c r="N96" i="28" s="1"/>
  <c r="N99" i="28" s="1"/>
  <c r="D96" i="28"/>
  <c r="D99" i="28" s="1"/>
  <c r="D63" i="28"/>
  <c r="D28" i="4"/>
  <c r="F96" i="28"/>
  <c r="F99" i="28" s="1"/>
  <c r="F28" i="4"/>
  <c r="F63" i="28"/>
  <c r="E63" i="28"/>
  <c r="E96" i="28"/>
  <c r="E99" i="28" s="1"/>
  <c r="E28" i="4"/>
  <c r="G63" i="28"/>
  <c r="G96" i="28"/>
  <c r="G99" i="28" s="1"/>
  <c r="G28" i="4"/>
  <c r="C100" i="28"/>
  <c r="C60" i="28"/>
  <c r="C61" i="28" s="1"/>
  <c r="C101" i="28"/>
  <c r="C103" i="28" s="1"/>
  <c r="O142" i="32"/>
  <c r="O140" i="32"/>
  <c r="Q170" i="32"/>
  <c r="Q178" i="32" s="1"/>
  <c r="Q252" i="32"/>
  <c r="P20" i="32"/>
  <c r="O141" i="32"/>
  <c r="O179" i="32"/>
  <c r="O261" i="32"/>
  <c r="O139" i="32"/>
  <c r="M144" i="32" l="1"/>
  <c r="N139" i="32"/>
  <c r="N142" i="32"/>
  <c r="N141" i="32"/>
  <c r="N140" i="32"/>
  <c r="N74" i="28"/>
  <c r="N67" i="28"/>
  <c r="N69" i="28" s="1"/>
  <c r="T50" i="4"/>
  <c r="O18" i="28"/>
  <c r="O127" i="28" s="1"/>
  <c r="O126" i="28"/>
  <c r="P18" i="4"/>
  <c r="P24" i="4" s="1"/>
  <c r="P31" i="4" s="1"/>
  <c r="P38" i="4" s="1"/>
  <c r="K226" i="32"/>
  <c r="K232" i="32" s="1"/>
  <c r="K40" i="32" s="1"/>
  <c r="Q18" i="4" s="1"/>
  <c r="N60" i="28"/>
  <c r="N61" i="28" s="1"/>
  <c r="N100" i="28"/>
  <c r="N101" i="28"/>
  <c r="N102" i="28" s="1"/>
  <c r="K268" i="32"/>
  <c r="K73" i="32"/>
  <c r="K34" i="32"/>
  <c r="K274" i="32" s="1"/>
  <c r="J136" i="32"/>
  <c r="K83" i="32"/>
  <c r="K281" i="32"/>
  <c r="S6" i="4"/>
  <c r="S10" i="4" s="1"/>
  <c r="M64" i="28"/>
  <c r="J76" i="32"/>
  <c r="J78" i="32" s="1"/>
  <c r="K98" i="28"/>
  <c r="Q48" i="4"/>
  <c r="Q51" i="4" s="1"/>
  <c r="Q53" i="4" s="1"/>
  <c r="K133" i="32"/>
  <c r="K279" i="32"/>
  <c r="K110" i="32"/>
  <c r="K111" i="32" s="1"/>
  <c r="K112" i="32" s="1"/>
  <c r="K94" i="32"/>
  <c r="Q37" i="4"/>
  <c r="K269" i="32"/>
  <c r="K130" i="32"/>
  <c r="J280" i="32"/>
  <c r="J82" i="32"/>
  <c r="O76" i="28"/>
  <c r="O88" i="28"/>
  <c r="O96" i="28" s="1"/>
  <c r="O99" i="28" s="1"/>
  <c r="Q23" i="4"/>
  <c r="K273" i="32"/>
  <c r="K75" i="32"/>
  <c r="K95" i="32"/>
  <c r="K270" i="32"/>
  <c r="N77" i="28"/>
  <c r="I63" i="59" s="1"/>
  <c r="P16" i="28"/>
  <c r="P147" i="28"/>
  <c r="P149" i="28"/>
  <c r="K271" i="32"/>
  <c r="K74" i="32"/>
  <c r="Q15" i="28"/>
  <c r="Q125" i="28" s="1"/>
  <c r="Q146" i="28"/>
  <c r="M293" i="32"/>
  <c r="M55" i="32"/>
  <c r="N54" i="32"/>
  <c r="I280" i="32"/>
  <c r="I82" i="32"/>
  <c r="I84" i="32" s="1"/>
  <c r="I88" i="32" s="1"/>
  <c r="E65" i="59" s="1"/>
  <c r="I42" i="32"/>
  <c r="O18" i="4"/>
  <c r="O24" i="4" s="1"/>
  <c r="O31" i="4" s="1"/>
  <c r="O38" i="4" s="1"/>
  <c r="I129" i="32"/>
  <c r="I136" i="32" s="1"/>
  <c r="J42" i="32"/>
  <c r="K272" i="32"/>
  <c r="K96" i="32"/>
  <c r="J234" i="32"/>
  <c r="L43" i="32"/>
  <c r="L56" i="32" s="1"/>
  <c r="L294" i="32"/>
  <c r="L108" i="32"/>
  <c r="L135" i="32"/>
  <c r="O144" i="32"/>
  <c r="E60" i="28"/>
  <c r="E61" i="28" s="1"/>
  <c r="E101" i="28"/>
  <c r="E100" i="28"/>
  <c r="D60" i="28"/>
  <c r="D61" i="28" s="1"/>
  <c r="D101" i="28"/>
  <c r="D102" i="28" s="1"/>
  <c r="D100" i="28"/>
  <c r="G101" i="28"/>
  <c r="G100" i="28"/>
  <c r="G60" i="28"/>
  <c r="G61" i="28" s="1"/>
  <c r="C64" i="28"/>
  <c r="D10" i="46"/>
  <c r="C6" i="4"/>
  <c r="C14" i="4" s="1"/>
  <c r="C22" i="4" s="1"/>
  <c r="C32" i="4" s="1"/>
  <c r="F60" i="28"/>
  <c r="F61" i="28" s="1"/>
  <c r="F100" i="28"/>
  <c r="C114" i="46" s="1"/>
  <c r="C117" i="46" s="1"/>
  <c r="F101" i="28"/>
  <c r="Q20" i="32"/>
  <c r="P126" i="32"/>
  <c r="P127" i="32" s="1"/>
  <c r="P260" i="32"/>
  <c r="P21" i="32"/>
  <c r="V36" i="4" s="1"/>
  <c r="P66" i="32"/>
  <c r="P70" i="32" s="1"/>
  <c r="N144" i="32" l="1"/>
  <c r="O74" i="28"/>
  <c r="O77" i="28" s="1"/>
  <c r="J63" i="59" s="1"/>
  <c r="O67" i="28"/>
  <c r="O69" i="28" s="1"/>
  <c r="U50" i="4"/>
  <c r="P18" i="28"/>
  <c r="P127" i="28" s="1"/>
  <c r="P126" i="28"/>
  <c r="E67" i="59"/>
  <c r="E69" i="59" s="1"/>
  <c r="C81" i="59" s="1"/>
  <c r="E81" i="59" s="1"/>
  <c r="O57" i="4"/>
  <c r="D20" i="59"/>
  <c r="P57" i="4"/>
  <c r="D21" i="59"/>
  <c r="K129" i="32"/>
  <c r="K136" i="32" s="1"/>
  <c r="K146" i="32" s="1"/>
  <c r="Q24" i="4"/>
  <c r="Q31" i="4" s="1"/>
  <c r="Q38" i="4" s="1"/>
  <c r="J282" i="32"/>
  <c r="O60" i="28"/>
  <c r="O61" i="28" s="1"/>
  <c r="O101" i="28"/>
  <c r="O102" i="28" s="1"/>
  <c r="O100" i="28"/>
  <c r="J146" i="32"/>
  <c r="J152" i="32"/>
  <c r="J149" i="32"/>
  <c r="J151" i="32"/>
  <c r="J148" i="32"/>
  <c r="I146" i="32"/>
  <c r="I149" i="32"/>
  <c r="I151" i="32"/>
  <c r="I150" i="32"/>
  <c r="I148" i="32"/>
  <c r="I152" i="32"/>
  <c r="I147" i="32"/>
  <c r="P74" i="28"/>
  <c r="P67" i="28"/>
  <c r="P69" i="28" s="1"/>
  <c r="I282" i="32"/>
  <c r="K76" i="32"/>
  <c r="K78" i="32" s="1"/>
  <c r="K280" i="32"/>
  <c r="K82" i="32"/>
  <c r="N55" i="32"/>
  <c r="N293" i="32"/>
  <c r="O54" i="32"/>
  <c r="K234" i="32"/>
  <c r="J150" i="32"/>
  <c r="M294" i="32"/>
  <c r="M43" i="32"/>
  <c r="M108" i="32"/>
  <c r="M135" i="32"/>
  <c r="J147" i="32"/>
  <c r="J84" i="32"/>
  <c r="J88" i="32" s="1"/>
  <c r="I103" i="28"/>
  <c r="I84" i="28"/>
  <c r="I90" i="32"/>
  <c r="I97" i="32" s="1"/>
  <c r="I99" i="32" s="1"/>
  <c r="L31" i="32"/>
  <c r="L46" i="32"/>
  <c r="L285" i="32" s="1"/>
  <c r="L32" i="32"/>
  <c r="L219" i="32"/>
  <c r="L29" i="32"/>
  <c r="L217" i="32"/>
  <c r="L30" i="32"/>
  <c r="L283" i="32"/>
  <c r="L235" i="32"/>
  <c r="L39" i="32"/>
  <c r="L218" i="32"/>
  <c r="L33" i="32"/>
  <c r="L28" i="32"/>
  <c r="L41" i="32"/>
  <c r="L230" i="32"/>
  <c r="L229" i="32"/>
  <c r="K42" i="32"/>
  <c r="P76" i="28"/>
  <c r="P88" i="28"/>
  <c r="P96" i="28" s="1"/>
  <c r="P99" i="28" s="1"/>
  <c r="L59" i="32"/>
  <c r="L295" i="32"/>
  <c r="Q16" i="28"/>
  <c r="Q147" i="28"/>
  <c r="Q149" i="28"/>
  <c r="T6" i="4"/>
  <c r="T10" i="4" s="1"/>
  <c r="N64" i="28"/>
  <c r="E102" i="28"/>
  <c r="F102" i="28"/>
  <c r="E10" i="46"/>
  <c r="D64" i="28"/>
  <c r="D6" i="4"/>
  <c r="D14" i="4" s="1"/>
  <c r="D22" i="4" s="1"/>
  <c r="D32" i="4" s="1"/>
  <c r="D49" i="4" s="1"/>
  <c r="D103" i="28"/>
  <c r="G10" i="46"/>
  <c r="C74" i="46"/>
  <c r="F6" i="4"/>
  <c r="F14" i="4" s="1"/>
  <c r="F22" i="4" s="1"/>
  <c r="F32" i="4" s="1"/>
  <c r="F49" i="4" s="1"/>
  <c r="F64" i="28"/>
  <c r="F103" i="28"/>
  <c r="E64" i="28"/>
  <c r="E103" i="28"/>
  <c r="E6" i="4"/>
  <c r="E14" i="4" s="1"/>
  <c r="E22" i="4" s="1"/>
  <c r="E32" i="4" s="1"/>
  <c r="E49" i="4" s="1"/>
  <c r="F10" i="46"/>
  <c r="C91" i="46"/>
  <c r="G6" i="4"/>
  <c r="G14" i="4" s="1"/>
  <c r="G22" i="4" s="1"/>
  <c r="G32" i="4" s="1"/>
  <c r="G49" i="4" s="1"/>
  <c r="G103" i="28"/>
  <c r="G64" i="28"/>
  <c r="A92" i="46"/>
  <c r="D74" i="46"/>
  <c r="H10" i="46"/>
  <c r="E95" i="46"/>
  <c r="D114" i="46"/>
  <c r="H102" i="28"/>
  <c r="G102" i="28"/>
  <c r="Q126" i="32"/>
  <c r="Q260" i="32"/>
  <c r="Q21" i="32"/>
  <c r="W36" i="4" s="1"/>
  <c r="Q66" i="32"/>
  <c r="Q70" i="32" s="1"/>
  <c r="P179" i="32"/>
  <c r="P261" i="32"/>
  <c r="P143" i="32"/>
  <c r="P141" i="32"/>
  <c r="P139" i="32"/>
  <c r="P140" i="32"/>
  <c r="P142" i="32"/>
  <c r="H21" i="59" l="1"/>
  <c r="M128" i="59"/>
  <c r="M132" i="59" s="1"/>
  <c r="M134" i="59" s="1"/>
  <c r="H20" i="59"/>
  <c r="L128" i="59"/>
  <c r="L132" i="59" s="1"/>
  <c r="V50" i="4"/>
  <c r="Q18" i="28"/>
  <c r="Q127" i="28" s="1"/>
  <c r="Q126" i="28"/>
  <c r="R61" i="59"/>
  <c r="R63" i="59" s="1"/>
  <c r="R65" i="59" s="1"/>
  <c r="J103" i="28"/>
  <c r="S61" i="59" s="1"/>
  <c r="S63" i="59" s="1"/>
  <c r="F65" i="59"/>
  <c r="Q57" i="4"/>
  <c r="D22" i="59"/>
  <c r="P77" i="28"/>
  <c r="K63" i="59" s="1"/>
  <c r="I153" i="32"/>
  <c r="L96" i="32"/>
  <c r="L272" i="32"/>
  <c r="M283" i="32"/>
  <c r="M217" i="32"/>
  <c r="M218" i="32"/>
  <c r="M229" i="32"/>
  <c r="M39" i="32"/>
  <c r="M41" i="32"/>
  <c r="M230" i="32"/>
  <c r="M219" i="32"/>
  <c r="M29" i="32"/>
  <c r="M269" i="32" s="1"/>
  <c r="M31" i="32"/>
  <c r="M32" i="32"/>
  <c r="M28" i="32"/>
  <c r="M46" i="32"/>
  <c r="M285" i="32" s="1"/>
  <c r="M33" i="32"/>
  <c r="M273" i="32" s="1"/>
  <c r="M235" i="32"/>
  <c r="M30" i="32"/>
  <c r="L281" i="32"/>
  <c r="L83" i="32"/>
  <c r="L73" i="32"/>
  <c r="L268" i="32"/>
  <c r="L34" i="32"/>
  <c r="L274" i="32" s="1"/>
  <c r="L74" i="32"/>
  <c r="L271" i="32"/>
  <c r="R23" i="4"/>
  <c r="L75" i="32"/>
  <c r="L273" i="32"/>
  <c r="Q76" i="28"/>
  <c r="Q88" i="28"/>
  <c r="Q96" i="28" s="1"/>
  <c r="Q99" i="28" s="1"/>
  <c r="O55" i="32"/>
  <c r="O293" i="32"/>
  <c r="P54" i="32"/>
  <c r="K147" i="32"/>
  <c r="K148" i="32"/>
  <c r="K152" i="32"/>
  <c r="K151" i="32"/>
  <c r="K149" i="32"/>
  <c r="R48" i="4"/>
  <c r="R51" i="4" s="1"/>
  <c r="R53" i="4" s="1"/>
  <c r="L133" i="32"/>
  <c r="L110" i="32"/>
  <c r="L111" i="32" s="1"/>
  <c r="L112" i="32" s="1"/>
  <c r="L98" i="28"/>
  <c r="L279" i="32"/>
  <c r="N294" i="32"/>
  <c r="N43" i="32"/>
  <c r="N56" i="32" s="1"/>
  <c r="N135" i="32"/>
  <c r="N108" i="32"/>
  <c r="J90" i="32"/>
  <c r="J97" i="32" s="1"/>
  <c r="J99" i="32" s="1"/>
  <c r="J84" i="28"/>
  <c r="U6" i="4"/>
  <c r="U10" i="4" s="1"/>
  <c r="O64" i="28"/>
  <c r="P60" i="28"/>
  <c r="P61" i="28" s="1"/>
  <c r="P100" i="28"/>
  <c r="P101" i="28"/>
  <c r="P102" i="28" s="1"/>
  <c r="L95" i="32"/>
  <c r="L270" i="32"/>
  <c r="J153" i="32"/>
  <c r="L226" i="32"/>
  <c r="L232" i="32" s="1"/>
  <c r="L40" i="32" s="1"/>
  <c r="M56" i="32"/>
  <c r="K84" i="32"/>
  <c r="K88" i="32" s="1"/>
  <c r="K282" i="32"/>
  <c r="R37" i="4"/>
  <c r="L269" i="32"/>
  <c r="L94" i="32"/>
  <c r="L130" i="32"/>
  <c r="K150" i="32"/>
  <c r="D117" i="46"/>
  <c r="E117" i="46" s="1"/>
  <c r="E114" i="46"/>
  <c r="D77" i="46"/>
  <c r="E74" i="46"/>
  <c r="D78" i="46"/>
  <c r="C78" i="46"/>
  <c r="C77" i="46"/>
  <c r="P144" i="32"/>
  <c r="Q179" i="32"/>
  <c r="Q261" i="32"/>
  <c r="Q127" i="32"/>
  <c r="Q143" i="32" s="1"/>
  <c r="H22" i="59" l="1"/>
  <c r="N128" i="59"/>
  <c r="N132" i="59" s="1"/>
  <c r="N134" i="59" s="1"/>
  <c r="L134" i="59"/>
  <c r="Q74" i="28"/>
  <c r="Q77" i="28" s="1"/>
  <c r="L63" i="59" s="1"/>
  <c r="W50" i="4"/>
  <c r="Q67" i="28"/>
  <c r="Q69" i="28" s="1"/>
  <c r="S65" i="59"/>
  <c r="F67" i="59"/>
  <c r="F69" i="59" s="1"/>
  <c r="C82" i="59" s="1"/>
  <c r="E82" i="59" s="1"/>
  <c r="K103" i="28"/>
  <c r="T61" i="59" s="1"/>
  <c r="T63" i="59" s="1"/>
  <c r="G65" i="59"/>
  <c r="K153" i="32"/>
  <c r="L280" i="32"/>
  <c r="L82" i="32"/>
  <c r="M83" i="32"/>
  <c r="M281" i="32"/>
  <c r="N30" i="32"/>
  <c r="N29" i="32"/>
  <c r="N46" i="32"/>
  <c r="N285" i="32" s="1"/>
  <c r="N33" i="32"/>
  <c r="N218" i="32"/>
  <c r="N219" i="32"/>
  <c r="N217" i="32"/>
  <c r="N230" i="32"/>
  <c r="N235" i="32"/>
  <c r="N31" i="32"/>
  <c r="N229" i="32"/>
  <c r="N28" i="32"/>
  <c r="N283" i="32"/>
  <c r="N32" i="32"/>
  <c r="N41" i="32"/>
  <c r="N39" i="32"/>
  <c r="M110" i="32"/>
  <c r="M111" i="32" s="1"/>
  <c r="M112" i="32" s="1"/>
  <c r="S48" i="4"/>
  <c r="S51" i="4" s="1"/>
  <c r="S53" i="4" s="1"/>
  <c r="M279" i="32"/>
  <c r="M133" i="32"/>
  <c r="M98" i="28"/>
  <c r="P55" i="32"/>
  <c r="Q54" i="32"/>
  <c r="P293" i="32"/>
  <c r="M95" i="32"/>
  <c r="M270" i="32"/>
  <c r="L42" i="32"/>
  <c r="R18" i="4"/>
  <c r="R24" i="4" s="1"/>
  <c r="R31" i="4" s="1"/>
  <c r="R38" i="4" s="1"/>
  <c r="M59" i="32"/>
  <c r="M295" i="32"/>
  <c r="L129" i="32"/>
  <c r="L136" i="32" s="1"/>
  <c r="L147" i="32" s="1"/>
  <c r="S23" i="4"/>
  <c r="M75" i="32"/>
  <c r="M226" i="32"/>
  <c r="M232" i="32" s="1"/>
  <c r="M40" i="32" s="1"/>
  <c r="S18" i="4" s="1"/>
  <c r="V6" i="4"/>
  <c r="V10" i="4" s="1"/>
  <c r="P64" i="28"/>
  <c r="Q60" i="28"/>
  <c r="Q61" i="28" s="1"/>
  <c r="Q100" i="28"/>
  <c r="Q101" i="28"/>
  <c r="N59" i="32"/>
  <c r="N295" i="32"/>
  <c r="M73" i="32"/>
  <c r="M34" i="32"/>
  <c r="M274" i="32" s="1"/>
  <c r="M268" i="32"/>
  <c r="L76" i="32"/>
  <c r="L78" i="32" s="1"/>
  <c r="M96" i="32"/>
  <c r="M272" i="32"/>
  <c r="S37" i="4"/>
  <c r="M94" i="32"/>
  <c r="M130" i="32"/>
  <c r="O43" i="32"/>
  <c r="O56" i="32" s="1"/>
  <c r="O294" i="32"/>
  <c r="O108" i="32"/>
  <c r="O135" i="32"/>
  <c r="K90" i="32"/>
  <c r="K97" i="32" s="1"/>
  <c r="K99" i="32" s="1"/>
  <c r="K84" i="28"/>
  <c r="M74" i="32"/>
  <c r="M271" i="32"/>
  <c r="L234" i="32"/>
  <c r="E78" i="46"/>
  <c r="E77" i="46"/>
  <c r="Q141" i="32"/>
  <c r="Q139" i="32"/>
  <c r="Q142" i="32"/>
  <c r="Q140" i="32"/>
  <c r="M63" i="59" l="1"/>
  <c r="G67" i="59"/>
  <c r="G69" i="59" s="1"/>
  <c r="C83" i="59" s="1"/>
  <c r="E83" i="59" s="1"/>
  <c r="T65" i="59"/>
  <c r="Q102" i="28"/>
  <c r="R57" i="4"/>
  <c r="D23" i="59"/>
  <c r="M234" i="32"/>
  <c r="S24" i="4"/>
  <c r="S31" i="4" s="1"/>
  <c r="S38" i="4" s="1"/>
  <c r="M129" i="32"/>
  <c r="M136" i="32" s="1"/>
  <c r="M150" i="32" s="1"/>
  <c r="L84" i="32"/>
  <c r="L88" i="32" s="1"/>
  <c r="L282" i="32"/>
  <c r="N279" i="32"/>
  <c r="T48" i="4"/>
  <c r="T51" i="4" s="1"/>
  <c r="T53" i="4" s="1"/>
  <c r="N110" i="32"/>
  <c r="N111" i="32" s="1"/>
  <c r="N112" i="32" s="1"/>
  <c r="N98" i="28"/>
  <c r="N133" i="32"/>
  <c r="N75" i="32"/>
  <c r="T23" i="4"/>
  <c r="N273" i="32"/>
  <c r="W6" i="4"/>
  <c r="W10" i="4" s="1"/>
  <c r="Q64" i="28"/>
  <c r="N281" i="32"/>
  <c r="N83" i="32"/>
  <c r="N96" i="32"/>
  <c r="N272" i="32"/>
  <c r="N269" i="32"/>
  <c r="T37" i="4"/>
  <c r="N130" i="32"/>
  <c r="N94" i="32"/>
  <c r="N270" i="32"/>
  <c r="N95" i="32"/>
  <c r="L150" i="32"/>
  <c r="M82" i="32"/>
  <c r="M280" i="32"/>
  <c r="Q55" i="32"/>
  <c r="Q293" i="32"/>
  <c r="N268" i="32"/>
  <c r="N34" i="32"/>
  <c r="N274" i="32" s="1"/>
  <c r="N73" i="32"/>
  <c r="P108" i="32"/>
  <c r="P135" i="32"/>
  <c r="P294" i="32"/>
  <c r="P43" i="32"/>
  <c r="P56" i="32" s="1"/>
  <c r="M42" i="32"/>
  <c r="N74" i="32"/>
  <c r="N271" i="32"/>
  <c r="L146" i="32"/>
  <c r="L149" i="32"/>
  <c r="L152" i="32"/>
  <c r="L148" i="32"/>
  <c r="L151" i="32"/>
  <c r="M76" i="32"/>
  <c r="M78" i="32" s="1"/>
  <c r="O59" i="32"/>
  <c r="O295" i="32"/>
  <c r="O283" i="32"/>
  <c r="O219" i="32"/>
  <c r="O28" i="32"/>
  <c r="O235" i="32"/>
  <c r="O29" i="32"/>
  <c r="O46" i="32"/>
  <c r="O285" i="32" s="1"/>
  <c r="O39" i="32"/>
  <c r="O33" i="32"/>
  <c r="O31" i="32"/>
  <c r="O230" i="32"/>
  <c r="O32" i="32"/>
  <c r="O229" i="32"/>
  <c r="O30" i="32"/>
  <c r="O218" i="32"/>
  <c r="O41" i="32"/>
  <c r="O217" i="32"/>
  <c r="N226" i="32"/>
  <c r="N232" i="32" s="1"/>
  <c r="N40" i="32" s="1"/>
  <c r="T18" i="4" s="1"/>
  <c r="Q144" i="32"/>
  <c r="H23" i="59" l="1"/>
  <c r="O128" i="59"/>
  <c r="O132" i="59" s="1"/>
  <c r="L90" i="32"/>
  <c r="L97" i="32" s="1"/>
  <c r="L99" i="32" s="1"/>
  <c r="H65" i="59"/>
  <c r="S57" i="4"/>
  <c r="D24" i="59"/>
  <c r="T24" i="4"/>
  <c r="T31" i="4" s="1"/>
  <c r="T38" i="4" s="1"/>
  <c r="L84" i="28"/>
  <c r="L103" i="28"/>
  <c r="N129" i="32"/>
  <c r="N76" i="32"/>
  <c r="N78" i="32" s="1"/>
  <c r="N234" i="32"/>
  <c r="M147" i="32"/>
  <c r="O75" i="32"/>
  <c r="U23" i="4"/>
  <c r="O273" i="32"/>
  <c r="M282" i="32"/>
  <c r="P32" i="32"/>
  <c r="P219" i="32"/>
  <c r="P33" i="32"/>
  <c r="P29" i="32"/>
  <c r="P30" i="32"/>
  <c r="P46" i="32"/>
  <c r="P285" i="32" s="1"/>
  <c r="P39" i="32"/>
  <c r="P41" i="32"/>
  <c r="P31" i="32"/>
  <c r="P230" i="32"/>
  <c r="P217" i="32"/>
  <c r="P229" i="32"/>
  <c r="P283" i="32"/>
  <c r="P235" i="32"/>
  <c r="P28" i="32"/>
  <c r="P218" i="32"/>
  <c r="M84" i="32"/>
  <c r="M88" i="32" s="1"/>
  <c r="I65" i="59" s="1"/>
  <c r="O95" i="32"/>
  <c r="O270" i="32"/>
  <c r="O279" i="32"/>
  <c r="U48" i="4"/>
  <c r="U51" i="4" s="1"/>
  <c r="U53" i="4" s="1"/>
  <c r="O133" i="32"/>
  <c r="O98" i="28"/>
  <c r="O110" i="32"/>
  <c r="O111" i="32" s="1"/>
  <c r="O112" i="32" s="1"/>
  <c r="N42" i="32"/>
  <c r="N82" i="32"/>
  <c r="N280" i="32"/>
  <c r="O269" i="32"/>
  <c r="U37" i="4"/>
  <c r="O94" i="32"/>
  <c r="O130" i="32"/>
  <c r="O226" i="32"/>
  <c r="O232" i="32" s="1"/>
  <c r="O40" i="32" s="1"/>
  <c r="O42" i="32" s="1"/>
  <c r="O96" i="32"/>
  <c r="O272" i="32"/>
  <c r="O74" i="32"/>
  <c r="O271" i="32"/>
  <c r="Q108" i="32"/>
  <c r="Q135" i="32"/>
  <c r="Q294" i="32"/>
  <c r="Q43" i="32"/>
  <c r="P59" i="32"/>
  <c r="P295" i="32"/>
  <c r="O281" i="32"/>
  <c r="O83" i="32"/>
  <c r="O268" i="32"/>
  <c r="O34" i="32"/>
  <c r="O274" i="32" s="1"/>
  <c r="O73" i="32"/>
  <c r="L153" i="32"/>
  <c r="M146" i="32"/>
  <c r="M149" i="32"/>
  <c r="M151" i="32"/>
  <c r="M148" i="32"/>
  <c r="M152" i="32"/>
  <c r="O134" i="59" l="1"/>
  <c r="H24" i="59"/>
  <c r="P128" i="59"/>
  <c r="P132" i="59" s="1"/>
  <c r="P134" i="59" s="1"/>
  <c r="U61" i="59"/>
  <c r="U63" i="59" s="1"/>
  <c r="U65" i="59" s="1"/>
  <c r="H67" i="59"/>
  <c r="H69" i="59" s="1"/>
  <c r="C84" i="59" s="1"/>
  <c r="E84" i="59" s="1"/>
  <c r="I67" i="59"/>
  <c r="I69" i="59" s="1"/>
  <c r="C85" i="59" s="1"/>
  <c r="E85" i="59" s="1"/>
  <c r="T57" i="4"/>
  <c r="D25" i="59"/>
  <c r="N84" i="32"/>
  <c r="N88" i="32" s="1"/>
  <c r="N136" i="32"/>
  <c r="N150" i="32" s="1"/>
  <c r="O129" i="32"/>
  <c r="O136" i="32" s="1"/>
  <c r="O146" i="32" s="1"/>
  <c r="U18" i="4"/>
  <c r="U24" i="4" s="1"/>
  <c r="U31" i="4" s="1"/>
  <c r="U38" i="4" s="1"/>
  <c r="P269" i="32"/>
  <c r="V37" i="4"/>
  <c r="P94" i="32"/>
  <c r="P130" i="32"/>
  <c r="P75" i="32"/>
  <c r="V23" i="4"/>
  <c r="P273" i="32"/>
  <c r="P226" i="32"/>
  <c r="P232" i="32" s="1"/>
  <c r="P40" i="32" s="1"/>
  <c r="P96" i="32"/>
  <c r="P272" i="32"/>
  <c r="O234" i="32"/>
  <c r="Q235" i="32"/>
  <c r="Q32" i="32"/>
  <c r="Q219" i="32"/>
  <c r="Q41" i="32"/>
  <c r="Q46" i="32"/>
  <c r="Q285" i="32" s="1"/>
  <c r="Q230" i="32"/>
  <c r="Q33" i="32"/>
  <c r="Q283" i="32"/>
  <c r="Q39" i="32"/>
  <c r="Q229" i="32"/>
  <c r="Q28" i="32"/>
  <c r="Q30" i="32"/>
  <c r="Q31" i="32"/>
  <c r="Q29" i="32"/>
  <c r="Q217" i="32"/>
  <c r="Q218" i="32"/>
  <c r="P74" i="32"/>
  <c r="P271" i="32"/>
  <c r="O282" i="32"/>
  <c r="O280" i="32"/>
  <c r="O82" i="32"/>
  <c r="Q56" i="32"/>
  <c r="P281" i="32"/>
  <c r="P83" i="32"/>
  <c r="P110" i="32"/>
  <c r="P111" i="32" s="1"/>
  <c r="P112" i="32" s="1"/>
  <c r="V48" i="4"/>
  <c r="V51" i="4" s="1"/>
  <c r="V53" i="4" s="1"/>
  <c r="P133" i="32"/>
  <c r="P279" i="32"/>
  <c r="P98" i="28"/>
  <c r="N282" i="32"/>
  <c r="P268" i="32"/>
  <c r="P73" i="32"/>
  <c r="P34" i="32"/>
  <c r="P274" i="32" s="1"/>
  <c r="M153" i="32"/>
  <c r="O76" i="32"/>
  <c r="O78" i="32" s="1"/>
  <c r="M90" i="32"/>
  <c r="M97" i="32" s="1"/>
  <c r="M99" i="32" s="1"/>
  <c r="M84" i="28"/>
  <c r="M103" i="28"/>
  <c r="V61" i="59" s="1"/>
  <c r="V63" i="59" s="1"/>
  <c r="V65" i="59" s="1"/>
  <c r="P95" i="32"/>
  <c r="P270" i="32"/>
  <c r="H25" i="59" l="1"/>
  <c r="Q128" i="59"/>
  <c r="Q132" i="59" s="1"/>
  <c r="Q134" i="59" s="1"/>
  <c r="N103" i="28"/>
  <c r="W61" i="59" s="1"/>
  <c r="W63" i="59" s="1"/>
  <c r="J65" i="59"/>
  <c r="N151" i="32"/>
  <c r="N148" i="32"/>
  <c r="U57" i="4"/>
  <c r="D26" i="59"/>
  <c r="N149" i="32"/>
  <c r="N152" i="32"/>
  <c r="O84" i="32"/>
  <c r="O88" i="32" s="1"/>
  <c r="N84" i="28"/>
  <c r="N90" i="32"/>
  <c r="N97" i="32" s="1"/>
  <c r="N99" i="32" s="1"/>
  <c r="N147" i="32"/>
  <c r="O150" i="32"/>
  <c r="N146" i="32"/>
  <c r="P76" i="32"/>
  <c r="P78" i="32" s="1"/>
  <c r="P129" i="32"/>
  <c r="P136" i="32" s="1"/>
  <c r="P147" i="32" s="1"/>
  <c r="P280" i="32"/>
  <c r="P82" i="32"/>
  <c r="Q268" i="32"/>
  <c r="Q73" i="32"/>
  <c r="Q34" i="32"/>
  <c r="Q274" i="32" s="1"/>
  <c r="P234" i="32"/>
  <c r="V18" i="4"/>
  <c r="V24" i="4" s="1"/>
  <c r="V31" i="4" s="1"/>
  <c r="V38" i="4" s="1"/>
  <c r="Q279" i="32"/>
  <c r="W48" i="4"/>
  <c r="W51" i="4" s="1"/>
  <c r="W53" i="4" s="1"/>
  <c r="Q133" i="32"/>
  <c r="Q98" i="28"/>
  <c r="Q110" i="32"/>
  <c r="Q111" i="32" s="1"/>
  <c r="Q112" i="32" s="1"/>
  <c r="O147" i="32"/>
  <c r="O151" i="32"/>
  <c r="O148" i="32"/>
  <c r="O149" i="32"/>
  <c r="O152" i="32"/>
  <c r="Q295" i="32"/>
  <c r="Q59" i="32"/>
  <c r="Q226" i="32"/>
  <c r="Q232" i="32" s="1"/>
  <c r="Q40" i="32" s="1"/>
  <c r="Q42" i="32" s="1"/>
  <c r="Q281" i="32"/>
  <c r="Q83" i="32"/>
  <c r="P42" i="32"/>
  <c r="Q269" i="32"/>
  <c r="W37" i="4"/>
  <c r="Q130" i="32"/>
  <c r="Q94" i="32"/>
  <c r="Q96" i="32"/>
  <c r="Q272" i="32"/>
  <c r="Q75" i="32"/>
  <c r="W23" i="4"/>
  <c r="Q273" i="32"/>
  <c r="Q74" i="32"/>
  <c r="Q271" i="32"/>
  <c r="Q270" i="32"/>
  <c r="Q95" i="32"/>
  <c r="H26" i="59" l="1"/>
  <c r="R128" i="59"/>
  <c r="R132" i="59" s="1"/>
  <c r="R134" i="59" s="1"/>
  <c r="O103" i="28"/>
  <c r="X61" i="59" s="1"/>
  <c r="X63" i="59" s="1"/>
  <c r="K65" i="59"/>
  <c r="W65" i="59"/>
  <c r="J67" i="59"/>
  <c r="J69" i="59" s="1"/>
  <c r="C86" i="59" s="1"/>
  <c r="E86" i="59" s="1"/>
  <c r="V57" i="4"/>
  <c r="D27" i="59"/>
  <c r="P84" i="32"/>
  <c r="P88" i="32" s="1"/>
  <c r="O84" i="28"/>
  <c r="O90" i="32"/>
  <c r="O97" i="32" s="1"/>
  <c r="O99" i="32" s="1"/>
  <c r="N153" i="32"/>
  <c r="Q129" i="32"/>
  <c r="Q136" i="32" s="1"/>
  <c r="O153" i="32"/>
  <c r="Q282" i="32"/>
  <c r="Q76" i="32"/>
  <c r="Q78" i="32" s="1"/>
  <c r="W18" i="4"/>
  <c r="W24" i="4" s="1"/>
  <c r="W31" i="4" s="1"/>
  <c r="W38" i="4" s="1"/>
  <c r="P282" i="32"/>
  <c r="P148" i="32"/>
  <c r="P149" i="32"/>
  <c r="P151" i="32"/>
  <c r="P152" i="32"/>
  <c r="Q234" i="32"/>
  <c r="P150" i="32"/>
  <c r="Q82" i="32"/>
  <c r="Q280" i="32"/>
  <c r="P146" i="32"/>
  <c r="H27" i="59" l="1"/>
  <c r="S128" i="59"/>
  <c r="S132" i="59" s="1"/>
  <c r="S134" i="59" s="1"/>
  <c r="L65" i="59"/>
  <c r="P84" i="28"/>
  <c r="P90" i="32"/>
  <c r="P97" i="32" s="1"/>
  <c r="P99" i="32" s="1"/>
  <c r="K67" i="59"/>
  <c r="K69" i="59" s="1"/>
  <c r="C87" i="59" s="1"/>
  <c r="E87" i="59" s="1"/>
  <c r="X65" i="59"/>
  <c r="P103" i="28"/>
  <c r="Y61" i="59" s="1"/>
  <c r="Y63" i="59" s="1"/>
  <c r="W57" i="4"/>
  <c r="D28" i="59"/>
  <c r="Q150" i="32"/>
  <c r="Q146" i="32"/>
  <c r="P153" i="32"/>
  <c r="Q84" i="32"/>
  <c r="Q88" i="32" s="1"/>
  <c r="Q147" i="32"/>
  <c r="Q151" i="32"/>
  <c r="Q149" i="32"/>
  <c r="Q148" i="32"/>
  <c r="Q152" i="32"/>
  <c r="H28" i="59" l="1"/>
  <c r="J28" i="59" s="1"/>
  <c r="T128" i="59"/>
  <c r="L67" i="59"/>
  <c r="L69" i="59" s="1"/>
  <c r="C88" i="59" s="1"/>
  <c r="E88" i="59" s="1"/>
  <c r="Y65" i="59"/>
  <c r="M65" i="59"/>
  <c r="Q153" i="32"/>
  <c r="Q90" i="32"/>
  <c r="Q97" i="32" s="1"/>
  <c r="Q99" i="32" s="1"/>
  <c r="Q84" i="28"/>
  <c r="Q103" i="28"/>
  <c r="C7" i="59" s="1"/>
  <c r="T132" i="59" l="1"/>
  <c r="F140" i="59" s="1"/>
  <c r="U128" i="59"/>
  <c r="T129" i="59"/>
  <c r="D29" i="59"/>
  <c r="O91" i="59"/>
  <c r="M67" i="59"/>
  <c r="M69" i="59" s="1"/>
  <c r="Z61" i="59"/>
  <c r="Z63" i="59" s="1"/>
  <c r="Z65" i="59" s="1"/>
  <c r="H29" i="59" l="1"/>
  <c r="H31" i="59" s="1"/>
  <c r="H35" i="59" s="1"/>
  <c r="H43" i="59" s="1"/>
  <c r="C173" i="59" s="1"/>
  <c r="T133" i="59"/>
  <c r="O83" i="59"/>
  <c r="C89" i="59" s="1"/>
  <c r="E89" i="59" s="1"/>
  <c r="E92" i="59" s="1"/>
  <c r="E97" i="59" s="1"/>
  <c r="E105" i="59" s="1"/>
  <c r="E111" i="59" s="1"/>
  <c r="F141" i="59" l="1"/>
  <c r="T134" i="59"/>
  <c r="H49" i="59"/>
  <c r="D54" i="59" s="1"/>
  <c r="D56" i="59" s="1"/>
  <c r="G147" i="59"/>
  <c r="G149" i="59" l="1"/>
  <c r="G165" i="59"/>
  <c r="F142" i="59"/>
  <c r="G141" i="59" s="1"/>
  <c r="I109" i="59"/>
  <c r="N140" i="59" l="1"/>
  <c r="N142" i="59" s="1"/>
  <c r="N147" i="59" s="1"/>
  <c r="N149" i="59" s="1"/>
  <c r="G142" i="59"/>
  <c r="G140" i="59"/>
  <c r="C335" i="46"/>
  <c r="C337" i="46"/>
  <c r="D335" i="46"/>
  <c r="D337" i="4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F391" authorId="0" shapeId="0" xr:uid="{5AB5670C-47C1-401B-A613-B6BB591AA006}">
      <text>
        <r>
          <rPr>
            <b/>
            <sz val="9"/>
            <color indexed="8"/>
            <rFont val="Geneva"/>
            <family val="2"/>
            <charset val="1"/>
          </rPr>
          <t>Aswath Damodaran:</t>
        </r>
        <r>
          <rPr>
            <sz val="9"/>
            <color indexed="8"/>
            <rFont val="Geneva"/>
            <family val="2"/>
            <charset val="1"/>
          </rPr>
          <t xml:space="preserve">
</t>
        </r>
        <r>
          <rPr>
            <sz val="9"/>
            <color indexed="8"/>
            <rFont val="Geneva"/>
            <family val="2"/>
            <charset val="1"/>
          </rPr>
          <t>If yes, fill in the attached worksheet on operating leases</t>
        </r>
      </text>
    </comment>
    <comment ref="F392" authorId="0" shapeId="0" xr:uid="{2B10043E-6FDC-4B4A-B09A-78268AA11427}">
      <text>
        <r>
          <rPr>
            <b/>
            <sz val="9"/>
            <color indexed="8"/>
            <rFont val="Geneva"/>
            <family val="2"/>
            <charset val="1"/>
          </rPr>
          <t>Aswath Damodaran:</t>
        </r>
        <r>
          <rPr>
            <sz val="9"/>
            <color indexed="8"/>
            <rFont val="Geneva"/>
            <family val="2"/>
            <charset val="1"/>
          </rPr>
          <t xml:space="preserve">
</t>
        </r>
        <r>
          <rPr>
            <sz val="9"/>
            <color indexed="8"/>
            <rFont val="Geneva"/>
            <family val="2"/>
            <charset val="1"/>
          </rPr>
          <t xml:space="preserve">If your most recent year's operating income is unusually low or high, you can use the average operating income from the last few years. </t>
        </r>
      </text>
    </comment>
    <comment ref="F393" authorId="0" shapeId="0" xr:uid="{542195B9-AF55-49B3-92C2-F58B6C2625D8}">
      <text>
        <r>
          <rPr>
            <b/>
            <sz val="9"/>
            <color indexed="8"/>
            <rFont val="Geneva"/>
            <family val="2"/>
            <charset val="1"/>
          </rPr>
          <t>Aswath Damodaran:</t>
        </r>
        <r>
          <rPr>
            <sz val="9"/>
            <color indexed="8"/>
            <rFont val="Geneva"/>
            <family val="2"/>
            <charset val="1"/>
          </rPr>
          <t xml:space="preserve">
</t>
        </r>
        <r>
          <rPr>
            <sz val="9"/>
            <color indexed="8"/>
            <rFont val="Geneva"/>
            <family val="2"/>
            <charset val="1"/>
          </rPr>
          <t>Enter the interest expense from the most recent income statement.</t>
        </r>
      </text>
    </comment>
    <comment ref="F394" authorId="0" shapeId="0" xr:uid="{CD86B879-B20C-45ED-B6E7-777B0ECB0C43}">
      <text>
        <r>
          <rPr>
            <b/>
            <sz val="9"/>
            <color indexed="8"/>
            <rFont val="Geneva"/>
            <family val="2"/>
            <charset val="1"/>
          </rPr>
          <t>Aswath Damodaran:</t>
        </r>
        <r>
          <rPr>
            <sz val="9"/>
            <color indexed="8"/>
            <rFont val="Geneva"/>
            <family val="2"/>
            <charset val="1"/>
          </rPr>
          <t xml:space="preserve">
</t>
        </r>
        <r>
          <rPr>
            <sz val="9"/>
            <color indexed="8"/>
            <rFont val="Geneva"/>
            <family val="2"/>
            <charset val="1"/>
          </rPr>
          <t>I use a 10 year government bond rate.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264F29-17C4-4D8A-BED2-559383B7B496}" keepAlive="1" name="Query - Table180 (Page 107)" description="Connection to the 'Table180 (Page 107)' query in the workbook." type="5" refreshedVersion="8" background="1" saveData="1">
    <dbPr connection="Provider=Microsoft.Mashup.OleDb.1;Data Source=$Workbook$;Location=&quot;Table180 (Page 107)&quot;;Extended Properties=&quot;&quot;" command="SELECT * FROM [Table180 (Page 107)]"/>
  </connection>
  <connection id="2" xr16:uid="{E27E8D1A-1B76-47BB-889E-45D6620BAAD9}" keepAlive="1" name="Query - Table180 (Page 107) (2)" description="Connection to the 'Table180 (Page 107) (2)' query in the workbook." type="5" refreshedVersion="8" background="1" saveData="1">
    <dbPr connection="Provider=Microsoft.Mashup.OleDb.1;Data Source=$Workbook$;Location=&quot;Table180 (Page 107) (2)&quot;;Extended Properties=&quot;&quot;" command="SELECT * FROM [Table180 (Page 107) (2)]"/>
  </connection>
  <connection id="3" xr16:uid="{C978D28C-B2F3-4FC4-AC84-FF9233EBB621}" keepAlive="1" name="Query - Table181 (Page 108)" description="Connection to the 'Table181 (Page 108)' query in the workbook." type="5" refreshedVersion="8" background="1" saveData="1">
    <dbPr connection="Provider=Microsoft.Mashup.OleDb.1;Data Source=$Workbook$;Location=&quot;Table181 (Page 108)&quot;;Extended Properties=&quot;&quot;" command="SELECT * FROM [Table181 (Page 108)]"/>
  </connection>
  <connection id="4" xr16:uid="{B0097570-77FE-487D-BE27-0FDD5627D78F}" keepAlive="1" name="Query - Table181 (Page 108) (2)" description="Connection to the 'Table181 (Page 108) (2)' query in the workbook." type="5" refreshedVersion="8" background="1" saveData="1">
    <dbPr connection="Provider=Microsoft.Mashup.OleDb.1;Data Source=$Workbook$;Location=&quot;Table181 (Page 108) (2)&quot;;Extended Properties=&quot;&quot;" command="SELECT * FROM [Table181 (Page 108) (2)]"/>
  </connection>
  <connection id="5" xr16:uid="{DE9E5B17-7A95-4BD9-86A2-BC6F1354A422}" keepAlive="1" name="Query - Table182 (Page 109-110)" description="Connection to the 'Table182 (Page 109-110)' query in the workbook." type="5" refreshedVersion="8" background="1" saveData="1">
    <dbPr connection="Provider=Microsoft.Mashup.OleDb.1;Data Source=$Workbook$;Location=&quot;Table182 (Page 109-110)&quot;;Extended Properties=&quot;&quot;" command="SELECT * FROM [Table182 (Page 109-110)]"/>
  </connection>
  <connection id="6" xr16:uid="{45C1F032-85D9-4109-A7BB-8A214BB8AC61}" keepAlive="1" name="Query - Table184 (Page 111)" description="Connection to the 'Table184 (Page 111)' query in the workbook." type="5" refreshedVersion="8" background="1" saveData="1">
    <dbPr connection="Provider=Microsoft.Mashup.OleDb.1;Data Source=$Workbook$;Location=&quot;Table184 (Page 111)&quot;;Extended Properties=&quot;&quot;" command="SELECT * FROM [Table184 (Page 111)]"/>
  </connection>
  <connection id="7" xr16:uid="{21FADEF5-C881-48B3-812A-F4FF87453841}" keepAlive="1" name="Query - Table185 (Page 112)" description="Connection to the 'Table185 (Page 112)' query in the workbook." type="5" refreshedVersion="8" background="1" saveData="1">
    <dbPr connection="Provider=Microsoft.Mashup.OleDb.1;Data Source=$Workbook$;Location=&quot;Table185 (Page 112)&quot;;Extended Properties=&quot;&quot;" command="SELECT * FROM [Table185 (Page 112)]"/>
  </connection>
  <connection id="8" xr16:uid="{96722628-599B-4D22-85B5-1FA77E88930D}" keepAlive="1" name="Query - Table356 (Page 109)" description="Connection to the 'Table356 (Page 109)' query in the workbook." type="5" refreshedVersion="8" background="1" saveData="1">
    <dbPr connection="Provider=Microsoft.Mashup.OleDb.1;Data Source=$Workbook$;Location=&quot;Table356 (Page 109)&quot;;Extended Properties=&quot;&quot;" command="SELECT * FROM [Table356 (Page 109)]"/>
  </connection>
  <connection id="9" xr16:uid="{1E6A0526-808D-4283-BA42-B009E2714597}" keepAlive="1" name="Query - Table356 (Page 109) (2)" description="Connection to the 'Table356 (Page 109) (2)' query in the workbook." type="5" refreshedVersion="8" background="1" saveData="1">
    <dbPr connection="Provider=Microsoft.Mashup.OleDb.1;Data Source=$Workbook$;Location=&quot;Table356 (Page 109) (2)&quot;;Extended Properties=&quot;&quot;" command="SELECT * FROM [Table356 (Page 109) (2)]"/>
  </connection>
  <connection id="10" xr16:uid="{12485D06-4C18-424A-B798-8EBE73AE542B}" keepAlive="1" name="Query - Table357 (Page 109)" description="Connection to the 'Table357 (Page 109)' query in the workbook." type="5" refreshedVersion="8" background="1" saveData="1">
    <dbPr connection="Provider=Microsoft.Mashup.OleDb.1;Data Source=$Workbook$;Location=&quot;Table357 (Page 109)&quot;;Extended Properties=&quot;&quot;" command="SELECT * FROM [Table357 (Page 109)]"/>
  </connection>
  <connection id="11" xr16:uid="{5B674E28-DE5C-475C-80C7-1CD5F38A808B}" keepAlive="1" name="Query - Table357 (Page 109) (2)" description="Connection to the 'Table357 (Page 109) (2)' query in the workbook." type="5" refreshedVersion="8" background="1" saveData="1">
    <dbPr connection="Provider=Microsoft.Mashup.OleDb.1;Data Source=$Workbook$;Location=&quot;Table357 (Page 109) (2)&quot;;Extended Properties=&quot;&quot;" command="SELECT * FROM [Table357 (Page 109) (2)]"/>
  </connection>
  <connection id="12" xr16:uid="{51F23D6E-14A3-4F04-8C93-C8FF59F21DD7}" keepAlive="1" name="Query - Table359 (Page 110)" description="Connection to the 'Table359 (Page 110)' query in the workbook." type="5" refreshedVersion="8" background="1" saveData="1">
    <dbPr connection="Provider=Microsoft.Mashup.OleDb.1;Data Source=$Workbook$;Location=&quot;Table359 (Page 110)&quot;;Extended Properties=&quot;&quot;" command="SELECT * FROM [Table359 (Page 110)]"/>
  </connection>
  <connection id="13" xr16:uid="{CB915D8C-8573-4462-A20E-83A79CDF5377}" keepAlive="1" name="Query - Table359 (Page 110) (2)" description="Connection to the 'Table359 (Page 110) (2)' query in the workbook." type="5" refreshedVersion="8" background="1" saveData="1">
    <dbPr connection="Provider=Microsoft.Mashup.OleDb.1;Data Source=$Workbook$;Location=&quot;Table359 (Page 110) (2)&quot;;Extended Properties=&quot;&quot;" command="SELECT * FROM [Table359 (Page 110) (2)]"/>
  </connection>
  <connection id="14" xr16:uid="{3881CAC8-EE58-4CCA-AE69-5A3164D01CE2}" keepAlive="1" name="Query - Table361 (Page 111)" description="Connection to the 'Table361 (Page 111)' query in the workbook." type="5" refreshedVersion="8" background="1" saveData="1">
    <dbPr connection="Provider=Microsoft.Mashup.OleDb.1;Data Source=$Workbook$;Location=&quot;Table361 (Page 111)&quot;;Extended Properties=&quot;&quot;" command="SELECT * FROM [Table361 (Page 111)]"/>
  </connection>
  <connection id="15" xr16:uid="{A4CA0CB0-EC95-4F7A-9EBB-597D66208625}" keepAlive="1" name="Query - Table362 (Page 111)" description="Connection to the 'Table362 (Page 111)' query in the workbook." type="5" refreshedVersion="8" background="1" saveData="1">
    <dbPr connection="Provider=Microsoft.Mashup.OleDb.1;Data Source=$Workbook$;Location=&quot;Table362 (Page 111)&quot;;Extended Properties=&quot;&quot;" command="SELECT * FROM [Table362 (Page 111)]"/>
  </connection>
  <connection id="16" xr16:uid="{046042DC-EC76-42E9-ADFF-6077C7F996F5}" keepAlive="1" name="Query - Table363 (Page 111)" description="Connection to the 'Table363 (Page 111)' query in the workbook." type="5" refreshedVersion="0" background="1">
    <dbPr connection="Provider=Microsoft.Mashup.OleDb.1;Data Source=$Workbook$;Location=&quot;Table363 (Page 111)&quot;;Extended Properties=&quot;&quot;" command="SELECT * FROM [Table363 (Page 111)]"/>
  </connection>
  <connection id="17" xr16:uid="{851F9475-3743-473B-8806-46FB6CBE85DD}" keepAlive="1" name="Query - Table410 (Page 108)" description="Connection to the 'Table410 (Page 108)' query in the workbook." type="5" refreshedVersion="8" background="1" saveData="1">
    <dbPr connection="Provider=Microsoft.Mashup.OleDb.1;Data Source=$Workbook$;Location=&quot;Table410 (Page 108)&quot;;Extended Properties=&quot;&quot;" command="SELECT * FROM [Table410 (Page 108)]"/>
  </connection>
  <connection id="18" xr16:uid="{ADD91078-BE55-4489-AB8B-1BE5D8D0F263}" keepAlive="1" name="Query - Table410 (Page 108) (2)" description="Connection to the 'Table410 (Page 108) (2)' query in the workbook." type="5" refreshedVersion="8" background="1" saveData="1">
    <dbPr connection="Provider=Microsoft.Mashup.OleDb.1;Data Source=$Workbook$;Location=&quot;Table410 (Page 108) (2)&quot;;Extended Properties=&quot;&quot;" command="SELECT * FROM [Table410 (Page 108) (2)]"/>
  </connection>
  <connection id="19" xr16:uid="{DCC0258A-D634-43B7-9D8C-18B4B83EEEAD}" keepAlive="1" name="Query - Table411 (Page 108)" description="Connection to the 'Table411 (Page 108)' query in the workbook." type="5" refreshedVersion="0" background="1">
    <dbPr connection="Provider=Microsoft.Mashup.OleDb.1;Data Source=$Workbook$;Location=&quot;Table411 (Page 108)&quot;;Extended Properties=&quot;&quot;" command="SELECT * FROM [Table411 (Page 108)]"/>
  </connection>
  <connection id="20" xr16:uid="{F0B0ECA6-0ABF-47EB-98A3-366594DAA961}" keepAlive="1" name="Query - Table415 (Page 109)" description="Connection to the 'Table415 (Page 109)' query in the workbook." type="5" refreshedVersion="8" background="1" saveData="1">
    <dbPr connection="Provider=Microsoft.Mashup.OleDb.1;Data Source=$Workbook$;Location=&quot;Table415 (Page 109)&quot;;Extended Properties=&quot;&quot;" command="SELECT * FROM [Table415 (Page 109)]"/>
  </connection>
  <connection id="21" xr16:uid="{6F26EABD-79B5-4A97-BD64-ACB5CBCABE5B}" keepAlive="1" name="Query - Table415 (Page 109) (2)" description="Connection to the 'Table415 (Page 109) (2)' query in the workbook." type="5" refreshedVersion="8" background="1" saveData="1">
    <dbPr connection="Provider=Microsoft.Mashup.OleDb.1;Data Source=$Workbook$;Location=&quot;Table415 (Page 109) (2)&quot;;Extended Properties=&quot;&quot;" command="SELECT * FROM [Table415 (Page 109) (2)]"/>
  </connection>
  <connection id="22" xr16:uid="{94F1B053-3942-4572-BBF2-8C52CE8C9A96}" keepAlive="1" name="Query - Table417 (Page 110)" description="Connection to the 'Table417 (Page 110)' query in the workbook." type="5" refreshedVersion="8" background="1" saveData="1">
    <dbPr connection="Provider=Microsoft.Mashup.OleDb.1;Data Source=$Workbook$;Location=&quot;Table417 (Page 110)&quot;;Extended Properties=&quot;&quot;" command="SELECT * FROM [Table417 (Page 110)]"/>
  </connection>
  <connection id="23" xr16:uid="{A833078A-FC3B-B245-8442-CBD81A002560}" keepAlive="1" name="Query - Table417 (Page 110) (2)" description="Connection to the 'Table417 (Page 110) (2)' query in the workbook." type="5" refreshedVersion="8" background="1" saveData="1">
    <dbPr connection="Provider=Microsoft.Mashup.OleDb.1;Data Source=$Workbook$;Location=&quot;Table417 (Page 110) (2)&quot;;Extended Properties=&quot;&quot;" command="SELECT * FROM [Table417 (Page 110) (2)]"/>
  </connection>
  <connection id="24" xr16:uid="{388C1907-4F28-4328-9911-88216DE102F1}" keepAlive="1" name="Query - Table446 (Page 145)" description="Connection to the 'Table446 (Page 145)' query in the workbook." type="5" refreshedVersion="8" background="1" saveData="1">
    <dbPr connection="Provider=Microsoft.Mashup.OleDb.1;Data Source=$Workbook$;Location=&quot;Table446 (Page 145)&quot;;Extended Properties=&quot;&quot;" command="SELECT * FROM [Table446 (Page 145)]"/>
  </connection>
  <connection id="25" xr16:uid="{BA010150-F43B-AD47-B68C-228D4FD8E2A7}" keepAlive="1" name="Query - Table446 (Page 145) (2)" description="Connection to the 'Table446 (Page 145) (2)' query in the workbook." type="5" refreshedVersion="8" background="1" saveData="1">
    <dbPr connection="Provider=Microsoft.Mashup.OleDb.1;Data Source=$Workbook$;Location=&quot;Table446 (Page 145) (2)&quot;;Extended Properties=&quot;&quot;" command="SELECT * FROM [Table446 (Page 145) (2)]"/>
  </connection>
  <connection id="26" xr16:uid="{74D23FFF-FDA5-4B00-95CF-7E7CBA5E8F0B}" keepAlive="1" name="Query - Table447 (Page 146)" description="Connection to the 'Table447 (Page 146)' query in the workbook." type="5" refreshedVersion="8" background="1" saveData="1">
    <dbPr connection="Provider=Microsoft.Mashup.OleDb.1;Data Source=$Workbook$;Location=&quot;Table447 (Page 146)&quot;;Extended Properties=&quot;&quot;" command="SELECT * FROM [Table447 (Page 146)]"/>
  </connection>
  <connection id="27" xr16:uid="{77B08B27-B2AE-4CCC-BB75-45E196466B4C}" keepAlive="1" name="Query - Table449 (Page 147)" description="Connection to the 'Table449 (Page 147)' query in the workbook." type="5" refreshedVersion="8" background="1" saveData="1">
    <dbPr connection="Provider=Microsoft.Mashup.OleDb.1;Data Source=$Workbook$;Location=&quot;Table449 (Page 147)&quot;;Extended Properties=&quot;&quot;" command="SELECT * FROM [Table449 (Page 147)]"/>
  </connection>
  <connection id="28" xr16:uid="{CF62C89B-28D2-4F5A-A08B-8D029483182B}" keepAlive="1" name="Query - Table450 (Page 147)" description="Connection to the 'Table450 (Page 147)' query in the workbook." type="5" refreshedVersion="0" background="1">
    <dbPr connection="Provider=Microsoft.Mashup.OleDb.1;Data Source=$Workbook$;Location=&quot;Table450 (Page 147)&quot;;Extended Properties=&quot;&quot;" command="SELECT * FROM [Table450 (Page 147)]"/>
  </connection>
  <connection id="29" xr16:uid="{5304F2F8-62FB-41B1-9B7C-704D3ABB54D9}" keepAlive="1" name="Query - Table451 (Page 147)" description="Connection to the 'Table451 (Page 147)' query in the workbook." type="5" refreshedVersion="8" background="1" saveData="1">
    <dbPr connection="Provider=Microsoft.Mashup.OleDb.1;Data Source=$Workbook$;Location=&quot;Table451 (Page 147)&quot;;Extended Properties=&quot;&quot;" command="SELECT * FROM [Table451 (Page 147)]"/>
  </connection>
  <connection id="30" xr16:uid="{D1EE6F22-DBD1-4439-9873-4387048A2CF0}" keepAlive="1" name="Query - Table452 (Page 147)" description="Connection to the 'Table452 (Page 147)' query in the workbook." type="5" refreshedVersion="8" background="1" saveData="1">
    <dbPr connection="Provider=Microsoft.Mashup.OleDb.1;Data Source=$Workbook$;Location=&quot;Table452 (Page 147)&quot;;Extended Properties=&quot;&quot;" command="SELECT * FROM [Table452 (Page 147)]"/>
  </connection>
  <connection id="31" xr16:uid="{449CE38C-1202-4122-9B72-151082EB4612}" keepAlive="1" name="Query - Table474 (Page 135)" description="Connection to the 'Table474 (Page 135)' query in the workbook." type="5" refreshedVersion="8" background="1" saveData="1">
    <dbPr connection="Provider=Microsoft.Mashup.OleDb.1;Data Source=$Workbook$;Location=&quot;Table474 (Page 135)&quot;;Extended Properties=&quot;&quot;" command="SELECT * FROM [Table474 (Page 135)]"/>
  </connection>
  <connection id="32" xr16:uid="{CC935BEB-7AD8-4778-9DEA-A7A28746F922}" keepAlive="1" name="Query - Table476 (Page 136)" description="Connection to the 'Table476 (Page 136)' query in the workbook." type="5" refreshedVersion="8" background="1" saveData="1">
    <dbPr connection="Provider=Microsoft.Mashup.OleDb.1;Data Source=$Workbook$;Location=&quot;Table476 (Page 136)&quot;;Extended Properties=&quot;&quot;" command="SELECT * FROM [Table476 (Page 136)]"/>
  </connection>
  <connection id="33" xr16:uid="{726001B0-EF52-49D7-ADD4-5B7E414F51C8}" keepAlive="1" name="Query - Table476 (Page 136) (2)" description="Connection to the 'Table476 (Page 136) (2)' query in the workbook." type="5" refreshedVersion="8" background="1" saveData="1">
    <dbPr connection="Provider=Microsoft.Mashup.OleDb.1;Data Source=$Workbook$;Location=&quot;Table476 (Page 136) (2)&quot;;Extended Properties=&quot;&quot;" command="SELECT * FROM [Table476 (Page 136) (2)]"/>
  </connection>
  <connection id="34" xr16:uid="{77D29564-6E04-4F8D-BBB1-D2CB57C5768F}" keepAlive="1" name="Query - Table478 (Page 137)" description="Connection to the 'Table478 (Page 137)' query in the workbook." type="5" refreshedVersion="8" background="1" saveData="1">
    <dbPr connection="Provider=Microsoft.Mashup.OleDb.1;Data Source=$Workbook$;Location=&quot;Table478 (Page 137)&quot;;Extended Properties=&quot;&quot;" command="SELECT * FROM [Table478 (Page 137)]"/>
  </connection>
  <connection id="35" xr16:uid="{E20FA2AD-B9AB-5648-8349-B72F6206A8FE}" keepAlive="1" name="Query - Table478 (Page 137) (2)" description="Connection to the 'Table478 (Page 137) (2)' query in the workbook." type="5" refreshedVersion="8" background="1" saveData="1">
    <dbPr connection="Provider=Microsoft.Mashup.OleDb.1;Data Source=$Workbook$;Location=&quot;Table478 (Page 137) (2)&quot;;Extended Properties=&quot;&quot;" command="SELECT * FROM [Table478 (Page 137) (2)]"/>
  </connection>
  <connection id="36" xr16:uid="{5CB6BDBE-4E29-BD4B-8917-AB7A1364B2B8}" keepAlive="1" name="Query - Table478 (Page 137) (3)" description="Connection to the 'Table478 (Page 137) (3)' query in the workbook." type="5" refreshedVersion="8" background="1" saveData="1">
    <dbPr connection="Provider=Microsoft.Mashup.OleDb.1;Data Source=$Workbook$;Location=&quot;Table478 (Page 137) (3)&quot;;Extended Properties=&quot;&quot;" command="SELECT * FROM [Table478 (Page 137) (3)]"/>
  </connection>
  <connection id="37" xr16:uid="{E8766CCE-0E0D-4636-895B-47F60DFC03D4}" keepAlive="1" name="Query - Table479 (Page 137)" description="Connection to the 'Table479 (Page 137)' query in the workbook." type="5" refreshedVersion="0" background="1">
    <dbPr connection="Provider=Microsoft.Mashup.OleDb.1;Data Source=$Workbook$;Location=&quot;Table479 (Page 137)&quot;;Extended Properties=&quot;&quot;" command="SELECT * FROM [Table479 (Page 137)]"/>
  </connection>
  <connection id="38" xr16:uid="{4B2E011E-8534-4E76-8275-017EAE276819}" keepAlive="1" name="Query - Table480 (Page 137)" description="Connection to the 'Table480 (Page 137)' query in the workbook." type="5" refreshedVersion="0" background="1">
    <dbPr connection="Provider=Microsoft.Mashup.OleDb.1;Data Source=$Workbook$;Location=&quot;Table480 (Page 137)&quot;;Extended Properties=&quot;&quot;" command="SELECT * FROM [Table480 (Page 137)]"/>
  </connection>
  <connection id="39" xr16:uid="{65BE4359-BF47-4169-8F5B-C5F5AC51B918}" keepAlive="1" name="Query - Table480 (Page 137) (2)" description="Connection to the 'Table480 (Page 137) (2)' query in the workbook." type="5" refreshedVersion="8" background="1" saveData="1">
    <dbPr connection="Provider=Microsoft.Mashup.OleDb.1;Data Source=$Workbook$;Location=&quot;Table480 (Page 137) (2)&quot;;Extended Properties=&quot;&quot;" command="SELECT * FROM [Table480 (Page 137) (2)]"/>
  </connection>
  <connection id="40" xr16:uid="{E160674D-EFAF-4BC1-BB8E-974168F8EF3F}" keepAlive="1" name="Query - Table481 (Page 137)" description="Connection to the 'Table481 (Page 137)' query in the workbook." type="5" refreshedVersion="0" background="1">
    <dbPr connection="Provider=Microsoft.Mashup.OleDb.1;Data Source=$Workbook$;Location=&quot;Table481 (Page 137)&quot;;Extended Properties=&quot;&quot;" command="SELECT * FROM [Table481 (Page 137)]"/>
  </connection>
</connections>
</file>

<file path=xl/sharedStrings.xml><?xml version="1.0" encoding="utf-8"?>
<sst xmlns="http://schemas.openxmlformats.org/spreadsheetml/2006/main" count="3276" uniqueCount="2743">
  <si>
    <t>Revenue</t>
  </si>
  <si>
    <t>Cost of sales</t>
  </si>
  <si>
    <t>Gross profit</t>
  </si>
  <si>
    <t>Depreciation and amortisation</t>
  </si>
  <si>
    <t>Other administrative expenses</t>
  </si>
  <si>
    <t>Individually Significant Items</t>
  </si>
  <si>
    <t>Share-based payments</t>
  </si>
  <si>
    <t>Total administrative expenses</t>
  </si>
  <si>
    <t>Operating profit</t>
  </si>
  <si>
    <t>Finance costs</t>
  </si>
  <si>
    <t>Profit before taxation</t>
  </si>
  <si>
    <t>Taxation</t>
  </si>
  <si>
    <t xml:space="preserve">Profit from continuing operations </t>
  </si>
  <si>
    <t xml:space="preserve">Loss from discontinued operations net of tax </t>
  </si>
  <si>
    <t>Profit for the year
attributable to the owners
of the Company</t>
  </si>
  <si>
    <t>Earnings per ordinary share</t>
  </si>
  <si>
    <t>Basic EPS</t>
  </si>
  <si>
    <t>2.3p</t>
  </si>
  <si>
    <t>4.9p</t>
  </si>
  <si>
    <t>2.4p</t>
  </si>
  <si>
    <t>Diluted EPS</t>
  </si>
  <si>
    <t>4.8p</t>
  </si>
  <si>
    <t>Profit for the year attributable to the owners of the Company</t>
  </si>
  <si>
    <t>Other comprehensive income/(loss)</t>
  </si>
  <si>
    <t>Items that may be reclassified subsequently to profit or loss (net of tax)</t>
  </si>
  <si>
    <t>Cash flow hedges – effective portion of changes in fair value</t>
  </si>
  <si>
    <t>Foreign exchange translation differences</t>
  </si>
  <si>
    <t>Total other comprehensive income/(loss)</t>
  </si>
  <si>
    <t>Total comprehensive income/(loss) for the year (net of tax) attributable to the owners of the Company</t>
  </si>
  <si>
    <t>Non-current assets</t>
  </si>
  <si>
    <t>Goodwill</t>
  </si>
  <si>
    <t>Intangible assets</t>
  </si>
  <si>
    <t>Property, plant and equipment</t>
  </si>
  <si>
    <t>Right-of-use assets</t>
  </si>
  <si>
    <t>Investments</t>
  </si>
  <si>
    <t>Deferred tax asset</t>
  </si>
  <si>
    <t>Total non-current assets</t>
  </si>
  <si>
    <t>Current assets</t>
  </si>
  <si>
    <t>Inventories</t>
  </si>
  <si>
    <t>Trade and other receivables</t>
  </si>
  <si>
    <t>Derivative financial instruments</t>
  </si>
  <si>
    <t>Consideration receivable on disposals</t>
  </si>
  <si>
    <t>Current tax receivable</t>
  </si>
  <si>
    <t>Cash and cash equivalents</t>
  </si>
  <si>
    <t>Total current assets</t>
  </si>
  <si>
    <t>Total assets</t>
  </si>
  <si>
    <t>Current liabilities</t>
  </si>
  <si>
    <t>Trade and other payables</t>
  </si>
  <si>
    <t>Borrowings</t>
  </si>
  <si>
    <t>Lease liabilities</t>
  </si>
  <si>
    <t>Current tax payable</t>
  </si>
  <si>
    <t>Contingent consideration</t>
  </si>
  <si>
    <t>Provisions</t>
  </si>
  <si>
    <t>Consideration on acquisitions</t>
  </si>
  <si>
    <t>Contract liabilities – deferred revenue</t>
  </si>
  <si>
    <t>Total current liabilities</t>
  </si>
  <si>
    <t>Non-current liabilities</t>
  </si>
  <si>
    <t>Deferred tax liabilities</t>
  </si>
  <si>
    <t>Total non-current liabilities</t>
  </si>
  <si>
    <t>Total liabilities</t>
  </si>
  <si>
    <t>Net assets</t>
  </si>
  <si>
    <t>Equity</t>
  </si>
  <si>
    <t>Share capital</t>
  </si>
  <si>
    <t>Share premium</t>
  </si>
  <si>
    <t>Hedging reserve</t>
  </si>
  <si>
    <t>Merger reserve</t>
  </si>
  <si>
    <t>Currency translation reserve</t>
  </si>
  <si>
    <t>Retained earnings</t>
  </si>
  <si>
    <t>Total equity attributable to equity holders of the Parent</t>
  </si>
  <si>
    <t xml:space="preserve">Total Equity and Liabilities </t>
  </si>
  <si>
    <t>Cash flows from operating activities</t>
  </si>
  <si>
    <t>Profit for the year</t>
  </si>
  <si>
    <t>Adjustments for:</t>
  </si>
  <si>
    <t>Depreciation of property, plant and equipment</t>
  </si>
  <si>
    <t>Depreciation of right-of-use assets</t>
  </si>
  <si>
    <t>Cash-settled share-based payments</t>
  </si>
  <si>
    <t>–</t>
  </si>
  <si>
    <t>Amortisation of customer contracts and relationships</t>
  </si>
  <si>
    <t>Foreign exchange</t>
  </si>
  <si>
    <t>Amortisation of software and development costs</t>
  </si>
  <si>
    <t>Individually Significant Items (non-cash impact)</t>
  </si>
  <si>
    <t>Impairment reversal of right-of-use assets</t>
  </si>
  <si>
    <t>Lease financing costs</t>
  </si>
  <si>
    <t>Loss on disposal of subsidiaries</t>
  </si>
  <si>
    <t>Other financing costs</t>
  </si>
  <si>
    <t>Acquisition of businesses – transaction costs</t>
  </si>
  <si>
    <t>Profit on disposal of right-of-use assets</t>
  </si>
  <si>
    <t>Cash inflow for the year before changes in working capital</t>
  </si>
  <si>
    <t>Profit on sale of intangible assets</t>
  </si>
  <si>
    <t>Loss on sale of property, plant and equipment</t>
  </si>
  <si>
    <t>Research and development UK tax credits</t>
  </si>
  <si>
    <t>Research and development US tax credits</t>
  </si>
  <si>
    <t>Cash generated from operating activities before interest and taxation</t>
  </si>
  <si>
    <t>Income tax expense</t>
  </si>
  <si>
    <t>Increase in provisions</t>
  </si>
  <si>
    <t>Taxation paid</t>
  </si>
  <si>
    <t>(Increase)/decrease in trade and other receivables</t>
  </si>
  <si>
    <t>Purchase of property, plant and equipment</t>
  </si>
  <si>
    <t>Decrease/(increase) in inventories</t>
  </si>
  <si>
    <t>Software and development expenditure</t>
  </si>
  <si>
    <t>Increase/(decrease) in trade and other payables</t>
  </si>
  <si>
    <t>Acquisition of businesses</t>
  </si>
  <si>
    <t>Net proceeds from sale of subsidiaries and investments</t>
  </si>
  <si>
    <t>Interest element of lease payments</t>
  </si>
  <si>
    <t>Other interest paid</t>
  </si>
  <si>
    <t>Net cash generated from operating activities</t>
  </si>
  <si>
    <t>Proceeds from the issue of ordinary share capital</t>
  </si>
  <si>
    <t>Cash flows from investing activities</t>
  </si>
  <si>
    <t>Acquisition of trade and assets as part of business combinations</t>
  </si>
  <si>
    <t>Repayment of borrowings</t>
  </si>
  <si>
    <t>Equity dividends paid</t>
  </si>
  <si>
    <t>Proceed from sale of intangible assets</t>
  </si>
  <si>
    <t>Net increase in cash and cash equivalents</t>
  </si>
  <si>
    <t>Net Cash used in investing activities</t>
  </si>
  <si>
    <t>Cash and cash equivalents at beginning of year</t>
  </si>
  <si>
    <t xml:space="preserve">Cash Flows from financing activities </t>
  </si>
  <si>
    <t>Effect of foreign currency exchange rate changes</t>
  </si>
  <si>
    <t>Cash and cash equivalents at end of year</t>
  </si>
  <si>
    <t>Principal element of lease payments</t>
  </si>
  <si>
    <t>Drawdown of borrowings (net of deferred issue costs)</t>
  </si>
  <si>
    <t>Issue costs related to borrowings</t>
  </si>
  <si>
    <t>Effect of foreign currency on cash flows</t>
  </si>
  <si>
    <t>Net cash generated from/(used in) financing activities</t>
  </si>
  <si>
    <t>Foreign currency translation differences on borrowings</t>
  </si>
  <si>
    <t>Net (decrease)/increase in cash and cash equivalents</t>
  </si>
  <si>
    <t>Reconciliation of net change in cash and cash equivalents to movement in net cash/(debt)</t>
  </si>
  <si>
    <t>Change in net debt^{1} resulting from cash flows (net of deferred issue costs)</t>
  </si>
  <si>
    <t>Interest incurred on borrowings</t>
  </si>
  <si>
    <t>Interest paid on borrowings</t>
  </si>
  <si>
    <t>Non-cash movements (release of deferred issue costs)</t>
  </si>
  <si>
    <t>Change in net cash/(debt)</t>
  </si>
  <si>
    <t>Net debt</t>
  </si>
  <si>
    <t>Net cash/(debt)</t>
  </si>
  <si>
    <t>C</t>
  </si>
  <si>
    <t>Administrative expenses:</t>
  </si>
  <si>
    <t>Total administrative expenses/ OPEX</t>
  </si>
  <si>
    <t>OA</t>
  </si>
  <si>
    <t>DTA</t>
  </si>
  <si>
    <t>D</t>
  </si>
  <si>
    <t>OL</t>
  </si>
  <si>
    <t>DTL</t>
  </si>
  <si>
    <t>E</t>
  </si>
  <si>
    <t>NOA</t>
  </si>
  <si>
    <t>NOL</t>
  </si>
  <si>
    <t>Operating Assets</t>
  </si>
  <si>
    <t>Non-operting Assets</t>
  </si>
  <si>
    <t>Excess Cash</t>
  </si>
  <si>
    <t>EC</t>
  </si>
  <si>
    <t>Deferred Tax Asset</t>
  </si>
  <si>
    <t>Cash</t>
  </si>
  <si>
    <t>TOTAL ASSETS</t>
  </si>
  <si>
    <t>Operating Liabilities</t>
  </si>
  <si>
    <t>Debt</t>
  </si>
  <si>
    <t>Debt Equivalent</t>
  </si>
  <si>
    <t>DE</t>
  </si>
  <si>
    <t>Deferred Tax Liabilities</t>
  </si>
  <si>
    <t>Minority Interest</t>
  </si>
  <si>
    <t>MI</t>
  </si>
  <si>
    <t>TOTAL LIABILITIES &amp; EQUITIES</t>
  </si>
  <si>
    <t>Check</t>
  </si>
  <si>
    <t>Non-Operating Liabilites</t>
  </si>
  <si>
    <t>Total</t>
  </si>
  <si>
    <t xml:space="preserve">Operating Cash taxes </t>
  </si>
  <si>
    <t>NOPLAT</t>
  </si>
  <si>
    <t>Reconciliation to net Income</t>
  </si>
  <si>
    <t>Net income</t>
  </si>
  <si>
    <t>Interest Expense</t>
  </si>
  <si>
    <t xml:space="preserve">Interest Tax shiled </t>
  </si>
  <si>
    <t>Operating Current Asset</t>
  </si>
  <si>
    <t xml:space="preserve">Operating Current Liabilities </t>
  </si>
  <si>
    <t>Invested Capital Without Goodwill</t>
  </si>
  <si>
    <t>Invested Capital With Goodwill</t>
  </si>
  <si>
    <t>Invested Capital</t>
  </si>
  <si>
    <t>Total Funds Invested</t>
  </si>
  <si>
    <t xml:space="preserve">Reconciliation of total funds invested </t>
  </si>
  <si>
    <t>Operating Working Capital</t>
  </si>
  <si>
    <t xml:space="preserve">Debt and debt equivalents </t>
  </si>
  <si>
    <t xml:space="preserve">Equity and equity equivalents </t>
  </si>
  <si>
    <t>short term Lease liabilities</t>
  </si>
  <si>
    <t>short term Borrowings</t>
  </si>
  <si>
    <t>FINANCIAL RATIOS</t>
  </si>
  <si>
    <t>KEY RATIOS</t>
  </si>
  <si>
    <t>Profitability Ratios</t>
  </si>
  <si>
    <t>Gross Margin</t>
  </si>
  <si>
    <t>EBIT Margin</t>
  </si>
  <si>
    <t>Pre-tax Margin</t>
  </si>
  <si>
    <t>Net Margin</t>
  </si>
  <si>
    <t>Return on Asset</t>
  </si>
  <si>
    <t>Return on Equity</t>
  </si>
  <si>
    <t>Return on Invested Capital</t>
  </si>
  <si>
    <t>Activity Ratios</t>
  </si>
  <si>
    <t>Inventory Turnover</t>
  </si>
  <si>
    <t>Inventory Days</t>
  </si>
  <si>
    <t>Receivable turnover</t>
  </si>
  <si>
    <t>Sales Outstanding Days</t>
  </si>
  <si>
    <t>Payables Turnover</t>
  </si>
  <si>
    <t>Payables Days</t>
  </si>
  <si>
    <t>Total Asset Turnover</t>
  </si>
  <si>
    <t>Operating Asset Turnover</t>
  </si>
  <si>
    <t>Liquidity Ratios</t>
  </si>
  <si>
    <t>Current ratio</t>
  </si>
  <si>
    <t>Quick Ratio</t>
  </si>
  <si>
    <t>Cash ratio</t>
  </si>
  <si>
    <t>Cash conversion cycle</t>
  </si>
  <si>
    <t>Solvency Ratios</t>
  </si>
  <si>
    <t>Debt to Equity ratio</t>
  </si>
  <si>
    <t>Total debt Ratio</t>
  </si>
  <si>
    <t>Total debt Ratio [ + contingent liabilities]</t>
  </si>
  <si>
    <t>Financial leverage/Equity Multiplier ratio</t>
  </si>
  <si>
    <t>Leverage Ratios</t>
  </si>
  <si>
    <t>Times interest covered</t>
  </si>
  <si>
    <t>Times cash flow coverage</t>
  </si>
  <si>
    <t>Fixed charge coverage</t>
  </si>
  <si>
    <t>Cash flow Ratios</t>
  </si>
  <si>
    <t>Cash flow-to-revenue</t>
  </si>
  <si>
    <t>Cash return on asset</t>
  </si>
  <si>
    <t>Cash return on equity</t>
  </si>
  <si>
    <t>Debt coverage ratio</t>
  </si>
  <si>
    <t>Debt coverage ratio [ + contingent liabilities]</t>
  </si>
  <si>
    <t>Other Computations</t>
  </si>
  <si>
    <t>EBITA</t>
  </si>
  <si>
    <t>Marginal Tax Rate</t>
  </si>
  <si>
    <t>Effective Tax Rate</t>
  </si>
  <si>
    <t xml:space="preserve">Taxes </t>
  </si>
  <si>
    <t>Subtract (Add): Taxes on non-operating income (expenses)</t>
  </si>
  <si>
    <t>Taxes on interest income</t>
  </si>
  <si>
    <t>Taxes on Other Income</t>
  </si>
  <si>
    <t>Taxes on other non-operating income</t>
  </si>
  <si>
    <t>Add: Taxes on financing expenses</t>
  </si>
  <si>
    <t>Tax shield on interest expense</t>
  </si>
  <si>
    <t>Tax shield on capitalized operating lease</t>
  </si>
  <si>
    <t>Operating taxes</t>
  </si>
  <si>
    <t>Operating Tax</t>
  </si>
  <si>
    <t>Operating Cash Taxes</t>
  </si>
  <si>
    <t>Operating Cash Tax Rate</t>
  </si>
  <si>
    <t>Growth in NOPLAT</t>
  </si>
  <si>
    <t>ROIC</t>
  </si>
  <si>
    <t>Opex margin</t>
  </si>
  <si>
    <t xml:space="preserve">Cash Flow avaialable to investors </t>
  </si>
  <si>
    <t xml:space="preserve">Reconciliation of cash flow available to investors </t>
  </si>
  <si>
    <t xml:space="preserve">Increase in equity </t>
  </si>
  <si>
    <t>Dividend paid</t>
  </si>
  <si>
    <t xml:space="preserve">Cash flow to debt and debt equivalents </t>
  </si>
  <si>
    <t xml:space="preserve">Cash flow to equity and equity equivalents </t>
  </si>
  <si>
    <t xml:space="preserve">Free cash flow </t>
  </si>
  <si>
    <t xml:space="preserve">Gross cash flow </t>
  </si>
  <si>
    <t>Increase(Decrease) in provisions</t>
  </si>
  <si>
    <t xml:space="preserve">Decrease (increase) in excess cash </t>
  </si>
  <si>
    <t>Unexplained foreign-currency translation</t>
  </si>
  <si>
    <t>Decrease (Increase) Derivative financial instruments</t>
  </si>
  <si>
    <t>Nonoperating Taxes</t>
  </si>
  <si>
    <t xml:space="preserve">Income Availabe to investors </t>
  </si>
  <si>
    <t xml:space="preserve">Interest expense </t>
  </si>
  <si>
    <t xml:space="preserve">Decrease (increase) in short and long-term capital leases </t>
  </si>
  <si>
    <t xml:space="preserve">Decrease (increase) in short and  long-term debt </t>
  </si>
  <si>
    <t>Decrease/(increase) in Godwill</t>
  </si>
  <si>
    <t xml:space="preserve">Decrease/(increase) in Intangibles </t>
  </si>
  <si>
    <t xml:space="preserve">After tax expenses shield </t>
  </si>
  <si>
    <t>INFOTEL</t>
  </si>
  <si>
    <t>SOFTWARE AG</t>
  </si>
  <si>
    <t>ORIGO HF</t>
  </si>
  <si>
    <t>EQUASENS</t>
  </si>
  <si>
    <t>AUBAY</t>
  </si>
  <si>
    <t>MICRO FOCUS INTERNATIONAL</t>
  </si>
  <si>
    <t>MICROLISE GROUP PLC</t>
  </si>
  <si>
    <t>CY4GATE SPA</t>
  </si>
  <si>
    <t>CY4 IM Equity</t>
  </si>
  <si>
    <t>WITHSECURE OYJ</t>
  </si>
  <si>
    <t>WITH FH Equity</t>
  </si>
  <si>
    <t>KAPE TECHNOLOGIES PLC</t>
  </si>
  <si>
    <t>KAPE LN Equity</t>
  </si>
  <si>
    <t>NCC GROUP PLC</t>
  </si>
  <si>
    <t>NCC LN Equity</t>
  </si>
  <si>
    <t>Median</t>
  </si>
  <si>
    <t>Debt/EBITDA LF</t>
  </si>
  <si>
    <t>Raw Beta:Y-1</t>
  </si>
  <si>
    <t>EV / EBITDA Adj LF</t>
  </si>
  <si>
    <t>ROE LF</t>
  </si>
  <si>
    <t>P/E LF</t>
  </si>
  <si>
    <t>ROIC LF</t>
  </si>
  <si>
    <t>Name</t>
  </si>
  <si>
    <t>CCS PZ Equity</t>
  </si>
  <si>
    <t>CROSSWORD CYBERS</t>
  </si>
  <si>
    <t>WHK AU Equity</t>
  </si>
  <si>
    <t>WHITEHAWK LTD</t>
  </si>
  <si>
    <t>290270 KS Equity</t>
  </si>
  <si>
    <t>HUNESION CO LTD</t>
  </si>
  <si>
    <t>214180 KS Equity</t>
  </si>
  <si>
    <t>HECTO INNOVATION</t>
  </si>
  <si>
    <t>RISK SS Equity</t>
  </si>
  <si>
    <t>RISK INTELLIGENC</t>
  </si>
  <si>
    <t>CLOQ US Equity</t>
  </si>
  <si>
    <t>CYBERLOQ TECHNOL</t>
  </si>
  <si>
    <t>EMNC US Equity</t>
  </si>
  <si>
    <t>E-MONEE.COM INC</t>
  </si>
  <si>
    <t>S4E PW Equity</t>
  </si>
  <si>
    <t>S4E</t>
  </si>
  <si>
    <t>CLSA3 BZ Equity</t>
  </si>
  <si>
    <t>CLEAR SALE SA</t>
  </si>
  <si>
    <t>1912326Z LN Equity</t>
  </si>
  <si>
    <t>INFORTREND EUROP</t>
  </si>
  <si>
    <t>ZWBC US Equity</t>
  </si>
  <si>
    <t>GOLDKEY CORP</t>
  </si>
  <si>
    <t>OPTV US Equity</t>
  </si>
  <si>
    <t>OPTIV INC</t>
  </si>
  <si>
    <t>SMCSL IN Equity</t>
  </si>
  <si>
    <t>SMART CAPITAL SE</t>
  </si>
  <si>
    <t>BRTI US Equity</t>
  </si>
  <si>
    <t>BLACKRIDGE TECHN</t>
  </si>
  <si>
    <t>PFM PW Equity</t>
  </si>
  <si>
    <t>PFMEDICAL</t>
  </si>
  <si>
    <t>TNT AU Equity</t>
  </si>
  <si>
    <t>TESSERENT LTD</t>
  </si>
  <si>
    <t>EBWK US Equity</t>
  </si>
  <si>
    <t>ENIGMA-BULWARK L</t>
  </si>
  <si>
    <t>TKF AU Equity</t>
  </si>
  <si>
    <t>TIKFORCE LTD</t>
  </si>
  <si>
    <t>ARTD US Equity</t>
  </si>
  <si>
    <t>ARTISTDIRECT INC</t>
  </si>
  <si>
    <t>DTSS US Equity</t>
  </si>
  <si>
    <t>DATASEA INC</t>
  </si>
  <si>
    <t>CYB1 SS Equity</t>
  </si>
  <si>
    <t>CYBER SECURITY 1</t>
  </si>
  <si>
    <t>SFET IT Equity</t>
  </si>
  <si>
    <t>SAFE-T GROUP LTD</t>
  </si>
  <si>
    <t>CGUD US Equity</t>
  </si>
  <si>
    <t>COM-GUARD.COM IN</t>
  </si>
  <si>
    <t>ZRFY US Equity</t>
  </si>
  <si>
    <t>ZERIFY INC</t>
  </si>
  <si>
    <t>IMTL US Equity</t>
  </si>
  <si>
    <t>IMAGE PROTECT IN</t>
  </si>
  <si>
    <t>NSEO US Equity</t>
  </si>
  <si>
    <t>NS8 CORP</t>
  </si>
  <si>
    <t>AV1 AU Equity</t>
  </si>
  <si>
    <t>ADVERITAS LTD</t>
  </si>
  <si>
    <t>DFX LN Equity</t>
  </si>
  <si>
    <t>DEFENX PLC</t>
  </si>
  <si>
    <t>PAT CN Equity</t>
  </si>
  <si>
    <t>PATRIOT ONE TECH</t>
  </si>
  <si>
    <t>SNKRN TI Equity</t>
  </si>
  <si>
    <t>SENKRON GUVENLIK</t>
  </si>
  <si>
    <t>3802136Z LN Equity</t>
  </si>
  <si>
    <t>LA INTERNATIONAL</t>
  </si>
  <si>
    <t>POSI RM Equity</t>
  </si>
  <si>
    <t>POSITIVE GROUP P</t>
  </si>
  <si>
    <t>SBB IM Equity</t>
  </si>
  <si>
    <t>SABABA SECURITY</t>
  </si>
  <si>
    <t>EXN FP Equity</t>
  </si>
  <si>
    <t>EXCLUSIVE NETWOR</t>
  </si>
  <si>
    <t>DSS US Equity</t>
  </si>
  <si>
    <t>DSS INC</t>
  </si>
  <si>
    <t>ZESEC SS Equity</t>
  </si>
  <si>
    <t>ZESEC OF SWEDEN</t>
  </si>
  <si>
    <t>SNT US Equity</t>
  </si>
  <si>
    <t>SENSTAR TECHNOLO</t>
  </si>
  <si>
    <t>4017052Z BB Equity</t>
  </si>
  <si>
    <t>KAPPA DATA BVBA</t>
  </si>
  <si>
    <t>O5H GR Equity</t>
  </si>
  <si>
    <t>OPENLIMIT HOLDIN</t>
  </si>
  <si>
    <t>SSVC US Equity</t>
  </si>
  <si>
    <t>SECURED SERVICES</t>
  </si>
  <si>
    <t>CISO US Equity</t>
  </si>
  <si>
    <t>CERBERUS CYBER S</t>
  </si>
  <si>
    <t>DGIF US Equity</t>
  </si>
  <si>
    <t>D7 ENTERPRISES I</t>
  </si>
  <si>
    <t>IRNT US Equity</t>
  </si>
  <si>
    <t>IRONNET INC</t>
  </si>
  <si>
    <t>CYBF US Equity</t>
  </si>
  <si>
    <t>CYBERFORT SOFTWA</t>
  </si>
  <si>
    <t>4318525Z IM Equity</t>
  </si>
  <si>
    <t>FUTURE TIME SRL</t>
  </si>
  <si>
    <t>CYPJ US Equity</t>
  </si>
  <si>
    <t>CYBER OPERATIONS</t>
  </si>
  <si>
    <t>LGTT US Equity</t>
  </si>
  <si>
    <t>LIGATT SECURITY</t>
  </si>
  <si>
    <t>SPSY LN Equity</t>
  </si>
  <si>
    <t>SPECTRA SYSTEMS</t>
  </si>
  <si>
    <t>HOIDEZ KS Equity</t>
  </si>
  <si>
    <t>HOIDE LAB</t>
  </si>
  <si>
    <t>CMNT US Equity</t>
  </si>
  <si>
    <t>CHINA MULANS NAN</t>
  </si>
  <si>
    <t>CGL AU Equity</t>
  </si>
  <si>
    <t>CITADEL GROUP PT</t>
  </si>
  <si>
    <t>BRSD LN Equity</t>
  </si>
  <si>
    <t>BRANDSHIELD SYST</t>
  </si>
  <si>
    <t>NADA US Equity</t>
  </si>
  <si>
    <t>N AMERN DATACOM</t>
  </si>
  <si>
    <t>AGPL US Equity</t>
  </si>
  <si>
    <t>APPLE GREEN HOLD</t>
  </si>
  <si>
    <t>SDCH US Equity</t>
  </si>
  <si>
    <t>SIDECHANNEL INC</t>
  </si>
  <si>
    <t>EMUDHRA IN Equity</t>
  </si>
  <si>
    <t>EMUDHRA LTD</t>
  </si>
  <si>
    <t>MLCEC FP Equity</t>
  </si>
  <si>
    <t>CECURITY.COM</t>
  </si>
  <si>
    <t>SP1 AU Equity</t>
  </si>
  <si>
    <t>SOUTHERN CROSS P</t>
  </si>
  <si>
    <t>GLL CN Equity</t>
  </si>
  <si>
    <t>GALLAGHER SECURI</t>
  </si>
  <si>
    <t>SMX AU Equity</t>
  </si>
  <si>
    <t>SECURITY MATTERS</t>
  </si>
  <si>
    <t>6462 TT Equity</t>
  </si>
  <si>
    <t>EGIS TECH</t>
  </si>
  <si>
    <t>ONT IN Equity</t>
  </si>
  <si>
    <t>ONWARD TECHNOLOG</t>
  </si>
  <si>
    <t>WHEN US Equity</t>
  </si>
  <si>
    <t>WORLD HEALTH ENE</t>
  </si>
  <si>
    <t>099440 KS Equity</t>
  </si>
  <si>
    <t>SMEC CO LTD</t>
  </si>
  <si>
    <t>3997 JP Equity</t>
  </si>
  <si>
    <t>TRADE WORKS CO L</t>
  </si>
  <si>
    <t>8045 HK Equity</t>
  </si>
  <si>
    <t>NANDASOFT-H</t>
  </si>
  <si>
    <t>INFOTEC MK Equity</t>
  </si>
  <si>
    <t>INFOLINE TEC GRO</t>
  </si>
  <si>
    <t>SCRG SP Equity</t>
  </si>
  <si>
    <t>SECURA GROUP LTD</t>
  </si>
  <si>
    <t>EAHB MK Equity</t>
  </si>
  <si>
    <t>EA HOLDINGS</t>
  </si>
  <si>
    <t>WIHN SW Equity</t>
  </si>
  <si>
    <t>WISEKEY INT HOLD</t>
  </si>
  <si>
    <t>GBSTL IN Equity</t>
  </si>
  <si>
    <t>GLOBESECURE TECH</t>
  </si>
  <si>
    <t>300397 CH Equity</t>
  </si>
  <si>
    <t>XI AN TIAN HE -A</t>
  </si>
  <si>
    <t>8420 HK Equity</t>
  </si>
  <si>
    <t>NEXION TECHNOLOG</t>
  </si>
  <si>
    <t>049130 KF Equity</t>
  </si>
  <si>
    <t>HAURI INC</t>
  </si>
  <si>
    <t>LPRT SL Equity</t>
  </si>
  <si>
    <t>LAKE HOUSE PRINT</t>
  </si>
  <si>
    <t>FREJA SS Equity</t>
  </si>
  <si>
    <t>FREJA EID GROUP</t>
  </si>
  <si>
    <t>NRST IM Equity</t>
  </si>
  <si>
    <t>NEUROSOFT</t>
  </si>
  <si>
    <t>XPR IM Equity</t>
  </si>
  <si>
    <t>EXPRIVIA SPA</t>
  </si>
  <si>
    <t>CPT AU Equity</t>
  </si>
  <si>
    <t>CIPHERPOINT LTD</t>
  </si>
  <si>
    <t>480S SM Equity</t>
  </si>
  <si>
    <t>SOLUCIONES CUATR</t>
  </si>
  <si>
    <t>688168 CH Equity</t>
  </si>
  <si>
    <t>BEIJING ABT NE-A</t>
  </si>
  <si>
    <t>3849 JP Equity</t>
  </si>
  <si>
    <t>NIPPON TECHNO LA</t>
  </si>
  <si>
    <t>ATDS US Equity</t>
  </si>
  <si>
    <t>DATA443 RISK MIT</t>
  </si>
  <si>
    <t>300609 CH Equity</t>
  </si>
  <si>
    <t>WINNER INFORMA-A</t>
  </si>
  <si>
    <t>OTT1 HB Equity</t>
  </si>
  <si>
    <t>OTT-ONE NYILVANO</t>
  </si>
  <si>
    <t>000004 CH Equity</t>
  </si>
  <si>
    <t>SHENZHEN GUO-A</t>
  </si>
  <si>
    <t>SDWL US Equity</t>
  </si>
  <si>
    <t>SHENGDA NETWORK</t>
  </si>
  <si>
    <t>3888 HK Equity</t>
  </si>
  <si>
    <t>KINGSOFT CORP</t>
  </si>
  <si>
    <t>SWG LN Equity</t>
  </si>
  <si>
    <t>SHEARWATER GROUP</t>
  </si>
  <si>
    <t>275630 KS Equity</t>
  </si>
  <si>
    <t>SSR INC/KOREA</t>
  </si>
  <si>
    <t>222810 KS Equity</t>
  </si>
  <si>
    <t>SETOPIA CO LTD</t>
  </si>
  <si>
    <t>6050 JP Equity</t>
  </si>
  <si>
    <t>E-GUARDIAN INC</t>
  </si>
  <si>
    <t>8379 HK Equity</t>
  </si>
  <si>
    <t>PRIME INTELLIGEN</t>
  </si>
  <si>
    <t>4344 JP Equity</t>
  </si>
  <si>
    <t>SOURCENEXT CORP</t>
  </si>
  <si>
    <t>3042 JP Equity</t>
  </si>
  <si>
    <t>SECUAVAIL INC</t>
  </si>
  <si>
    <t>ISA SJ Equity</t>
  </si>
  <si>
    <t>ISA HOLDINGS LTD</t>
  </si>
  <si>
    <t>CHAMS NL Equity</t>
  </si>
  <si>
    <t>CHAMS PLC</t>
  </si>
  <si>
    <t>8783 JP Equity</t>
  </si>
  <si>
    <t>GFA CO LTD</t>
  </si>
  <si>
    <t>184230 KS Equity</t>
  </si>
  <si>
    <t>SGA SOLUTIONS CO</t>
  </si>
  <si>
    <t>ECSC LN Equity</t>
  </si>
  <si>
    <t>ECSC GROUP PLC</t>
  </si>
  <si>
    <t>049470 KS Equity</t>
  </si>
  <si>
    <t>SGA CO LTD</t>
  </si>
  <si>
    <t>CYR GR Equity</t>
  </si>
  <si>
    <t>CYAN AG</t>
  </si>
  <si>
    <t>CYB IM Equity</t>
  </si>
  <si>
    <t>CYBEROO SPA</t>
  </si>
  <si>
    <t>ETO SJ Equity</t>
  </si>
  <si>
    <t>ETION LTD</t>
  </si>
  <si>
    <t>131090 KS Equity</t>
  </si>
  <si>
    <t>SECUVE CO LTD</t>
  </si>
  <si>
    <t>ADVE SS Equity</t>
  </si>
  <si>
    <t>ADVENICA AB</t>
  </si>
  <si>
    <t>4441 JP Equity</t>
  </si>
  <si>
    <t>TOBILA SYSTEMS I</t>
  </si>
  <si>
    <t>3692 JP Equity</t>
  </si>
  <si>
    <t>FFRI SECURITY IN</t>
  </si>
  <si>
    <t>IGP LN Equity</t>
  </si>
  <si>
    <t>INTERCEDE GROUP</t>
  </si>
  <si>
    <t>INTZ US Equity</t>
  </si>
  <si>
    <t>INTRUSION INC</t>
  </si>
  <si>
    <t>3927 JP Equity</t>
  </si>
  <si>
    <t>FUVA BRAIN LTD</t>
  </si>
  <si>
    <t>CLAV SS Equity</t>
  </si>
  <si>
    <t>CLAVISTER HOLDIN</t>
  </si>
  <si>
    <t>1715442D CH Equity</t>
  </si>
  <si>
    <t>BEIJING LSSEC -A</t>
  </si>
  <si>
    <t>ARR NO Equity</t>
  </si>
  <si>
    <t>ARRIBATEC GROUP</t>
  </si>
  <si>
    <t>002491 CH Equity</t>
  </si>
  <si>
    <t>TONGDING INTER-A</t>
  </si>
  <si>
    <t>300799 CH Equity</t>
  </si>
  <si>
    <t>BEIJING ZUOJIA-A</t>
  </si>
  <si>
    <t>258790 KS Equity</t>
  </si>
  <si>
    <t>SOFTCAMP CO LTD</t>
  </si>
  <si>
    <t>SSH1V FH Equity</t>
  </si>
  <si>
    <t>SSH COMMUNICATIO</t>
  </si>
  <si>
    <t>050960 KS Equity</t>
  </si>
  <si>
    <t>SOOSAN INT CO LT</t>
  </si>
  <si>
    <t>3682 JP Equity</t>
  </si>
  <si>
    <t>ENCOURAGE TECHNO</t>
  </si>
  <si>
    <t>232830 KS Equity</t>
  </si>
  <si>
    <t>SECUCEN CO LTD</t>
  </si>
  <si>
    <t>054920 KS Equity</t>
  </si>
  <si>
    <t>HANCOM WITH INC</t>
  </si>
  <si>
    <t>053350 KS Equity</t>
  </si>
  <si>
    <t>INITECH CO LTD</t>
  </si>
  <si>
    <t>356890 KS Equity</t>
  </si>
  <si>
    <t>CYBERONE CO LTD</t>
  </si>
  <si>
    <t>ROI CN Equity</t>
  </si>
  <si>
    <t>ROUTE1 INC</t>
  </si>
  <si>
    <t>4709 JP Equity</t>
  </si>
  <si>
    <t>ID HOLDINGS CORP</t>
  </si>
  <si>
    <t>4494 JP Equity</t>
  </si>
  <si>
    <t>VARIO SECURE INC</t>
  </si>
  <si>
    <t>208350 KS Equity</t>
  </si>
  <si>
    <t>JIRANSECURITY CO</t>
  </si>
  <si>
    <t>688081 CH Equity</t>
  </si>
  <si>
    <t>WUHAN XINGTU X-A</t>
  </si>
  <si>
    <t>LEVEL SS Equity</t>
  </si>
  <si>
    <t>NORDIC LEVEL GRO</t>
  </si>
  <si>
    <t>ALLIX FP Equity</t>
  </si>
  <si>
    <t>WALLIX GROUP</t>
  </si>
  <si>
    <t>042510 KS Equity</t>
  </si>
  <si>
    <t>RAONSECURE CO LT</t>
  </si>
  <si>
    <t>192250 KS Equity</t>
  </si>
  <si>
    <t>KSIGN CO LTD</t>
  </si>
  <si>
    <t>688027 CH Equity</t>
  </si>
  <si>
    <t>QUANTUMCTEK CO-A</t>
  </si>
  <si>
    <t>263860 KS Equity</t>
  </si>
  <si>
    <t>GENIANS</t>
  </si>
  <si>
    <t>4288 JP Equity</t>
  </si>
  <si>
    <t>ASGENT INC</t>
  </si>
  <si>
    <t>041460 KS Equity</t>
  </si>
  <si>
    <t>KOREA ELECTRONIC</t>
  </si>
  <si>
    <t>6690 TT Equity</t>
  </si>
  <si>
    <t>ACSI</t>
  </si>
  <si>
    <t>CYRN US Equity</t>
  </si>
  <si>
    <t>CYREN LTD</t>
  </si>
  <si>
    <t>HUB IT Equity</t>
  </si>
  <si>
    <t>HUB CYBER SECURI</t>
  </si>
  <si>
    <t>2885 HK Equity</t>
  </si>
  <si>
    <t>PEIPORT HOLDINGS</t>
  </si>
  <si>
    <t>603636 CH Equity</t>
  </si>
  <si>
    <t>LINEWELL SOFTW-A</t>
  </si>
  <si>
    <t>1410 HK Equity</t>
  </si>
  <si>
    <t>EDVANCE INTERNAT</t>
  </si>
  <si>
    <t>1498778D CH Equity</t>
  </si>
  <si>
    <t>ZHONGXIN CYBER-A</t>
  </si>
  <si>
    <t>3328 JP Equity</t>
  </si>
  <si>
    <t>BEENOS INC</t>
  </si>
  <si>
    <t>9702 JP Equity</t>
  </si>
  <si>
    <t>ISB CORP</t>
  </si>
  <si>
    <t>VNT IM Equity</t>
  </si>
  <si>
    <t>VANTEA SMART SPA</t>
  </si>
  <si>
    <t>136540 KS Equity</t>
  </si>
  <si>
    <t>WINS CO LTD</t>
  </si>
  <si>
    <t>APGT US Equity</t>
  </si>
  <si>
    <t>APPGATE INC</t>
  </si>
  <si>
    <t>300297 CH Equity</t>
  </si>
  <si>
    <t>BLUEDON INFORM-A</t>
  </si>
  <si>
    <t>4398 JP Equity</t>
  </si>
  <si>
    <t>BROADBAND SECURI</t>
  </si>
  <si>
    <t>170790 KS Equity</t>
  </si>
  <si>
    <t>PIOLINK INC</t>
  </si>
  <si>
    <t>003004 CH Equity</t>
  </si>
  <si>
    <t>BEIJING TELESO-A</t>
  </si>
  <si>
    <t>7014 JP Equity</t>
  </si>
  <si>
    <t>NAMURA SHIPBUILD</t>
  </si>
  <si>
    <t>4498 JP Equity</t>
  </si>
  <si>
    <t>CYBERTRUST JAPAN</t>
  </si>
  <si>
    <t>053300 KS Equity</t>
  </si>
  <si>
    <t>KOREA INFORMATIO</t>
  </si>
  <si>
    <t>000547 CH Equity</t>
  </si>
  <si>
    <t>ADDSINO CO LTD-A</t>
  </si>
  <si>
    <t>INTEK GA Equity</t>
  </si>
  <si>
    <t>IDEAL HOLDINGS</t>
  </si>
  <si>
    <t>300379 CH Equity</t>
  </si>
  <si>
    <t>BEIJING TONGTE-A</t>
  </si>
  <si>
    <t>067920 KS Equity</t>
  </si>
  <si>
    <t>IGLOO CORP</t>
  </si>
  <si>
    <t>SZSEDZ CH Equity</t>
  </si>
  <si>
    <t>SHENZHEN SED ELE</t>
  </si>
  <si>
    <t>3788 JP Equity</t>
  </si>
  <si>
    <t>GMO GLOBALSIGN H</t>
  </si>
  <si>
    <t>3657 JP Equity</t>
  </si>
  <si>
    <t>POLE TO WIN HOLD</t>
  </si>
  <si>
    <t>688201 CH Equity</t>
  </si>
  <si>
    <t>BEIJING INFOSE-A</t>
  </si>
  <si>
    <t>2326 JP Equity</t>
  </si>
  <si>
    <t>DIGITAL ARTS INC</t>
  </si>
  <si>
    <t>TNXT IM Equity</t>
  </si>
  <si>
    <t>TINEXTA SPA</t>
  </si>
  <si>
    <t>VMX FP Equity</t>
  </si>
  <si>
    <t>VERIMATRIX SA</t>
  </si>
  <si>
    <t>1708344D CH Equity</t>
  </si>
  <si>
    <t>EVERSEC TECHNO-A</t>
  </si>
  <si>
    <t>MCG SJ Equity</t>
  </si>
  <si>
    <t>MULTICHOICE GROU</t>
  </si>
  <si>
    <t>300386 CH Equity</t>
  </si>
  <si>
    <t>FEITIAN TECHNO-A</t>
  </si>
  <si>
    <t>KUD SW Equity</t>
  </si>
  <si>
    <t>KUDELSKI SA-BR</t>
  </si>
  <si>
    <t>600677 CH Equity</t>
  </si>
  <si>
    <t>AEROSPACE COMM-A</t>
  </si>
  <si>
    <t>688619 CH Equity</t>
  </si>
  <si>
    <t>ROPEOK TECHNOL-A</t>
  </si>
  <si>
    <t>300768 CH Equity</t>
  </si>
  <si>
    <t>HANGZHOU DPTEC-A</t>
  </si>
  <si>
    <t>MUB GR Equity</t>
  </si>
  <si>
    <t>MUEHLBAUER HOLDI</t>
  </si>
  <si>
    <t>KAPE TECHNOLOGIE</t>
  </si>
  <si>
    <t>053800 KS Equity</t>
  </si>
  <si>
    <t>AHNLAB INC</t>
  </si>
  <si>
    <t>3040 JP Equity</t>
  </si>
  <si>
    <t>SOLITON SYSTEMS</t>
  </si>
  <si>
    <t>688030 CH Equity</t>
  </si>
  <si>
    <t>HILLSTONE NETW-A</t>
  </si>
  <si>
    <t>300579 CH Equity</t>
  </si>
  <si>
    <t>BEIJING CERTIF-A</t>
  </si>
  <si>
    <t>300659 CH Equity</t>
  </si>
  <si>
    <t>ZHONGFU INFORM-A</t>
  </si>
  <si>
    <t>ABST CN Equity</t>
  </si>
  <si>
    <t>ABSOLUTE SOFTWRE</t>
  </si>
  <si>
    <t>S US Equity</t>
  </si>
  <si>
    <t>SENTINELONE IN-A</t>
  </si>
  <si>
    <t>OSPN US Equity</t>
  </si>
  <si>
    <t>ONESPAN INC</t>
  </si>
  <si>
    <t>300188 CH Equity</t>
  </si>
  <si>
    <t>XIAMEN MEIYA -A</t>
  </si>
  <si>
    <t>300523 CH Equity</t>
  </si>
  <si>
    <t>BEIJING GLOBAL-A</t>
  </si>
  <si>
    <t>KNBE US Equity</t>
  </si>
  <si>
    <t>KNOWBE4 INC-A</t>
  </si>
  <si>
    <t>688225 CH Equity</t>
  </si>
  <si>
    <t>ASIAINFO SECUR-A</t>
  </si>
  <si>
    <t>688023 CH Equity</t>
  </si>
  <si>
    <t>DBAPPSECURITY -A</t>
  </si>
  <si>
    <t>300168 CH Equity</t>
  </si>
  <si>
    <t>WONDERS INFORM-A</t>
  </si>
  <si>
    <t>VRNS US Equity</t>
  </si>
  <si>
    <t>VARONIS SYSTEMS</t>
  </si>
  <si>
    <t>300369 CH Equity</t>
  </si>
  <si>
    <t>NSFOCUS TECHNO-A</t>
  </si>
  <si>
    <t>QLYS US Equity</t>
  </si>
  <si>
    <t>QUALYS INC</t>
  </si>
  <si>
    <t>RPD US Equity</t>
  </si>
  <si>
    <t>RAPID7 INC</t>
  </si>
  <si>
    <t>CYBR US Equity</t>
  </si>
  <si>
    <t>CYBERARK SOFTWAR</t>
  </si>
  <si>
    <t>002212 CH Equity</t>
  </si>
  <si>
    <t>TOPSEC TECHNOL-A</t>
  </si>
  <si>
    <t>BB CN Equity</t>
  </si>
  <si>
    <t>BLACKBERRY LTD</t>
  </si>
  <si>
    <t>002439 CH Equity</t>
  </si>
  <si>
    <t>VENUSTECH GROU-A</t>
  </si>
  <si>
    <t>688561 CH Equity</t>
  </si>
  <si>
    <t>QI AN XIN TECH-A</t>
  </si>
  <si>
    <t>ZS US Equity</t>
  </si>
  <si>
    <t>ZSCALER INC</t>
  </si>
  <si>
    <t>CHKP US Equity</t>
  </si>
  <si>
    <t>CHECK POINT SOFT</t>
  </si>
  <si>
    <t>301165 CH Equity</t>
  </si>
  <si>
    <t>RUIJIE NETWORK-A</t>
  </si>
  <si>
    <t>4704 JP Equity</t>
  </si>
  <si>
    <t>TREND MICRO INC</t>
  </si>
  <si>
    <t>GEN US Equity</t>
  </si>
  <si>
    <t>GEN DIGITAL INC</t>
  </si>
  <si>
    <t>FTNT US Equity</t>
  </si>
  <si>
    <t>FORTINET INC</t>
  </si>
  <si>
    <t>PANW US Equity</t>
  </si>
  <si>
    <t>PALO ALTO NETWOR</t>
  </si>
  <si>
    <t>Ind Rev</t>
  </si>
  <si>
    <t>Mkt Cap</t>
  </si>
  <si>
    <t>Member Ticker</t>
  </si>
  <si>
    <t>Member Companies</t>
  </si>
  <si>
    <t>Cal Yr</t>
  </si>
  <si>
    <t>Year</t>
  </si>
  <si>
    <t>S2 May</t>
  </si>
  <si>
    <t>S1 Nov</t>
  </si>
  <si>
    <t>Date</t>
  </si>
  <si>
    <t>Invested Capital with Goodwill</t>
  </si>
  <si>
    <t>ROIC Without Goodwill</t>
  </si>
  <si>
    <t>ROIC With Goodwill</t>
  </si>
  <si>
    <t>£'M</t>
  </si>
  <si>
    <t>%</t>
  </si>
  <si>
    <t>DUPONT ANALYSIS</t>
  </si>
  <si>
    <t>ROIC with goodwill</t>
  </si>
  <si>
    <t xml:space="preserve">ROIC without good will </t>
  </si>
  <si>
    <t>Goodwill as a % of capital</t>
  </si>
  <si>
    <t xml:space="preserve">Pretax ROIC </t>
  </si>
  <si>
    <t>Cash tax rate</t>
  </si>
  <si>
    <t>Operating margin (EBITA/ Revenue)</t>
  </si>
  <si>
    <t>Revenues/Invested capital (times)</t>
  </si>
  <si>
    <t>Cost of sales/ Revenues</t>
  </si>
  <si>
    <t>Depreciation/ Revenues</t>
  </si>
  <si>
    <t>Other administrating expenses/ revenues</t>
  </si>
  <si>
    <t>Working Capital/ Revenues</t>
  </si>
  <si>
    <t xml:space="preserve">Fixed assets/ Revenues </t>
  </si>
  <si>
    <t>Other assets/ revenues</t>
  </si>
  <si>
    <t>Decomposing ROIC</t>
  </si>
  <si>
    <t>Capital efficiency</t>
  </si>
  <si>
    <t>Operating margin</t>
  </si>
  <si>
    <t>£M</t>
  </si>
  <si>
    <t>Operating cash tax</t>
  </si>
  <si>
    <t>Financial Statement</t>
  </si>
  <si>
    <t>Item</t>
  </si>
  <si>
    <t>Basis of forecast</t>
  </si>
  <si>
    <t>Growth</t>
  </si>
  <si>
    <t>Cost of Sales</t>
  </si>
  <si>
    <t>% of Sales: Cost to Sales</t>
  </si>
  <si>
    <t>Gross Profit</t>
  </si>
  <si>
    <t>Implied</t>
  </si>
  <si>
    <t>OPEX</t>
  </si>
  <si>
    <t>% of Sales: OPEX/Sales</t>
  </si>
  <si>
    <t>EBIT</t>
  </si>
  <si>
    <t>Interest and other income</t>
  </si>
  <si>
    <t>% of Sales; quite neglibile</t>
  </si>
  <si>
    <t>Interest Expenses</t>
  </si>
  <si>
    <t>PBT</t>
  </si>
  <si>
    <t>Tax</t>
  </si>
  <si>
    <t>Tax/PBT: Effective Tax Rate</t>
  </si>
  <si>
    <t>PAT</t>
  </si>
  <si>
    <t>Total Asset</t>
  </si>
  <si>
    <t>Retained Earnings; Beginning Net Asset + Retained Earnings</t>
  </si>
  <si>
    <t>Retained Earnings = PAT * (1 - Payout Rate)</t>
  </si>
  <si>
    <t>Total Liabilities</t>
  </si>
  <si>
    <t>Total Asset - Equity</t>
  </si>
  <si>
    <t>Common size each item to Total Liabilities OR to Total Asset</t>
  </si>
  <si>
    <t>Valuation Model</t>
  </si>
  <si>
    <t>Excess ROE</t>
  </si>
  <si>
    <t>Reinvesmtent</t>
  </si>
  <si>
    <t>Average Reivestment rate of companies in the sector</t>
  </si>
  <si>
    <t>Margins</t>
  </si>
  <si>
    <t xml:space="preserve">Margins of companies in the sector </t>
  </si>
  <si>
    <t>Growth Rate</t>
  </si>
  <si>
    <t>Reinvesmtent * Returns</t>
  </si>
  <si>
    <t>https://pages.stern.nyu.edu/~adamodar/New_Home_Page/dataarchived.html</t>
  </si>
  <si>
    <t>https://pages.stern.nyu.edu/~adamodar/New_Home_Page/datacurrent.html</t>
  </si>
  <si>
    <t>Interest Expenses/Sales</t>
  </si>
  <si>
    <t>Cost of Debt</t>
  </si>
  <si>
    <t>Average debt</t>
  </si>
  <si>
    <t>Interest expenses</t>
  </si>
  <si>
    <t>Revenue Growth Rate</t>
  </si>
  <si>
    <t>Asset Turnover</t>
  </si>
  <si>
    <t>Total Asset Growth</t>
  </si>
  <si>
    <t>Net debt growth rate</t>
  </si>
  <si>
    <t>WACC</t>
  </si>
  <si>
    <t xml:space="preserve">Gain (loss) on disposal </t>
  </si>
  <si>
    <t>Equity comparables (Industry Group)</t>
  </si>
  <si>
    <t xml:space="preserve">ANALYST REVENUE FORECAST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</si>
  <si>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</si>
  <si>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</si>
  <si>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</si>
  <si>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</si>
  <si>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</si>
  <si>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</si>
  <si>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</si>
  <si>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</si>
  <si>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</si>
  <si>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</si>
  <si>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</si>
  <si>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</si>
  <si>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</si>
  <si>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</si>
  <si>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</si>
  <si>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</si>
  <si>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</si>
  <si>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</si>
  <si>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</si>
  <si>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</si>
  <si>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Historical Results</t>
  </si>
  <si>
    <t xml:space="preserve"> Forecast Period</t>
  </si>
  <si>
    <t>FINANCIAL STATEMENTS</t>
  </si>
  <si>
    <t>Assumptions</t>
  </si>
  <si>
    <t>Revenue Growth (% Change)</t>
  </si>
  <si>
    <t>Cost of Goods Sold (% of Revenue)</t>
  </si>
  <si>
    <t>Depreciation &amp; Amortization (% of PP&amp;E)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</si>
  <si>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</si>
  <si>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</si>
  <si>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</si>
  <si>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</si>
  <si>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</si>
  <si>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Supporting Schedules</t>
  </si>
  <si>
    <t>Depreciation Schedule</t>
  </si>
  <si>
    <t>PPE Opening</t>
  </si>
  <si>
    <t>Plus Capex</t>
  </si>
  <si>
    <t>Less Depreciation</t>
  </si>
  <si>
    <t>PPE Closing</t>
  </si>
  <si>
    <t>Tax Rate</t>
  </si>
  <si>
    <t>Perpetural Growth Rate</t>
  </si>
  <si>
    <t>Shares Outstanding</t>
  </si>
  <si>
    <t>Other administrative expenses (% of revenue)</t>
  </si>
  <si>
    <t xml:space="preserve">Capital Expenditures </t>
  </si>
  <si>
    <t xml:space="preserve">Debt Issuance (Repayment) </t>
  </si>
  <si>
    <t xml:space="preserve">Equity Issued (Repaid) </t>
  </si>
  <si>
    <t xml:space="preserve">Decrease (Increase )Deferred Tax Liabilies </t>
  </si>
  <si>
    <t>Payout Ratio</t>
  </si>
  <si>
    <t>Dividend Paid</t>
  </si>
  <si>
    <t>Depreciation &amp; Amortization (% of Revenue)</t>
  </si>
  <si>
    <t xml:space="preserve">Consolidated statement of comprehensive income/(loss) for the year ended 31'st May </t>
  </si>
  <si>
    <t>Statement of profit/ (loss) for the year ended</t>
  </si>
  <si>
    <t>effective portion of changes in fair value</t>
  </si>
  <si>
    <t>Cash flow hedges–</t>
  </si>
  <si>
    <t xml:space="preserve">Statement of financial position as at </t>
  </si>
  <si>
    <t xml:space="preserve">Statement of cashflow for the year ending </t>
  </si>
  <si>
    <t>Subtract(Add): Increase (Decrease) Adjust for Deferred Taxes</t>
  </si>
  <si>
    <t xml:space="preserve">Statement of financial position as at 31'st May </t>
  </si>
  <si>
    <t xml:space="preserve">Common size </t>
  </si>
  <si>
    <t>Common Size</t>
  </si>
  <si>
    <t>Basic weighted average number of shares (Millions)</t>
  </si>
  <si>
    <t>Diluted weighted average number of shares (Millions)</t>
  </si>
  <si>
    <t>Free Cash Flow</t>
  </si>
  <si>
    <t>Depreciation &amp; ammorization</t>
  </si>
  <si>
    <t>Decrease/(Increase) in trade and other receivables</t>
  </si>
  <si>
    <t>Increase/(Decrease) in trade and other payables</t>
  </si>
  <si>
    <t>NCC share( %)</t>
  </si>
  <si>
    <t>Equity Comparables sub-industry (Top 5 Peers)</t>
  </si>
  <si>
    <t>% Growth</t>
  </si>
  <si>
    <t>Finite Period</t>
  </si>
  <si>
    <t>Continuing Period</t>
  </si>
  <si>
    <t>Risk-free rate</t>
  </si>
  <si>
    <t>Beta</t>
  </si>
  <si>
    <t>Adjusted Beta</t>
  </si>
  <si>
    <t>ERP</t>
  </si>
  <si>
    <t>Cost of Equity</t>
  </si>
  <si>
    <t>Weight</t>
  </si>
  <si>
    <t>After-tax Cost of Debt</t>
  </si>
  <si>
    <t>Risk Free Rate</t>
  </si>
  <si>
    <t>FTSE 250</t>
  </si>
  <si>
    <t>NCC</t>
  </si>
  <si>
    <t>ERP: Historical Approach (a)</t>
  </si>
  <si>
    <t>R FTSE</t>
  </si>
  <si>
    <t>R NCC</t>
  </si>
  <si>
    <t>Upper 95%</t>
  </si>
  <si>
    <t>Lower 95.0%</t>
  </si>
  <si>
    <t>Upper 95.0%</t>
  </si>
  <si>
    <t>RESIDUAL OUTPUT</t>
  </si>
  <si>
    <t>Observation</t>
  </si>
  <si>
    <t>Predicted R NCC</t>
  </si>
  <si>
    <t>Residuals</t>
  </si>
  <si>
    <t>PROBABILITY OUTPUT</t>
  </si>
  <si>
    <t>Percentile</t>
  </si>
  <si>
    <t>Rm - Rf</t>
  </si>
  <si>
    <t>Focus is on operating assets</t>
  </si>
  <si>
    <t>Focus is on Debt and Operating Liabilities</t>
  </si>
  <si>
    <t>Damodaran's data archive for average reinvestment and margins</t>
  </si>
  <si>
    <t>Cavet; Growth rate is limited to the estimated long-run economic growth rate</t>
  </si>
  <si>
    <t>Ability to generate competitive advantage</t>
  </si>
  <si>
    <t xml:space="preserve">  Synthetiv risk free rate</t>
  </si>
  <si>
    <t>Germany Rf</t>
  </si>
  <si>
    <t>Default Premium</t>
  </si>
  <si>
    <t xml:space="preserve">Cost of Debt </t>
  </si>
  <si>
    <t>YTM</t>
  </si>
  <si>
    <t>Aaa/AAA</t>
  </si>
  <si>
    <t>Aa2/AA</t>
  </si>
  <si>
    <t>A1/A+</t>
  </si>
  <si>
    <t>A2/A</t>
  </si>
  <si>
    <t>A3/A-</t>
  </si>
  <si>
    <t>Baa2/BBB</t>
  </si>
  <si>
    <t>Ba1/BB+</t>
  </si>
  <si>
    <t>Ba2/BB</t>
  </si>
  <si>
    <t>B1/B+</t>
  </si>
  <si>
    <t>B2/B</t>
  </si>
  <si>
    <t>B3/B-</t>
  </si>
  <si>
    <t>Caa/CCC</t>
  </si>
  <si>
    <t>Ca2/CC</t>
  </si>
  <si>
    <t>C2/C</t>
  </si>
  <si>
    <t>D2/D</t>
  </si>
  <si>
    <t>Spread is</t>
  </si>
  <si>
    <t>Rating is</t>
  </si>
  <si>
    <t>≤ to</t>
  </si>
  <si>
    <t>greater than</t>
  </si>
  <si>
    <t>If interest coverage ratio is</t>
  </si>
  <si>
    <t>For smaller and riskier firms</t>
  </si>
  <si>
    <t>&gt;</t>
  </si>
  <si>
    <t>If long term interest coverage ratio is</t>
  </si>
  <si>
    <t>For financial service firms (default spreads are slighty different)</t>
  </si>
  <si>
    <t>For large manufacturing firms</t>
  </si>
  <si>
    <t xml:space="preserve"> If you want to update the spreads listed below, please visit http://www.bondsonline.com</t>
    <phoneticPr fontId="14"/>
  </si>
  <si>
    <t>Estimated Cost of Debt =</t>
  </si>
  <si>
    <t>to No, and then reset it to Yes. It should work.</t>
  </si>
  <si>
    <t>Estimated Default Spread =</t>
  </si>
  <si>
    <t>Note: If you get REF! All over the place, set the operating lease commitment question in cell F5</t>
  </si>
  <si>
    <t>Estimated Bond Rating =</t>
  </si>
  <si>
    <t>Interest  coverage ratio =</t>
  </si>
  <si>
    <t>Output</t>
  </si>
  <si>
    <t>Enter current long term government bond rate =</t>
  </si>
  <si>
    <t>(Use only long term interest expense for financial firms)</t>
  </si>
  <si>
    <t>Enter current interest expenses =</t>
  </si>
  <si>
    <t>(Add back only long term interest expense for financial firms)</t>
  </si>
  <si>
    <t>Enter current Earnings before interest and taxes (EBIT) =</t>
  </si>
  <si>
    <t>Yes or No</t>
  </si>
  <si>
    <t>No</t>
  </si>
  <si>
    <t>Do you have any operating lease or rental commitments?</t>
  </si>
  <si>
    <t>Small: &lt;$5 billion</t>
  </si>
  <si>
    <t>(Enter 1 if large manufacturing firm, 2 if smaller or riskier firm, 3 if financial service firm)</t>
  </si>
  <si>
    <t>Enter the type of firm =</t>
  </si>
  <si>
    <t>Before you use this spreadsheet, make sure that the iteration box (under calculation options in excel) is checked.</t>
  </si>
  <si>
    <t>Please read the special cases worksheet (see below) before you use this spreadsheet.</t>
  </si>
  <si>
    <t>Yes</t>
  </si>
  <si>
    <t>Inputs for synthetic rating estimation</t>
  </si>
  <si>
    <t>Total Market (without financials)</t>
  </si>
  <si>
    <t>Total Market</t>
  </si>
  <si>
    <t>Utility (Water)</t>
  </si>
  <si>
    <t>Utility (General)</t>
  </si>
  <si>
    <t>Trucking</t>
  </si>
  <si>
    <t>Transportation (Railroads)</t>
  </si>
  <si>
    <t>Transportation</t>
  </si>
  <si>
    <t>Tobacco</t>
  </si>
  <si>
    <t>Telecom. Services</t>
  </si>
  <si>
    <t>Telecom. Equipment</t>
  </si>
  <si>
    <t>Telecom (Wireless)</t>
  </si>
  <si>
    <t>Steel</t>
  </si>
  <si>
    <t>Software (System &amp; Application)</t>
  </si>
  <si>
    <t>Software (Internet)</t>
  </si>
  <si>
    <t>Software (Entertainment)</t>
  </si>
  <si>
    <t>Shoe</t>
  </si>
  <si>
    <t>Shipbuilding &amp; Marine</t>
  </si>
  <si>
    <t>Semiconductor Equip</t>
  </si>
  <si>
    <t>Semiconductor</t>
  </si>
  <si>
    <t>Rubber&amp; Tires</t>
  </si>
  <si>
    <t>Retail (Special Lines)</t>
  </si>
  <si>
    <t>Retail (Online)</t>
  </si>
  <si>
    <t>Retail (Grocery and Food)</t>
  </si>
  <si>
    <t>Retail (General)</t>
  </si>
  <si>
    <t>Retail (Distributors)</t>
  </si>
  <si>
    <t>Retail (Building Supply)</t>
  </si>
  <si>
    <t>Retail (Automotive)</t>
  </si>
  <si>
    <t>Restaurant/Dining</t>
  </si>
  <si>
    <t>Reinsurance</t>
  </si>
  <si>
    <t>Recreation</t>
  </si>
  <si>
    <t>Real Estate (Operations &amp; Services)</t>
  </si>
  <si>
    <t>Real Estate (General/Diversified)</t>
  </si>
  <si>
    <t>Real Estate (Development)</t>
  </si>
  <si>
    <t>R.E.I.T.</t>
  </si>
  <si>
    <t>Publishing &amp; Newspapers</t>
  </si>
  <si>
    <t>Precious Metals</t>
  </si>
  <si>
    <t>Power</t>
  </si>
  <si>
    <t>Paper/Forest Products</t>
  </si>
  <si>
    <t>Packaging &amp; Container</t>
  </si>
  <si>
    <t>Oilfield Svcs/Equip.</t>
  </si>
  <si>
    <t>Oil/Gas Distribution</t>
  </si>
  <si>
    <t>Oil/Gas (Production and Exploration)</t>
  </si>
  <si>
    <t>Oil/Gas (Integrated)</t>
  </si>
  <si>
    <t>Office Equipment &amp; Services</t>
  </si>
  <si>
    <t>Metals &amp; Mining</t>
  </si>
  <si>
    <t>Machinery</t>
  </si>
  <si>
    <t>Investments &amp; Asset Management</t>
  </si>
  <si>
    <t>Insurance (Prop/Cas.)</t>
  </si>
  <si>
    <t>Insurance (Life)</t>
  </si>
  <si>
    <t>Insurance (General)</t>
  </si>
  <si>
    <t>Information Services</t>
  </si>
  <si>
    <t>Household Products</t>
  </si>
  <si>
    <t>Hotel/Gaming</t>
  </si>
  <si>
    <t>Hospitals/Healthcare Facilities</t>
  </si>
  <si>
    <t>Homebuilding</t>
  </si>
  <si>
    <t>Heathcare Information and Technology</t>
  </si>
  <si>
    <t>Healthcare Support Services</t>
  </si>
  <si>
    <t>Healthcare Products</t>
  </si>
  <si>
    <t>Green &amp; Renewable Energy</t>
  </si>
  <si>
    <t>Furn/Home Furnishings</t>
  </si>
  <si>
    <t>Food Wholesalers</t>
  </si>
  <si>
    <t>Food Processing</t>
  </si>
  <si>
    <t>Financial Svcs. (Non-bank &amp; Insurance)</t>
  </si>
  <si>
    <t>Farming/Agriculture</t>
  </si>
  <si>
    <t>Environmental &amp; Waste Services</t>
  </si>
  <si>
    <t>Entertainment</t>
  </si>
  <si>
    <t>Engineering/Construction</t>
  </si>
  <si>
    <t>Electronics (General)</t>
  </si>
  <si>
    <t>Electronics (Consumer &amp; Office)</t>
  </si>
  <si>
    <t>Electrical Equipment</t>
  </si>
  <si>
    <t>Education</t>
  </si>
  <si>
    <t>Drugs (Pharmaceutical)</t>
  </si>
  <si>
    <t>Drugs (Biotechnology)</t>
  </si>
  <si>
    <t>Diversified</t>
  </si>
  <si>
    <t>Construction Supplies</t>
  </si>
  <si>
    <t>Computers/Peripherals</t>
  </si>
  <si>
    <t>Computer Services</t>
  </si>
  <si>
    <t>Coal &amp; Related Energy</t>
  </si>
  <si>
    <t>Chemical (Specialty)</t>
  </si>
  <si>
    <t>Chemical (Diversified)</t>
  </si>
  <si>
    <t>Chemical (Basic)</t>
  </si>
  <si>
    <t>Cable TV</t>
  </si>
  <si>
    <t>Business &amp; Consumer Services</t>
  </si>
  <si>
    <t>Building Materials</t>
  </si>
  <si>
    <t>Brokerage &amp; Investment Banking</t>
  </si>
  <si>
    <t>Broadcasting</t>
  </si>
  <si>
    <t>Beverage (Soft)</t>
  </si>
  <si>
    <t>Beverage (Alcoholic)</t>
  </si>
  <si>
    <t>Banks (Regional)</t>
  </si>
  <si>
    <t>Bank (Money Center)</t>
  </si>
  <si>
    <t>Auto Parts</t>
  </si>
  <si>
    <t>Auto &amp; Truck</t>
  </si>
  <si>
    <t>Apparel</t>
  </si>
  <si>
    <t>Air Transport</t>
  </si>
  <si>
    <t>Aerospace/Defense</t>
  </si>
  <si>
    <t>Advertising</t>
  </si>
  <si>
    <t>Capital Spending/Total Assets</t>
  </si>
  <si>
    <t>Net PP&amp;E/Total Assets</t>
  </si>
  <si>
    <t>EBITDA/EV</t>
  </si>
  <si>
    <t>Std dev in Stock Prices</t>
  </si>
  <si>
    <t>Institutional Holdings</t>
  </si>
  <si>
    <t>Effective tax rate</t>
  </si>
  <si>
    <t>Market D/E (adjusted for leases)</t>
  </si>
  <si>
    <t>Market Debt to Capital (adjusted for leases)</t>
  </si>
  <si>
    <t>Market D/E (unadjusted)</t>
  </si>
  <si>
    <t>Market Debt to Capital (Unadjusted)</t>
  </si>
  <si>
    <t>Book Debt to Capital</t>
  </si>
  <si>
    <t>Number of firms</t>
  </si>
  <si>
    <t>Industry Name</t>
  </si>
  <si>
    <t>https://www.stern.nyu.edu/~adamodar/New_Home_Page/datafile/variable.htm</t>
  </si>
  <si>
    <t>Variable definitions:</t>
  </si>
  <si>
    <t>https://www.stern.nyu.edu/~adamodar/pc/datasets/indname.xls</t>
  </si>
  <si>
    <t>Companies in each industry:</t>
  </si>
  <si>
    <t>https://www.stern.nyu.edu/~adamodar/New_Home_Page/data.html</t>
  </si>
  <si>
    <t>Data website:</t>
  </si>
  <si>
    <t>http://www.damodaran.com</t>
  </si>
  <si>
    <t>Home Page:</t>
  </si>
  <si>
    <t>Western Europe</t>
  </si>
  <si>
    <t>Debt to capital &amp; debt to equity ratios, with key drivers.</t>
  </si>
  <si>
    <t>What is this data?</t>
  </si>
  <si>
    <t>Aswath Damodaran, adamodar@stern.nyu.edu</t>
  </si>
  <si>
    <t>Created by:</t>
  </si>
  <si>
    <t>Date updated:</t>
  </si>
  <si>
    <t>Enterprise DCF (FCF)</t>
  </si>
  <si>
    <t>Free cash flow (FCF)</t>
  </si>
  <si>
    <t>Discount Factor</t>
  </si>
  <si>
    <t>Discounted FCF</t>
  </si>
  <si>
    <t>Continuing Value</t>
  </si>
  <si>
    <t>RONIC %</t>
  </si>
  <si>
    <t>PV of operations</t>
  </si>
  <si>
    <t xml:space="preserve">Mid year adjustment </t>
  </si>
  <si>
    <t>PV of nonoperating assets</t>
  </si>
  <si>
    <t>Enterprise value</t>
  </si>
  <si>
    <t>Equity value</t>
  </si>
  <si>
    <t>Economic profit</t>
  </si>
  <si>
    <t>$ million</t>
  </si>
  <si>
    <t>Times: Cost of capital, %</t>
  </si>
  <si>
    <t>Capital charge</t>
  </si>
  <si>
    <t>Economic profit (EP)</t>
  </si>
  <si>
    <t>Discounted EP</t>
  </si>
  <si>
    <r>
      <t>Invested capital</t>
    </r>
    <r>
      <rPr>
        <vertAlign val="subscript"/>
        <sz val="11"/>
        <color theme="1"/>
        <rFont val="Times New Roman"/>
        <family val="1"/>
      </rPr>
      <t xml:space="preserve"> beg yr</t>
    </r>
  </si>
  <si>
    <r>
      <t>Invested capital</t>
    </r>
    <r>
      <rPr>
        <vertAlign val="subscript"/>
        <sz val="11"/>
        <color theme="1"/>
        <rFont val="Times New Roman"/>
        <family val="1"/>
      </rPr>
      <t xml:space="preserve"> today</t>
    </r>
  </si>
  <si>
    <t>ERP: Ratings-based Approach</t>
  </si>
  <si>
    <t>Ratings</t>
  </si>
  <si>
    <t>Moody's sovereign rating (Local Currency)</t>
  </si>
  <si>
    <t>S&amp;P sovereign rating (Local Currency)</t>
  </si>
  <si>
    <t>Fitch Ratings</t>
  </si>
  <si>
    <t>ERP for a matured equties market</t>
  </si>
  <si>
    <t>Country Risk Premium</t>
  </si>
  <si>
    <t>Default spread for the ratings [basis points]</t>
  </si>
  <si>
    <t>Rating-based Default Spread</t>
  </si>
  <si>
    <t>Default spread multiplier</t>
  </si>
  <si>
    <t>Annualized Standard Deviation in equity prices</t>
  </si>
  <si>
    <t>Coeeficient of Variation in bond yield</t>
  </si>
  <si>
    <t>Relative Standard Deviation of  (equities/bond) - Nigeria</t>
  </si>
  <si>
    <t xml:space="preserve">Equity Risk Premium </t>
  </si>
  <si>
    <t>Equity Risk Premium: Summary</t>
  </si>
  <si>
    <t>Approach</t>
  </si>
  <si>
    <t>Ratings-based Approach</t>
  </si>
  <si>
    <t>https://tradingeconomics.com/united-kingdom/rating#:~:text=Standard%20%26%20Poor's%20credit%20rating%20for,at%20AA%2D%20with%20negative%20outlook.</t>
  </si>
  <si>
    <t>Aa3</t>
  </si>
  <si>
    <t>AA-</t>
  </si>
  <si>
    <t>AA</t>
  </si>
  <si>
    <t>Jun 01, 2022</t>
  </si>
  <si>
    <t>May 31, 2022</t>
  </si>
  <si>
    <t>May 30, 2022</t>
  </si>
  <si>
    <t>May 28, 2022</t>
  </si>
  <si>
    <t>May 27, 2022</t>
  </si>
  <si>
    <t>May 26, 2022</t>
  </si>
  <si>
    <t>May 25, 2022</t>
  </si>
  <si>
    <t>May 24, 2022</t>
  </si>
  <si>
    <t>May 23, 2022</t>
  </si>
  <si>
    <t>May 22, 2022</t>
  </si>
  <si>
    <t>May 21, 2022</t>
  </si>
  <si>
    <t>May 20, 2022</t>
  </si>
  <si>
    <t>May 19, 2022</t>
  </si>
  <si>
    <t>May 18, 2022</t>
  </si>
  <si>
    <t>May 17, 2022</t>
  </si>
  <si>
    <t>May 16, 2022</t>
  </si>
  <si>
    <t>May 15, 2022</t>
  </si>
  <si>
    <t>May 14, 2022</t>
  </si>
  <si>
    <t>May 13, 2022</t>
  </si>
  <si>
    <t>May 12, 2022</t>
  </si>
  <si>
    <t>May 11, 2022</t>
  </si>
  <si>
    <t>May 10, 2022</t>
  </si>
  <si>
    <t>May 09, 2022</t>
  </si>
  <si>
    <t>May 08, 2022</t>
  </si>
  <si>
    <t>May 07, 2022</t>
  </si>
  <si>
    <t>May 06, 2022</t>
  </si>
  <si>
    <t>May 05, 2022</t>
  </si>
  <si>
    <t>May 04, 2022</t>
  </si>
  <si>
    <t>May 03, 2022</t>
  </si>
  <si>
    <t>May 02, 2022</t>
  </si>
  <si>
    <t>May 01, 2022</t>
  </si>
  <si>
    <t>Apr 30, 2022</t>
  </si>
  <si>
    <t>Apr 29, 2022</t>
  </si>
  <si>
    <t>Apr 28, 2022</t>
  </si>
  <si>
    <t>Apr 27, 2022</t>
  </si>
  <si>
    <t>Apr 26, 2022</t>
  </si>
  <si>
    <t>Apr 25, 2022</t>
  </si>
  <si>
    <t>Apr 24, 2022</t>
  </si>
  <si>
    <t>Apr 23, 2022</t>
  </si>
  <si>
    <t>Apr 22, 2022</t>
  </si>
  <si>
    <t>Apr 21, 2022</t>
  </si>
  <si>
    <t>Apr 20, 2022</t>
  </si>
  <si>
    <t>Apr 19, 2022</t>
  </si>
  <si>
    <t>Apr 18, 2022</t>
  </si>
  <si>
    <t>Apr 17, 2022</t>
  </si>
  <si>
    <t>Apr 16, 2022</t>
  </si>
  <si>
    <t>Apr 15, 2022</t>
  </si>
  <si>
    <t>Apr 14, 2022</t>
  </si>
  <si>
    <t>Apr 13, 2022</t>
  </si>
  <si>
    <t>Apr 12, 2022</t>
  </si>
  <si>
    <t>Apr 11, 2022</t>
  </si>
  <si>
    <t>Apr 10, 2022</t>
  </si>
  <si>
    <t>Apr 09, 2022</t>
  </si>
  <si>
    <t>Apr 08, 2022</t>
  </si>
  <si>
    <t>Apr 07, 2022</t>
  </si>
  <si>
    <t>Apr 06, 2022</t>
  </si>
  <si>
    <t>Apr 05, 2022</t>
  </si>
  <si>
    <t>Apr 04, 2022</t>
  </si>
  <si>
    <t>Apr 03, 2022</t>
  </si>
  <si>
    <t>Apr 01, 2022</t>
  </si>
  <si>
    <t>Mar 31, 2022</t>
  </si>
  <si>
    <t>Mar 30, 2022</t>
  </si>
  <si>
    <t>Mar 29, 2022</t>
  </si>
  <si>
    <t>Mar 28, 2022</t>
  </si>
  <si>
    <t>Mar 27, 2022</t>
  </si>
  <si>
    <t>Mar 26, 2022</t>
  </si>
  <si>
    <t>Mar 25, 2022</t>
  </si>
  <si>
    <t>Mar 24, 2022</t>
  </si>
  <si>
    <t>Mar 23, 2022</t>
  </si>
  <si>
    <t>Mar 22, 2022</t>
  </si>
  <si>
    <t>Mar 21, 2022</t>
  </si>
  <si>
    <t>Mar 20, 2022</t>
  </si>
  <si>
    <t>Mar 19, 2022</t>
  </si>
  <si>
    <t>Mar 18, 2022</t>
  </si>
  <si>
    <t>Mar 17, 2022</t>
  </si>
  <si>
    <t>Mar 16, 2022</t>
  </si>
  <si>
    <t>Mar 15, 2022</t>
  </si>
  <si>
    <t>Mar 14, 2022</t>
  </si>
  <si>
    <t>Mar 13, 2022</t>
  </si>
  <si>
    <t>Mar 12, 2022</t>
  </si>
  <si>
    <t>Mar 11, 2022</t>
  </si>
  <si>
    <t>Mar 10, 2022</t>
  </si>
  <si>
    <t>Mar 09, 2022</t>
  </si>
  <si>
    <t>Mar 08, 2022</t>
  </si>
  <si>
    <t>Mar 07, 2022</t>
  </si>
  <si>
    <t>Mar 05, 2022</t>
  </si>
  <si>
    <t>Mar 04, 2022</t>
  </si>
  <si>
    <t>Mar 03, 2022</t>
  </si>
  <si>
    <t>Mar 02, 2022</t>
  </si>
  <si>
    <t>Mar 01, 2022</t>
  </si>
  <si>
    <t>Feb 28, 2022</t>
  </si>
  <si>
    <t>Feb 27, 2022</t>
  </si>
  <si>
    <t>Feb 26, 2022</t>
  </si>
  <si>
    <t>Feb 25, 2022</t>
  </si>
  <si>
    <t>Feb 24, 2022</t>
  </si>
  <si>
    <t>Feb 23, 2022</t>
  </si>
  <si>
    <t>Feb 22, 2022</t>
  </si>
  <si>
    <t>Feb 21, 2022</t>
  </si>
  <si>
    <t>Feb 20, 2022</t>
  </si>
  <si>
    <t>Feb 19,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</si>
  <si>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</si>
  <si>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</si>
  <si>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</si>
  <si>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</si>
  <si>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</si>
  <si>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</si>
  <si>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</si>
  <si>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</si>
  <si>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</si>
  <si>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</si>
  <si>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06, 2022</t>
  </si>
  <si>
    <t>Feb 05, 2022</t>
  </si>
  <si>
    <t>Feb 04, 2022</t>
  </si>
  <si>
    <t>Feb 03, 2022</t>
  </si>
  <si>
    <t>Feb 02, 2022</t>
  </si>
  <si>
    <t>Feb 01, 2022</t>
  </si>
  <si>
    <t>Jan 31, 2022</t>
  </si>
  <si>
    <t>Jan 30, 2022</t>
  </si>
  <si>
    <t>Jan 29, 2022</t>
  </si>
  <si>
    <t>Jan 28, 2022</t>
  </si>
  <si>
    <t>Jan 27, 2022</t>
  </si>
  <si>
    <t>Jan 26, 2022</t>
  </si>
  <si>
    <t>Jan 25, 2022</t>
  </si>
  <si>
    <t>Jan 24, 2022</t>
  </si>
  <si>
    <t>Jan 23, 2022</t>
  </si>
  <si>
    <t>Jan 22, 2022</t>
  </si>
  <si>
    <t>Jan 21, 2022</t>
  </si>
  <si>
    <t>Jan 20, 2022</t>
  </si>
  <si>
    <t>Jan 19, 2022</t>
  </si>
  <si>
    <t>Jan 18, 2022</t>
  </si>
  <si>
    <t>Jan 17, 2022</t>
  </si>
  <si>
    <t>Jan 16, 2022</t>
  </si>
  <si>
    <t>Jan 15, 2022</t>
  </si>
  <si>
    <t>Jan 14, 2022</t>
  </si>
  <si>
    <t>Jan 13, 2022</t>
  </si>
  <si>
    <t>Jan 12, 2022</t>
  </si>
  <si>
    <t>Jan 11, 2022</t>
  </si>
  <si>
    <t>Jan 10, 2022</t>
  </si>
  <si>
    <t>Jan 09, 2022</t>
  </si>
  <si>
    <t>Jan 08, 2022</t>
  </si>
  <si>
    <t>Jan 07, 2022</t>
  </si>
  <si>
    <t>Jan 06, 2022</t>
  </si>
  <si>
    <t>Jan 05, 2022</t>
  </si>
  <si>
    <t>Jan 04, 2022</t>
  </si>
  <si>
    <t>Jan 03, 2022</t>
  </si>
  <si>
    <t>Jan 02, 2022</t>
  </si>
  <si>
    <t>Jan 01, 2022</t>
  </si>
  <si>
    <t>Dec 31, 2021</t>
  </si>
  <si>
    <t>Dec 30, 2021</t>
  </si>
  <si>
    <t>Dec 29, 2021</t>
  </si>
  <si>
    <t>Dec 27, 2021</t>
  </si>
  <si>
    <t>Dec 26, 2021</t>
  </si>
  <si>
    <t>Dec 25, 2021</t>
  </si>
  <si>
    <t>Dec 24, 2021</t>
  </si>
  <si>
    <t>Dec 23, 2021</t>
  </si>
  <si>
    <t>Dec 22, 2021</t>
  </si>
  <si>
    <t>Dec 21, 2021</t>
  </si>
  <si>
    <t>Dec 20, 2021</t>
  </si>
  <si>
    <t>Dec 19, 2021</t>
  </si>
  <si>
    <t>Dec 18, 2021</t>
  </si>
  <si>
    <t>Dec 17, 2021</t>
  </si>
  <si>
    <t>Dec 16, 2021</t>
  </si>
  <si>
    <t>Dec 15, 2021</t>
  </si>
  <si>
    <t>Dec 14, 2021</t>
  </si>
  <si>
    <t>Dec 13, 2021</t>
  </si>
  <si>
    <t>Dec 11, 2021</t>
  </si>
  <si>
    <t>Dec 10, 2021</t>
  </si>
  <si>
    <t>Dec 09, 2021</t>
  </si>
  <si>
    <t>Dec 08, 2021</t>
  </si>
  <si>
    <t>Dec 07, 2021</t>
  </si>
  <si>
    <t>Dec 06, 2021</t>
  </si>
  <si>
    <t>Dec 05, 2021</t>
  </si>
  <si>
    <t>Dec 03, 2021</t>
  </si>
  <si>
    <t>Dec 02, 2021</t>
  </si>
  <si>
    <t>Dec 01, 2021</t>
  </si>
  <si>
    <t>Nov 30, 2021</t>
  </si>
  <si>
    <t>Nov 29, 2021</t>
  </si>
  <si>
    <t>Nov 28, 2021</t>
  </si>
  <si>
    <t>Nov 27, 2021</t>
  </si>
  <si>
    <t>Nov 26, 2021</t>
  </si>
  <si>
    <t>Nov 25, 2021</t>
  </si>
  <si>
    <t>Nov 24, 2021</t>
  </si>
  <si>
    <t>Nov 23, 2021</t>
  </si>
  <si>
    <t>Nov 22, 2021</t>
  </si>
  <si>
    <t>Nov 21, 2021</t>
  </si>
  <si>
    <t>Nov 20, 2021</t>
  </si>
  <si>
    <t>Nov 19, 2021</t>
  </si>
  <si>
    <t>Nov 18, 2021</t>
  </si>
  <si>
    <t>Nov 17, 2021</t>
  </si>
  <si>
    <t>Nov 16, 2021</t>
  </si>
  <si>
    <t>Nov 15, 2021</t>
  </si>
  <si>
    <t>Nov 14, 2021</t>
  </si>
  <si>
    <t>Nov 13, 2021</t>
  </si>
  <si>
    <t>Nov 12, 2021</t>
  </si>
  <si>
    <t>Nov 11, 2021</t>
  </si>
  <si>
    <t>Nov 10, 2021</t>
  </si>
  <si>
    <t>Nov 09, 2021</t>
  </si>
  <si>
    <t>Nov 08, 2021</t>
  </si>
  <si>
    <t>Nov 07, 2021</t>
  </si>
  <si>
    <t>Nov 06, 2021</t>
  </si>
  <si>
    <t>Nov 05, 2021</t>
  </si>
  <si>
    <t>Nov 04, 2021</t>
  </si>
  <si>
    <t>Nov 03, 2021</t>
  </si>
  <si>
    <t>Nov 02, 2021</t>
  </si>
  <si>
    <t>Nov 01, 2021</t>
  </si>
  <si>
    <t>Oct 31, 2021</t>
  </si>
  <si>
    <t>Oct 30, 2021</t>
  </si>
  <si>
    <t>Oct 29, 2021</t>
  </si>
  <si>
    <t>Oct 28, 2021</t>
  </si>
  <si>
    <t>Oct 27, 2021</t>
  </si>
  <si>
    <t>Oct 26, 2021</t>
  </si>
  <si>
    <t>Oct 25, 2021</t>
  </si>
  <si>
    <t>Oct 24, 2021</t>
  </si>
  <si>
    <t>Oct 22, 2021</t>
  </si>
  <si>
    <t>Oct 21, 2021</t>
  </si>
  <si>
    <t>Oct 20, 2021</t>
  </si>
  <si>
    <t>Oct 19, 2021</t>
  </si>
  <si>
    <t>Oct 18, 2021</t>
  </si>
  <si>
    <t>Oct 17, 2021</t>
  </si>
  <si>
    <t>Oct 16, 2021</t>
  </si>
  <si>
    <t>Oct 15, 2021</t>
  </si>
  <si>
    <t>Oct 14, 2021</t>
  </si>
  <si>
    <t>Oct 13, 2021</t>
  </si>
  <si>
    <t>Oct 12, 2021</t>
  </si>
  <si>
    <t>Oct 11, 2021</t>
  </si>
  <si>
    <t>Oct 10, 2021</t>
  </si>
  <si>
    <t>Oct 09, 2021</t>
  </si>
  <si>
    <t>Oct 08, 2021</t>
  </si>
  <si>
    <t>Oct 07, 2021</t>
  </si>
  <si>
    <t>Oct 06, 2021</t>
  </si>
  <si>
    <t>Oct 05, 2021</t>
  </si>
  <si>
    <t>Oct 04, 2021</t>
  </si>
  <si>
    <t>Oct 03,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</si>
  <si>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</si>
  <si>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</si>
  <si>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</si>
  <si>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</si>
  <si>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</si>
  <si>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</si>
  <si>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</si>
  <si>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</si>
  <si>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</si>
  <si>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</si>
  <si>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</si>
  <si>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</si>
  <si>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</si>
  <si>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</si>
  <si>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</si>
  <si>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11, 2021</t>
  </si>
  <si>
    <t>Sep 10, 2021</t>
  </si>
  <si>
    <t>Sep 09, 2021</t>
  </si>
  <si>
    <t>Sep 08, 2021</t>
  </si>
  <si>
    <t>Sep 07, 2021</t>
  </si>
  <si>
    <t>Sep 06, 2021</t>
  </si>
  <si>
    <t>Sep 03, 2021</t>
  </si>
  <si>
    <t>Sep 02, 2021</t>
  </si>
  <si>
    <t>Sep 01, 2021</t>
  </si>
  <si>
    <t>Aug 31, 2021</t>
  </si>
  <si>
    <t>Aug 30, 2021</t>
  </si>
  <si>
    <t>Aug 29, 2021</t>
  </si>
  <si>
    <t>Aug 28, 2021</t>
  </si>
  <si>
    <t>Aug 27, 2021</t>
  </si>
  <si>
    <t>Aug 26, 2021</t>
  </si>
  <si>
    <t>Aug 25, 2021</t>
  </si>
  <si>
    <t>Aug 24, 2021</t>
  </si>
  <si>
    <t>Aug 23, 2021</t>
  </si>
  <si>
    <t>Aug 22, 2021</t>
  </si>
  <si>
    <t>Aug 21, 2021</t>
  </si>
  <si>
    <t>Aug 20, 2021</t>
  </si>
  <si>
    <t>Aug 19, 2021</t>
  </si>
  <si>
    <t>Aug 18, 2021</t>
  </si>
  <si>
    <t>Aug 17, 2021</t>
  </si>
  <si>
    <t>Aug 16, 2021</t>
  </si>
  <si>
    <t>Aug 15, 2021</t>
  </si>
  <si>
    <t>Aug 14, 2021</t>
  </si>
  <si>
    <t>Aug 13, 2021</t>
  </si>
  <si>
    <t>Aug 12, 2021</t>
  </si>
  <si>
    <t>Aug 11, 2021</t>
  </si>
  <si>
    <t>Aug 10, 2021</t>
  </si>
  <si>
    <t>Aug 09, 2021</t>
  </si>
  <si>
    <t>Aug 07, 2021</t>
  </si>
  <si>
    <t>Aug 06, 2021</t>
  </si>
  <si>
    <t>Aug 05, 2021</t>
  </si>
  <si>
    <t>Aug 04, 2021</t>
  </si>
  <si>
    <t>Aug 03, 2021</t>
  </si>
  <si>
    <t>Aug 02, 2021</t>
  </si>
  <si>
    <t>Jul 31, 2021</t>
  </si>
  <si>
    <t>Jul 30, 2021</t>
  </si>
  <si>
    <t>Jul 29, 2021</t>
  </si>
  <si>
    <t>Jul 28, 2021</t>
  </si>
  <si>
    <t>Jul 27, 2021</t>
  </si>
  <si>
    <t>Jul 26, 2021</t>
  </si>
  <si>
    <t>Jul 25, 2021</t>
  </si>
  <si>
    <t>Jul 24, 2021</t>
  </si>
  <si>
    <t>Jul 23, 2021</t>
  </si>
  <si>
    <t>Jul 22, 2021</t>
  </si>
  <si>
    <t>Jul 21, 2021</t>
  </si>
  <si>
    <t>Jul 20, 2021</t>
  </si>
  <si>
    <t>Jul 19, 2021</t>
  </si>
  <si>
    <t>Jul 18, 2021</t>
  </si>
  <si>
    <t>Jul 17, 2021</t>
  </si>
  <si>
    <t>Jul 16, 2021</t>
  </si>
  <si>
    <t>Jul 15, 2021</t>
  </si>
  <si>
    <t>Jul 14, 2021</t>
  </si>
  <si>
    <t>Jul 13, 2021</t>
  </si>
  <si>
    <t>Jul 12, 2021</t>
  </si>
  <si>
    <t>Jul 11, 2021</t>
  </si>
  <si>
    <t>Jul 10, 2021</t>
  </si>
  <si>
    <t>Jul 09, 2021</t>
  </si>
  <si>
    <t>Jul 08, 2021</t>
  </si>
  <si>
    <t>Jul 07, 2021</t>
  </si>
  <si>
    <t>Jul 06, 2021</t>
  </si>
  <si>
    <t>Jul 05, 2021</t>
  </si>
  <si>
    <t>Jul 04, 2021</t>
  </si>
  <si>
    <t>Jul 03, 2021</t>
  </si>
  <si>
    <t>Jul 02, 2021</t>
  </si>
  <si>
    <t>Jul 01, 2021</t>
  </si>
  <si>
    <t>Jun 30, 2021</t>
  </si>
  <si>
    <t>Jun 29, 2021</t>
  </si>
  <si>
    <t>Jun 28, 2021</t>
  </si>
  <si>
    <t>Jun 27, 2021</t>
  </si>
  <si>
    <t>Jun 26, 2021</t>
  </si>
  <si>
    <t>Jun 25, 2021</t>
  </si>
  <si>
    <t>Jun 24, 2021</t>
  </si>
  <si>
    <t>Jun 23, 2021</t>
  </si>
  <si>
    <t>Jun 22, 2021</t>
  </si>
  <si>
    <t>Jun 21, 2021</t>
  </si>
  <si>
    <t>Jun 20, 2021</t>
  </si>
  <si>
    <t>Jun 19, 2021</t>
  </si>
  <si>
    <t>Jun 18, 2021</t>
  </si>
  <si>
    <t>Jun 17, 2021</t>
  </si>
  <si>
    <t>Jun 16, 2021</t>
  </si>
  <si>
    <t>Jun 15, 2021</t>
  </si>
  <si>
    <t>Jun 14, 2021</t>
  </si>
  <si>
    <t>Jun 13, 2021</t>
  </si>
  <si>
    <t>Jun 12, 2021</t>
  </si>
  <si>
    <t>Jun 11, 2021</t>
  </si>
  <si>
    <t>Jun 10, 2021</t>
  </si>
  <si>
    <t>Jun 09, 2021</t>
  </si>
  <si>
    <t>Jun 08, 2021</t>
  </si>
  <si>
    <t>Jun 07, 2021</t>
  </si>
  <si>
    <t>Jun 06, 2021</t>
  </si>
  <si>
    <t>Jun 05, 2021</t>
  </si>
  <si>
    <t>Jun 04, 2021</t>
  </si>
  <si>
    <t>Jun 03, 2021</t>
  </si>
  <si>
    <t>Jun 02, 2021</t>
  </si>
  <si>
    <t>Jun 01, 2021</t>
  </si>
  <si>
    <t>May 31, 2021</t>
  </si>
  <si>
    <t>May 30, 2021</t>
  </si>
  <si>
    <t>May 29, 2021</t>
  </si>
  <si>
    <t>May 28, 2021</t>
  </si>
  <si>
    <t>May 27, 2021</t>
  </si>
  <si>
    <t>May 26, 2021</t>
  </si>
  <si>
    <t>May 25, 2021</t>
  </si>
  <si>
    <t>May 24, 2021</t>
  </si>
  <si>
    <t>May 23, 2021</t>
  </si>
  <si>
    <t>May 22, 2021</t>
  </si>
  <si>
    <t>May 21, 2021</t>
  </si>
  <si>
    <t>May 20, 2021</t>
  </si>
  <si>
    <t>May 19, 2021</t>
  </si>
  <si>
    <t>May 18, 2021</t>
  </si>
  <si>
    <t>May 17, 2021</t>
  </si>
  <si>
    <t>May 16, 2021</t>
  </si>
  <si>
    <t>May 15, 2021</t>
  </si>
  <si>
    <t>May 14, 2021</t>
  </si>
  <si>
    <t>May 13, 2021</t>
  </si>
  <si>
    <t>May 12, 2021</t>
  </si>
  <si>
    <t>May 11, 2021</t>
  </si>
  <si>
    <t>May 10, 2021</t>
  </si>
  <si>
    <t>May 09, 2021</t>
  </si>
  <si>
    <t>May 08, 2021</t>
  </si>
  <si>
    <t>May 07, 2021</t>
  </si>
  <si>
    <t>May 06, 2021</t>
  </si>
  <si>
    <t>May 05, 2021</t>
  </si>
  <si>
    <t>May 04, 2021</t>
  </si>
  <si>
    <t>May 03, 2021</t>
  </si>
  <si>
    <t>May 02, 2021</t>
  </si>
  <si>
    <t>May 01,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</si>
  <si>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</si>
  <si>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</si>
  <si>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</si>
  <si>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</si>
  <si>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</si>
  <si>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</si>
  <si>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</si>
  <si>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</si>
  <si>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</si>
  <si>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</si>
  <si>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17, 2021</t>
  </si>
  <si>
    <t>Apr 16, 2021</t>
  </si>
  <si>
    <t>Apr 15, 2021</t>
  </si>
  <si>
    <t>Apr 14, 2021</t>
  </si>
  <si>
    <t>Apr 13, 2021</t>
  </si>
  <si>
    <t>Apr 12, 2021</t>
  </si>
  <si>
    <t>Apr 10, 2021</t>
  </si>
  <si>
    <t>Apr 09, 2021</t>
  </si>
  <si>
    <t>Apr 08, 2021</t>
  </si>
  <si>
    <t>Apr 07, 2021</t>
  </si>
  <si>
    <t>Apr 06, 2021</t>
  </si>
  <si>
    <t>Apr 02, 2021</t>
  </si>
  <si>
    <t>Apr 01, 2021</t>
  </si>
  <si>
    <t>Mar 31, 2021</t>
  </si>
  <si>
    <t>Mar 30, 2021</t>
  </si>
  <si>
    <t>Mar 29, 2021</t>
  </si>
  <si>
    <t>Mar 27, 2021</t>
  </si>
  <si>
    <t>Mar 26, 2021</t>
  </si>
  <si>
    <t>Mar 25, 2021</t>
  </si>
  <si>
    <t>Mar 24, 2021</t>
  </si>
  <si>
    <t>Mar 23, 2021</t>
  </si>
  <si>
    <t>Mar 22, 2021</t>
  </si>
  <si>
    <t>Mar 21, 2021</t>
  </si>
  <si>
    <t>Mar 19, 2021</t>
  </si>
  <si>
    <t>Mar 18, 2021</t>
  </si>
  <si>
    <t>Mar 17, 2021</t>
  </si>
  <si>
    <t>Mar 16, 2021</t>
  </si>
  <si>
    <t>Mar 15, 2021</t>
  </si>
  <si>
    <t>Mar 14, 2021</t>
  </si>
  <si>
    <t>Mar 13, 2021</t>
  </si>
  <si>
    <t>Mar 12, 2021</t>
  </si>
  <si>
    <t>Mar 11, 2021</t>
  </si>
  <si>
    <t>Mar 10, 2021</t>
  </si>
  <si>
    <t>Mar 09, 2021</t>
  </si>
  <si>
    <t>Mar 08, 2021</t>
  </si>
  <si>
    <t>Mar 06,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</si>
  <si>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</si>
  <si>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</si>
  <si>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</si>
  <si>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</si>
  <si>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</si>
  <si>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</si>
  <si>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</si>
  <si>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</si>
  <si>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</si>
  <si>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</si>
  <si>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20, 2021</t>
  </si>
  <si>
    <t>Feb 19, 2021</t>
  </si>
  <si>
    <t>Feb 18, 2021</t>
  </si>
  <si>
    <t>Feb 17, 2021</t>
  </si>
  <si>
    <t>Feb 16, 2021</t>
  </si>
  <si>
    <t>Feb 15,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</si>
  <si>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</si>
  <si>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</si>
  <si>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</si>
  <si>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</si>
  <si>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</si>
  <si>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</si>
  <si>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</si>
  <si>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</si>
  <si>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</si>
  <si>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</si>
  <si>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</si>
  <si>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</si>
  <si>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</si>
  <si>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</si>
  <si>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</si>
  <si>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</si>
  <si>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</si>
  <si>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</si>
  <si>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</si>
  <si>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18, 2021</t>
  </si>
  <si>
    <t>Jan 15, 2021</t>
  </si>
  <si>
    <t>Jan 14, 2021</t>
  </si>
  <si>
    <t>Jan 13, 2021</t>
  </si>
  <si>
    <t>Jan 12, 2021</t>
  </si>
  <si>
    <t>Jan 11, 2021</t>
  </si>
  <si>
    <t>Jan 09, 2021</t>
  </si>
  <si>
    <t>Jan 08, 2021</t>
  </si>
  <si>
    <t>Jan 07, 2021</t>
  </si>
  <si>
    <t>Jan 06, 2021</t>
  </si>
  <si>
    <t>Jan 05, 2021</t>
  </si>
  <si>
    <t>Jan 04, 2021</t>
  </si>
  <si>
    <t>Jan 03, 2021</t>
  </si>
  <si>
    <t>Jan 02, 2021</t>
  </si>
  <si>
    <t>Dec 31, 2020</t>
  </si>
  <si>
    <t>Dec 30, 2020</t>
  </si>
  <si>
    <t>Dec 29, 2020</t>
  </si>
  <si>
    <t>Dec 28, 2020</t>
  </si>
  <si>
    <t>Dec 27, 2020</t>
  </si>
  <si>
    <t>Dec 26, 2020</t>
  </si>
  <si>
    <t>Dec 24, 2020</t>
  </si>
  <si>
    <t>Dec 23, 2020</t>
  </si>
  <si>
    <t>Dec 22, 2020</t>
  </si>
  <si>
    <t>Dec 21, 2020</t>
  </si>
  <si>
    <t>Dec 20, 2020</t>
  </si>
  <si>
    <t>Dec 19, 2020</t>
  </si>
  <si>
    <t>Dec 18, 2020</t>
  </si>
  <si>
    <t>Dec 17, 2020</t>
  </si>
  <si>
    <t>Dec 16, 2020</t>
  </si>
  <si>
    <t>Dec 15, 2020</t>
  </si>
  <si>
    <t>Dec 14, 2020</t>
  </si>
  <si>
    <t>Dec 13, 2020</t>
  </si>
  <si>
    <t>Dec 12, 2020</t>
  </si>
  <si>
    <t>Dec 11, 2020</t>
  </si>
  <si>
    <t>Dec 10, 2020</t>
  </si>
  <si>
    <t>Dec 09, 2020</t>
  </si>
  <si>
    <t>Dec 08, 2020</t>
  </si>
  <si>
    <t>Dec 07, 2020</t>
  </si>
  <si>
    <t>Dec 06, 2020</t>
  </si>
  <si>
    <t>Dec 05, 2020</t>
  </si>
  <si>
    <t>Dec 04, 2020</t>
  </si>
  <si>
    <t>Dec 03, 2020</t>
  </si>
  <si>
    <t>Dec 02, 2020</t>
  </si>
  <si>
    <t>Dec 01, 2020</t>
  </si>
  <si>
    <t>Nov 30, 2020</t>
  </si>
  <si>
    <t>Nov 29, 2020</t>
  </si>
  <si>
    <t>Nov 28, 2020</t>
  </si>
  <si>
    <t>Nov 27, 2020</t>
  </si>
  <si>
    <t>Nov 26, 2020</t>
  </si>
  <si>
    <t>Nov 25, 2020</t>
  </si>
  <si>
    <t>Nov 24, 2020</t>
  </si>
  <si>
    <t>Nov 23, 2020</t>
  </si>
  <si>
    <t>Nov 22, 2020</t>
  </si>
  <si>
    <t>Nov 21, 2020</t>
  </si>
  <si>
    <t>Nov 20, 2020</t>
  </si>
  <si>
    <t>Nov 19, 2020</t>
  </si>
  <si>
    <t>Nov 18, 2020</t>
  </si>
  <si>
    <t>Nov 17, 2020</t>
  </si>
  <si>
    <t>Nov 16, 2020</t>
  </si>
  <si>
    <t>Nov 15, 2020</t>
  </si>
  <si>
    <t>Nov 14, 2020</t>
  </si>
  <si>
    <t>Nov 13, 2020</t>
  </si>
  <si>
    <t>Nov 12, 2020</t>
  </si>
  <si>
    <t>Nov 11, 2020</t>
  </si>
  <si>
    <t>Nov 10, 2020</t>
  </si>
  <si>
    <t>Nov 09, 2020</t>
  </si>
  <si>
    <t>Nov 08, 2020</t>
  </si>
  <si>
    <t>Nov 07, 2020</t>
  </si>
  <si>
    <t>Nov 06, 2020</t>
  </si>
  <si>
    <t>Nov 05, 2020</t>
  </si>
  <si>
    <t>Nov 04, 2020</t>
  </si>
  <si>
    <t>Nov 03, 2020</t>
  </si>
  <si>
    <t>Nov 02, 2020</t>
  </si>
  <si>
    <t>Nov 01, 2020</t>
  </si>
  <si>
    <t>Oct 31, 2020</t>
  </si>
  <si>
    <t>Oct 30, 2020</t>
  </si>
  <si>
    <t>Oct 29, 2020</t>
  </si>
  <si>
    <t>Oct 28, 2020</t>
  </si>
  <si>
    <t>Oct 27, 2020</t>
  </si>
  <si>
    <t>Oct 26, 2020</t>
  </si>
  <si>
    <t>Oct 25, 2020</t>
  </si>
  <si>
    <t>Oct 24, 2020</t>
  </si>
  <si>
    <t>Oct 23, 2020</t>
  </si>
  <si>
    <t>Oct 22, 2020</t>
  </si>
  <si>
    <t>Oct 21, 2020</t>
  </si>
  <si>
    <t>Oct 20, 2020</t>
  </si>
  <si>
    <t>Oct 19, 2020</t>
  </si>
  <si>
    <t>Oct 18, 2020</t>
  </si>
  <si>
    <t>Oct 17, 2020</t>
  </si>
  <si>
    <t>Oct 16, 2020</t>
  </si>
  <si>
    <t>Oct 15, 2020</t>
  </si>
  <si>
    <t>Oct 14, 2020</t>
  </si>
  <si>
    <t>Oct 13, 2020</t>
  </si>
  <si>
    <t>Oct 12, 2020</t>
  </si>
  <si>
    <t>Oct 11, 2020</t>
  </si>
  <si>
    <t>Oct 10, 2020</t>
  </si>
  <si>
    <t>Oct 09, 2020</t>
  </si>
  <si>
    <t>Oct 08, 2020</t>
  </si>
  <si>
    <t>Oct 07, 2020</t>
  </si>
  <si>
    <t>Oct 06, 2020</t>
  </si>
  <si>
    <t>Oct 05, 2020</t>
  </si>
  <si>
    <t>Oct 04, 2020</t>
  </si>
  <si>
    <t>Oct 03, 2020</t>
  </si>
  <si>
    <t>Oct 02, 2020</t>
  </si>
  <si>
    <t>Oct 01, 2020</t>
  </si>
  <si>
    <t>Sep 30, 2020</t>
  </si>
  <si>
    <t>Sep 29, 2020</t>
  </si>
  <si>
    <t>Sep 28, 2020</t>
  </si>
  <si>
    <t>Sep 27, 2020</t>
  </si>
  <si>
    <t>Sep 26, 2020</t>
  </si>
  <si>
    <t>Sep 25, 2020</t>
  </si>
  <si>
    <t>Sep 24, 2020</t>
  </si>
  <si>
    <t>Sep 23, 2020</t>
  </si>
  <si>
    <t>Sep 22, 2020</t>
  </si>
  <si>
    <t>Sep 21, 2020</t>
  </si>
  <si>
    <t>Sep 20, 2020</t>
  </si>
  <si>
    <t>Sep 19, 2020</t>
  </si>
  <si>
    <t>Sep 18, 2020</t>
  </si>
  <si>
    <t>Sep 17, 2020</t>
  </si>
  <si>
    <t>Sep 16, 2020</t>
  </si>
  <si>
    <t>Sep 15, 2020</t>
  </si>
  <si>
    <t>Sep 14, 2020</t>
  </si>
  <si>
    <t>Sep 13, 2020</t>
  </si>
  <si>
    <t>Sep 12, 2020</t>
  </si>
  <si>
    <t>Sep 11, 2020</t>
  </si>
  <si>
    <t>Sep 10, 2020</t>
  </si>
  <si>
    <t>Sep 09, 2020</t>
  </si>
  <si>
    <t>Sep 08, 2020</t>
  </si>
  <si>
    <t>Sep 07, 2020</t>
  </si>
  <si>
    <t>Sep 06, 2020</t>
  </si>
  <si>
    <t>Sep 04, 2020</t>
  </si>
  <si>
    <t>Sep 03, 2020</t>
  </si>
  <si>
    <t>Sep 02, 2020</t>
  </si>
  <si>
    <t>Sep 01, 2020</t>
  </si>
  <si>
    <t>Aug 31, 2020</t>
  </si>
  <si>
    <t>Aug 30, 2020</t>
  </si>
  <si>
    <t>Aug 29, 2020</t>
  </si>
  <si>
    <t>Aug 28, 2020</t>
  </si>
  <si>
    <t>Aug 27, 2020</t>
  </si>
  <si>
    <t>Aug 26, 2020</t>
  </si>
  <si>
    <t>Aug 25, 2020</t>
  </si>
  <si>
    <t>Aug 24, 2020</t>
  </si>
  <si>
    <t>Aug 22, 2020</t>
  </si>
  <si>
    <t>Aug 21, 2020</t>
  </si>
  <si>
    <t>Aug 20, 2020</t>
  </si>
  <si>
    <t>Aug 19, 2020</t>
  </si>
  <si>
    <t>Aug 18, 2020</t>
  </si>
  <si>
    <t>Aug 17, 2020</t>
  </si>
  <si>
    <t>Aug 16, 2020</t>
  </si>
  <si>
    <t>Aug 15, 2020</t>
  </si>
  <si>
    <t>Aug 14, 2020</t>
  </si>
  <si>
    <t>Aug 13, 2020</t>
  </si>
  <si>
    <t>Aug 12, 2020</t>
  </si>
  <si>
    <t>Aug 11, 2020</t>
  </si>
  <si>
    <t>Aug 10, 2020</t>
  </si>
  <si>
    <t>Aug 09, 2020</t>
  </si>
  <si>
    <t>Aug 07, 2020</t>
  </si>
  <si>
    <t>Aug 06, 2020</t>
  </si>
  <si>
    <t>Aug 05, 2020</t>
  </si>
  <si>
    <t>Aug 04, 2020</t>
  </si>
  <si>
    <t>Aug 03, 2020</t>
  </si>
  <si>
    <t>Aug 02, 2020</t>
  </si>
  <si>
    <t>Aug 01, 2020</t>
  </si>
  <si>
    <t>Jul 31, 2020</t>
  </si>
  <si>
    <t>Jul 30, 2020</t>
  </si>
  <si>
    <t>Jul 29, 2020</t>
  </si>
  <si>
    <t>Jul 28, 2020</t>
  </si>
  <si>
    <t>Jul 27, 2020</t>
  </si>
  <si>
    <t>Jul 26, 2020</t>
  </si>
  <si>
    <t>Jul 25, 2020</t>
  </si>
  <si>
    <t>Jul 24, 2020</t>
  </si>
  <si>
    <t>Jul 23, 2020</t>
  </si>
  <si>
    <t>Jul 22, 2020</t>
  </si>
  <si>
    <t>Jul 21, 2020</t>
  </si>
  <si>
    <t>Jul 20, 2020</t>
  </si>
  <si>
    <t>Jul 19, 2020</t>
  </si>
  <si>
    <t>Jul 18, 2020</t>
  </si>
  <si>
    <t>Jul 17, 2020</t>
  </si>
  <si>
    <t>Jul 16, 2020</t>
  </si>
  <si>
    <t>Jul 15, 2020</t>
  </si>
  <si>
    <t>Jul 14, 2020</t>
  </si>
  <si>
    <t>Jul 13, 2020</t>
  </si>
  <si>
    <t>Jul 12, 2020</t>
  </si>
  <si>
    <t>Jul 11, 2020</t>
  </si>
  <si>
    <t>Jul 10, 2020</t>
  </si>
  <si>
    <t>Jul 09, 2020</t>
  </si>
  <si>
    <t>Jul 08, 2020</t>
  </si>
  <si>
    <t>Jul 07, 2020</t>
  </si>
  <si>
    <t>Jul 06, 2020</t>
  </si>
  <si>
    <t>Jul 05, 2020</t>
  </si>
  <si>
    <t>Jul 03, 2020</t>
  </si>
  <si>
    <t>Jul 02, 2020</t>
  </si>
  <si>
    <t>Jul 01, 2020</t>
  </si>
  <si>
    <t>Jun 30, 2020</t>
  </si>
  <si>
    <t>Jun 29, 2020</t>
  </si>
  <si>
    <t>Jun 28, 2020</t>
  </si>
  <si>
    <t>Jun 27, 2020</t>
  </si>
  <si>
    <t>Jun 26, 2020</t>
  </si>
  <si>
    <t>Jun 25, 2020</t>
  </si>
  <si>
    <t>Jun 24, 2020</t>
  </si>
  <si>
    <t>Jun 23, 2020</t>
  </si>
  <si>
    <t>Jun 22, 2020</t>
  </si>
  <si>
    <t>Jun 21, 2020</t>
  </si>
  <si>
    <t>Jun 19, 2020</t>
  </si>
  <si>
    <t>Jun 18, 2020</t>
  </si>
  <si>
    <t>Jun 17, 2020</t>
  </si>
  <si>
    <t>Jun 16, 2020</t>
  </si>
  <si>
    <t>Jun 15, 2020</t>
  </si>
  <si>
    <t>Jun 14, 2020</t>
  </si>
  <si>
    <t>Jun 12, 2020</t>
  </si>
  <si>
    <t>Jun 11, 2020</t>
  </si>
  <si>
    <t>Jun 10, 2020</t>
  </si>
  <si>
    <t>Jun 09, 2020</t>
  </si>
  <si>
    <t>Jun 08, 2020</t>
  </si>
  <si>
    <t>Jun 07, 2020</t>
  </si>
  <si>
    <t>Jun 06, 2020</t>
  </si>
  <si>
    <t>Jun 05, 2020</t>
  </si>
  <si>
    <t>Jun 04, 2020</t>
  </si>
  <si>
    <t>Jun 03, 2020</t>
  </si>
  <si>
    <t>Jun 02, 2020</t>
  </si>
  <si>
    <t>Jun 01, 2020</t>
  </si>
  <si>
    <t>May 30, 2020</t>
  </si>
  <si>
    <t>May 29, 2020</t>
  </si>
  <si>
    <t>May 28, 2020</t>
  </si>
  <si>
    <t>May 27, 2020</t>
  </si>
  <si>
    <t>May 26, 2020</t>
  </si>
  <si>
    <t>May 25, 2020</t>
  </si>
  <si>
    <t>May 24, 2020</t>
  </si>
  <si>
    <t>May 22, 2020</t>
  </si>
  <si>
    <t>May 21, 2020</t>
  </si>
  <si>
    <t>May 20, 2020</t>
  </si>
  <si>
    <t>May 19, 2020</t>
  </si>
  <si>
    <t>May 18, 2020</t>
  </si>
  <si>
    <t>May 17, 2020</t>
  </si>
  <si>
    <t>May 16,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</si>
  <si>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</si>
  <si>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</si>
  <si>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</si>
  <si>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</si>
  <si>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</si>
  <si>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</si>
  <si>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</si>
  <si>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</si>
  <si>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</si>
  <si>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</si>
  <si>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02, 2020</t>
  </si>
  <si>
    <t>May 01, 2020</t>
  </si>
  <si>
    <t>Apr 30, 2020</t>
  </si>
  <si>
    <t>Apr 29, 2020</t>
  </si>
  <si>
    <t>Apr 28, 2020</t>
  </si>
  <si>
    <t>Apr 27, 2020</t>
  </si>
  <si>
    <t>Apr 26, 2020</t>
  </si>
  <si>
    <t>Apr 24, 2020</t>
  </si>
  <si>
    <t>Apr 23, 2020</t>
  </si>
  <si>
    <t>Apr 22, 2020</t>
  </si>
  <si>
    <t>Apr 21, 2020</t>
  </si>
  <si>
    <t>Apr 20, 2020</t>
  </si>
  <si>
    <t>Apr 19, 2020</t>
  </si>
  <si>
    <t>Apr 17, 2020</t>
  </si>
  <si>
    <t>Apr 16, 2020</t>
  </si>
  <si>
    <t>Apr 15, 2020</t>
  </si>
  <si>
    <t>Apr 14, 2020</t>
  </si>
  <si>
    <t>Apr 13, 2020</t>
  </si>
  <si>
    <t>Apr 11, 2020</t>
  </si>
  <si>
    <t>Apr 10, 2020</t>
  </si>
  <si>
    <t>Apr 09, 2020</t>
  </si>
  <si>
    <t>Apr 08, 2020</t>
  </si>
  <si>
    <t>Apr 07, 2020</t>
  </si>
  <si>
    <t>Apr 06, 2020</t>
  </si>
  <si>
    <t>Apr 05, 2020</t>
  </si>
  <si>
    <t>Apr 03, 2020</t>
  </si>
  <si>
    <t>Apr 02, 2020</t>
  </si>
  <si>
    <t>Apr 01, 2020</t>
  </si>
  <si>
    <t>Mar 31, 2020</t>
  </si>
  <si>
    <t>Mar 30, 2020</t>
  </si>
  <si>
    <t>Mar 29, 2020</t>
  </si>
  <si>
    <t>Mar 27, 2020</t>
  </si>
  <si>
    <t>Mar 26, 2020</t>
  </si>
  <si>
    <t>Mar 25, 2020</t>
  </si>
  <si>
    <t>Mar 24, 2020</t>
  </si>
  <si>
    <t>Mar 23, 2020</t>
  </si>
  <si>
    <t>Mar 22,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</si>
  <si>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</si>
  <si>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</si>
  <si>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</si>
  <si>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</si>
  <si>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</si>
  <si>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</si>
  <si>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</si>
  <si>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</si>
  <si>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</si>
  <si>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</si>
  <si>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</si>
  <si>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</si>
  <si>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</si>
  <si>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</si>
  <si>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</si>
  <si>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29,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</si>
  <si>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</si>
  <si>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</si>
  <si>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</si>
  <si>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</si>
  <si>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</si>
  <si>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</si>
  <si>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</si>
  <si>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</si>
  <si>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</si>
  <si>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17, 2020</t>
  </si>
  <si>
    <t>Feb 15, 2020</t>
  </si>
  <si>
    <t>Feb 14, 2020</t>
  </si>
  <si>
    <t>Feb 13, 2020</t>
  </si>
  <si>
    <t>Feb 12, 2020</t>
  </si>
  <si>
    <t>Feb 11, 2020</t>
  </si>
  <si>
    <t>Feb 10, 2020</t>
  </si>
  <si>
    <t>Feb 09, 2020</t>
  </si>
  <si>
    <t>Feb 07, 2020</t>
  </si>
  <si>
    <t>Feb 06, 2020</t>
  </si>
  <si>
    <t>Feb 05, 2020</t>
  </si>
  <si>
    <t>Feb 04, 2020</t>
  </si>
  <si>
    <t>Feb 03, 2020</t>
  </si>
  <si>
    <t>Feb 02, 2020</t>
  </si>
  <si>
    <t>Feb 01,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</si>
  <si>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</si>
  <si>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</si>
  <si>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</si>
  <si>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</si>
  <si>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</si>
  <si>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</si>
  <si>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</si>
  <si>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</si>
  <si>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</si>
  <si>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20, 2020</t>
  </si>
  <si>
    <t>Jan 19, 2020</t>
  </si>
  <si>
    <t>Jan 17, 2020</t>
  </si>
  <si>
    <t>Jan 16, 2020</t>
  </si>
  <si>
    <t>Jan 15, 2020</t>
  </si>
  <si>
    <t>Jan 14, 2020</t>
  </si>
  <si>
    <t>Jan 13, 2020</t>
  </si>
  <si>
    <t>Jan 12, 2020</t>
  </si>
  <si>
    <t>Jan 10, 2020</t>
  </si>
  <si>
    <t>Jan 09, 2020</t>
  </si>
  <si>
    <t>Jan 08, 2020</t>
  </si>
  <si>
    <t>Jan 07, 2020</t>
  </si>
  <si>
    <t>Jan 06, 2020</t>
  </si>
  <si>
    <t>Jan 05, 2020</t>
  </si>
  <si>
    <t>Jan 03, 2020</t>
  </si>
  <si>
    <t>Jan 02, 2020</t>
  </si>
  <si>
    <t>Jan 01, 2020</t>
  </si>
  <si>
    <t>Dec 31, 2019</t>
  </si>
  <si>
    <t>Dec 30, 2019</t>
  </si>
  <si>
    <t>Dec 27, 2019</t>
  </si>
  <si>
    <t>Dec 24, 2019</t>
  </si>
  <si>
    <t>Dec 23, 2019</t>
  </si>
  <si>
    <t>Dec 22,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</si>
  <si>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</si>
  <si>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</si>
  <si>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</si>
  <si>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</si>
  <si>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</si>
  <si>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</si>
  <si>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</si>
  <si>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</si>
  <si>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</si>
  <si>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</si>
  <si>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08, 2019</t>
  </si>
  <si>
    <t>Dec 06, 2019</t>
  </si>
  <si>
    <t>Dec 05, 2019</t>
  </si>
  <si>
    <t>Dec 04, 2019</t>
  </si>
  <si>
    <t>Dec 03, 2019</t>
  </si>
  <si>
    <t>Dec 02, 2019</t>
  </si>
  <si>
    <t>Dec 01, 2019</t>
  </si>
  <si>
    <t>Nov 29, 2019</t>
  </si>
  <si>
    <t>Nov 28, 2019</t>
  </si>
  <si>
    <t>Nov 27, 2019</t>
  </si>
  <si>
    <t>Nov 26, 2019</t>
  </si>
  <si>
    <t>Nov 25, 2019</t>
  </si>
  <si>
    <t>Nov 24, 2019</t>
  </si>
  <si>
    <t>Nov 22, 2019</t>
  </si>
  <si>
    <t>Nov 21, 2019</t>
  </si>
  <si>
    <t>Nov 20, 2019</t>
  </si>
  <si>
    <t>Nov 19, 2019</t>
  </si>
  <si>
    <t>Nov 18, 2019</t>
  </si>
  <si>
    <t>Nov 17, 2019</t>
  </si>
  <si>
    <t>Nov 15, 2019</t>
  </si>
  <si>
    <t>Nov 14, 2019</t>
  </si>
  <si>
    <t>Nov 13, 2019</t>
  </si>
  <si>
    <t>Nov 12, 2019</t>
  </si>
  <si>
    <t>Nov 11, 2019</t>
  </si>
  <si>
    <t>Nov 10,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</si>
  <si>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</si>
  <si>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</si>
  <si>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</si>
  <si>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</si>
  <si>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</si>
  <si>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</si>
  <si>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</si>
  <si>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</si>
  <si>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</si>
  <si>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</si>
  <si>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27, 2019</t>
  </si>
  <si>
    <t>Oct 25, 2019</t>
  </si>
  <si>
    <t>Oct 24, 2019</t>
  </si>
  <si>
    <t>Oct 23, 2019</t>
  </si>
  <si>
    <t>Oct 22, 2019</t>
  </si>
  <si>
    <t>Oct 21, 2019</t>
  </si>
  <si>
    <t>Oct 20, 2019</t>
  </si>
  <si>
    <t>Oct 18, 2019</t>
  </si>
  <si>
    <t>Oct 17, 2019</t>
  </si>
  <si>
    <t>Oct 16, 2019</t>
  </si>
  <si>
    <t>Oct 15, 2019</t>
  </si>
  <si>
    <t>Oct 14, 2019</t>
  </si>
  <si>
    <t>Oct 13, 2019</t>
  </si>
  <si>
    <t>Oct 11, 2019</t>
  </si>
  <si>
    <t>Oct 10, 2019</t>
  </si>
  <si>
    <t>Oct 09, 2019</t>
  </si>
  <si>
    <t>Oct 08, 2019</t>
  </si>
  <si>
    <t>Oct 07, 2019</t>
  </si>
  <si>
    <t>Oct 06, 2019</t>
  </si>
  <si>
    <t>Oct 05, 2019</t>
  </si>
  <si>
    <t>Oct 04, 2019</t>
  </si>
  <si>
    <t>Oct 03, 2019</t>
  </si>
  <si>
    <t>Oct 02, 2019</t>
  </si>
  <si>
    <t>Oct 01, 2019</t>
  </si>
  <si>
    <t>Sep 30, 2019</t>
  </si>
  <si>
    <t>Sep 29, 2019</t>
  </si>
  <si>
    <t>Sep 28, 2019</t>
  </si>
  <si>
    <t>Sep 27, 2019</t>
  </si>
  <si>
    <t>Sep 26, 2019</t>
  </si>
  <si>
    <t>Sep 25, 2019</t>
  </si>
  <si>
    <t>Sep 24, 2019</t>
  </si>
  <si>
    <t>Sep 23, 2019</t>
  </si>
  <si>
    <t>Sep 22, 2019</t>
  </si>
  <si>
    <t>Sep 20, 2019</t>
  </si>
  <si>
    <t>Sep 19, 2019</t>
  </si>
  <si>
    <t>Sep 18, 2019</t>
  </si>
  <si>
    <t>Sep 17, 2019</t>
  </si>
  <si>
    <t>Sep 16, 2019</t>
  </si>
  <si>
    <t>Sep 15, 2019</t>
  </si>
  <si>
    <t>Sep 13, 2019</t>
  </si>
  <si>
    <t>Sep 12, 2019</t>
  </si>
  <si>
    <t>Sep 11, 2019</t>
  </si>
  <si>
    <t>Sep 10, 2019</t>
  </si>
  <si>
    <t>Sep 09, 2019</t>
  </si>
  <si>
    <t>Sep 08, 2019</t>
  </si>
  <si>
    <t>Sep 06, 2019</t>
  </si>
  <si>
    <t>Sep 05, 2019</t>
  </si>
  <si>
    <t>Sep 04, 2019</t>
  </si>
  <si>
    <t>Sep 03, 2019</t>
  </si>
  <si>
    <t>Sep 02, 2019</t>
  </si>
  <si>
    <t>Sep 01,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</si>
  <si>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</si>
  <si>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</si>
  <si>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</si>
  <si>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</si>
  <si>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</si>
  <si>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</si>
  <si>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</si>
  <si>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</si>
  <si>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</si>
  <si>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</si>
  <si>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18, 2019</t>
  </si>
  <si>
    <t>Aug 16, 2019</t>
  </si>
  <si>
    <t>Aug 15, 2019</t>
  </si>
  <si>
    <t>Aug 14, 2019</t>
  </si>
  <si>
    <t>Aug 13, 2019</t>
  </si>
  <si>
    <t>Aug 12, 2019</t>
  </si>
  <si>
    <t>Aug 10,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</si>
  <si>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</si>
  <si>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</si>
  <si>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</si>
  <si>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</si>
  <si>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</si>
  <si>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</si>
  <si>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</si>
  <si>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</si>
  <si>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</si>
  <si>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</si>
  <si>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</si>
  <si>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</si>
  <si>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</si>
  <si>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</si>
  <si>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</si>
  <si>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</si>
  <si>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</si>
  <si>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</si>
  <si>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</si>
  <si>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</si>
  <si>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13, 2019</t>
  </si>
  <si>
    <t>Jul 12, 2019</t>
  </si>
  <si>
    <t>Jul 11, 2019</t>
  </si>
  <si>
    <t>Jul 10, 2019</t>
  </si>
  <si>
    <t>Jul 09, 2019</t>
  </si>
  <si>
    <t>Jul 08, 2019</t>
  </si>
  <si>
    <t>Jul 07, 2019</t>
  </si>
  <si>
    <t>Jul 05, 2019</t>
  </si>
  <si>
    <t>Jul 04, 2019</t>
  </si>
  <si>
    <t>Jul 03, 2019</t>
  </si>
  <si>
    <t>Jul 02, 2019</t>
  </si>
  <si>
    <t>Jul 01, 2019</t>
  </si>
  <si>
    <t>Jun 29,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</si>
  <si>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</si>
  <si>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</si>
  <si>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</si>
  <si>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</si>
  <si>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</si>
  <si>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</si>
  <si>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</si>
  <si>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</si>
  <si>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</si>
  <si>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</si>
  <si>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16,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</si>
  <si>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</si>
  <si>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</si>
  <si>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</si>
  <si>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</si>
  <si>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</si>
  <si>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</si>
  <si>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</si>
  <si>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</si>
  <si>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</si>
  <si>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</si>
  <si>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Jun 02, 2019</t>
  </si>
  <si>
    <t>May 31, 2019</t>
  </si>
  <si>
    <t>May 30, 2019</t>
  </si>
  <si>
    <t>May 29, 2019</t>
  </si>
  <si>
    <t>May 28, 2019</t>
  </si>
  <si>
    <t>May 27, 2019</t>
  </si>
  <si>
    <t>May 24, 2019</t>
  </si>
  <si>
    <t>May 23, 2019</t>
  </si>
  <si>
    <t>May 22, 2019</t>
  </si>
  <si>
    <t>May 21, 2019</t>
  </si>
  <si>
    <t>May 20, 2019</t>
  </si>
  <si>
    <t>May 19,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</si>
  <si>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</si>
  <si>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</si>
  <si>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</si>
  <si>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</si>
  <si>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</si>
  <si>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</si>
  <si>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</si>
  <si>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</si>
  <si>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</si>
  <si>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</si>
  <si>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05, 2019</t>
  </si>
  <si>
    <t>May 03, 2019</t>
  </si>
  <si>
    <t>May 02, 2019</t>
  </si>
  <si>
    <t>May 01, 2019</t>
  </si>
  <si>
    <t>Apr 30, 2019</t>
  </si>
  <si>
    <t>Apr 29, 2019</t>
  </si>
  <si>
    <t>Apr 27, 2019</t>
  </si>
  <si>
    <t>Apr 26, 2019</t>
  </si>
  <si>
    <t>Apr 25, 2019</t>
  </si>
  <si>
    <t>Apr 24, 2019</t>
  </si>
  <si>
    <t>Apr 23, 2019</t>
  </si>
  <si>
    <t>Apr 22, 2019</t>
  </si>
  <si>
    <t>Apr 21, 2019</t>
  </si>
  <si>
    <t>Apr 18, 2019</t>
  </si>
  <si>
    <t>Apr 17, 2019</t>
  </si>
  <si>
    <t>Apr 16, 2019</t>
  </si>
  <si>
    <t>Apr 15, 2019</t>
  </si>
  <si>
    <t>Apr 13, 2019</t>
  </si>
  <si>
    <t>Apr 12, 2019</t>
  </si>
  <si>
    <t>Apr 11, 2019</t>
  </si>
  <si>
    <t>Apr 10, 2019</t>
  </si>
  <si>
    <t>Apr 09, 2019</t>
  </si>
  <si>
    <t>Apr 08, 2019</t>
  </si>
  <si>
    <t>Apr 07, 2019</t>
  </si>
  <si>
    <t>Apr 05, 2019</t>
  </si>
  <si>
    <t>Apr 04, 2019</t>
  </si>
  <si>
    <t>Apr 03, 2019</t>
  </si>
  <si>
    <t>Apr 02, 2019</t>
  </si>
  <si>
    <t>Apr 01, 2019</t>
  </si>
  <si>
    <t>Mar 30,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</si>
  <si>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</si>
  <si>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</si>
  <si>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</si>
  <si>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</si>
  <si>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</si>
  <si>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</si>
  <si>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</si>
  <si>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</si>
  <si>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</si>
  <si>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</si>
  <si>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17,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</si>
  <si>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</si>
  <si>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</si>
  <si>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</si>
  <si>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</si>
  <si>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</si>
  <si>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</si>
  <si>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</si>
  <si>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</si>
  <si>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</si>
  <si>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</si>
  <si>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03, 2019</t>
  </si>
  <si>
    <t>Mar 01, 2019</t>
  </si>
  <si>
    <t>Feb 28, 2019</t>
  </si>
  <si>
    <t>Feb 27, 2019</t>
  </si>
  <si>
    <t>Feb 26, 2019</t>
  </si>
  <si>
    <t>Feb 25, 2019</t>
  </si>
  <si>
    <t>Feb 23, 2019</t>
  </si>
  <si>
    <t>Feb 22, 2019</t>
  </si>
  <si>
    <t>Feb 21, 2019</t>
  </si>
  <si>
    <t>Feb 20, 2019</t>
  </si>
  <si>
    <t>Feb 19, 2019</t>
  </si>
  <si>
    <t>Feb 18, 2019</t>
  </si>
  <si>
    <t>Feb 17,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</si>
  <si>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</si>
  <si>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</si>
  <si>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</si>
  <si>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</si>
  <si>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</si>
  <si>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</si>
  <si>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</si>
  <si>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</si>
  <si>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</si>
  <si>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</si>
  <si>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02, 2019</t>
  </si>
  <si>
    <t>Feb 01, 2019</t>
  </si>
  <si>
    <t>Jan 31, 2019</t>
  </si>
  <si>
    <t>Jan 30, 2019</t>
  </si>
  <si>
    <t>Jan 29, 2019</t>
  </si>
  <si>
    <t>Jan 28, 2019</t>
  </si>
  <si>
    <t>Jan 27, 2019</t>
  </si>
  <si>
    <t>Jan 25, 2019</t>
  </si>
  <si>
    <t>Jan 24, 2019</t>
  </si>
  <si>
    <t>Jan 23, 2019</t>
  </si>
  <si>
    <t>Jan 22, 2019</t>
  </si>
  <si>
    <t>Jan 21, 2019</t>
  </si>
  <si>
    <t>Jan 19,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</si>
  <si>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</si>
  <si>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</si>
  <si>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</si>
  <si>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</si>
  <si>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</si>
  <si>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</si>
  <si>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</si>
  <si>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</si>
  <si>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</si>
  <si>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</si>
  <si>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06, 2019</t>
  </si>
  <si>
    <t>Jan 04, 2019</t>
  </si>
  <si>
    <t>Jan 03, 2019</t>
  </si>
  <si>
    <t>Jan 02, 2019</t>
  </si>
  <si>
    <t>Jan 01, 2019</t>
  </si>
  <si>
    <t>Dec 31, 2018</t>
  </si>
  <si>
    <t>Dec 28, 2018</t>
  </si>
  <si>
    <t>Dec 27, 2018</t>
  </si>
  <si>
    <t>Dec 24, 2018</t>
  </si>
  <si>
    <t>Dec 21, 2018</t>
  </si>
  <si>
    <t>Dec 20, 2018</t>
  </si>
  <si>
    <t>Dec 19, 2018</t>
  </si>
  <si>
    <t>Dec 18, 2018</t>
  </si>
  <si>
    <t>Dec 17, 2018</t>
  </si>
  <si>
    <t>Dec 16, 2018</t>
  </si>
  <si>
    <t>Dec 14, 2018</t>
  </si>
  <si>
    <t>Dec 13, 2018</t>
  </si>
  <si>
    <t>Dec 12, 2018</t>
  </si>
  <si>
    <t>Dec 11, 2018</t>
  </si>
  <si>
    <t>Dec 10, 2018</t>
  </si>
  <si>
    <t>Dec 08, 2018</t>
  </si>
  <si>
    <t>Dec 07, 2018</t>
  </si>
  <si>
    <t>Dec 06, 2018</t>
  </si>
  <si>
    <t>Dec 05,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</si>
  <si>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</si>
  <si>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</si>
  <si>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</si>
  <si>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</si>
  <si>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</si>
  <si>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</si>
  <si>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</si>
  <si>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</si>
  <si>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22, 2018</t>
  </si>
  <si>
    <t>Nov 21, 2018</t>
  </si>
  <si>
    <t>Nov 20, 2018</t>
  </si>
  <si>
    <t>Nov 19, 2018</t>
  </si>
  <si>
    <t>Nov 18, 2018</t>
  </si>
  <si>
    <t>Nov 17, 2018</t>
  </si>
  <si>
    <t>Nov 16, 2018</t>
  </si>
  <si>
    <t>Nov 15, 2018</t>
  </si>
  <si>
    <t>Nov 14, 2018</t>
  </si>
  <si>
    <t>Nov 13, 2018</t>
  </si>
  <si>
    <t>Nov 12, 2018</t>
  </si>
  <si>
    <t>Nov 11, 2018</t>
  </si>
  <si>
    <t>Nov 09, 2018</t>
  </si>
  <si>
    <t>Nov 08, 2018</t>
  </si>
  <si>
    <t>Nov 07, 2018</t>
  </si>
  <si>
    <t>Nov 06, 2018</t>
  </si>
  <si>
    <t>Nov 05, 2018</t>
  </si>
  <si>
    <t>Nov 03, 2018</t>
  </si>
  <si>
    <t>Nov 02, 2018</t>
  </si>
  <si>
    <t>Nov 01, 2018</t>
  </si>
  <si>
    <t>Oct 31, 2018</t>
  </si>
  <si>
    <t>Oct 30, 2018</t>
  </si>
  <si>
    <t>Oct 29, 2018</t>
  </si>
  <si>
    <t>Oct 27,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</si>
  <si>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</si>
  <si>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</si>
  <si>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</si>
  <si>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</si>
  <si>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</si>
  <si>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</si>
  <si>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</si>
  <si>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</si>
  <si>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</si>
  <si>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</si>
  <si>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14,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</si>
  <si>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</si>
  <si>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</si>
  <si>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</si>
  <si>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</si>
  <si>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</si>
  <si>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</si>
  <si>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</si>
  <si>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</si>
  <si>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</si>
  <si>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</si>
  <si>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29, 2018</t>
  </si>
  <si>
    <t>Sep 28, 2018</t>
  </si>
  <si>
    <t>Sep 27, 2018</t>
  </si>
  <si>
    <t>Sep 26, 2018</t>
  </si>
  <si>
    <t>Sep 25, 2018</t>
  </si>
  <si>
    <t>Sep 24, 2018</t>
  </si>
  <si>
    <t>Sep 22, 2018</t>
  </si>
  <si>
    <t>Sep 21, 2018</t>
  </si>
  <si>
    <t>Sep 20, 2018</t>
  </si>
  <si>
    <t>Sep 19, 2018</t>
  </si>
  <si>
    <t>Sep 18, 2018</t>
  </si>
  <si>
    <t>Sep 17, 2018</t>
  </si>
  <si>
    <t>Sep 16, 2018</t>
  </si>
  <si>
    <t>Sep 14, 2018</t>
  </si>
  <si>
    <t>Sep 13, 2018</t>
  </si>
  <si>
    <t>Sep 12, 2018</t>
  </si>
  <si>
    <t>Sep 11, 2018</t>
  </si>
  <si>
    <t>Sep 10, 2018</t>
  </si>
  <si>
    <t>Sep 09, 2018</t>
  </si>
  <si>
    <t>Sep 07, 2018</t>
  </si>
  <si>
    <t>Sep 06, 2018</t>
  </si>
  <si>
    <t>Sep 05, 2018</t>
  </si>
  <si>
    <t>Sep 04, 2018</t>
  </si>
  <si>
    <t>Sep 03, 2018</t>
  </si>
  <si>
    <t>Sep 02, 2018</t>
  </si>
  <si>
    <t>Aug 31, 2018</t>
  </si>
  <si>
    <t>Aug 30, 2018</t>
  </si>
  <si>
    <t>Aug 29, 2018</t>
  </si>
  <si>
    <t>Aug 28, 2018</t>
  </si>
  <si>
    <t>Aug 27, 2018</t>
  </si>
  <si>
    <t>Aug 25, 2018</t>
  </si>
  <si>
    <t>Aug 24, 2018</t>
  </si>
  <si>
    <t>Aug 23, 2018</t>
  </si>
  <si>
    <t>Aug 22, 2018</t>
  </si>
  <si>
    <t>Aug 21, 2018</t>
  </si>
  <si>
    <t>Aug 20, 2018</t>
  </si>
  <si>
    <t>Aug 18,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</si>
  <si>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</si>
  <si>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</si>
  <si>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</si>
  <si>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</si>
  <si>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</si>
  <si>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</si>
  <si>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</si>
  <si>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</si>
  <si>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</si>
  <si>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</si>
  <si>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05, 2018</t>
  </si>
  <si>
    <t>Aug 03, 2018</t>
  </si>
  <si>
    <t>Aug 02, 2018</t>
  </si>
  <si>
    <t>Aug 01, 2018</t>
  </si>
  <si>
    <t>Jul 31, 2018</t>
  </si>
  <si>
    <t>Jul 30, 2018</t>
  </si>
  <si>
    <t>Jul 29, 2018</t>
  </si>
  <si>
    <t>Jul 27, 2018</t>
  </si>
  <si>
    <t>Jul 26, 2018</t>
  </si>
  <si>
    <t>Jul 25, 2018</t>
  </si>
  <si>
    <t>Jul 24, 2018</t>
  </si>
  <si>
    <t>Jul 23, 2018</t>
  </si>
  <si>
    <t>Jul 22, 2018</t>
  </si>
  <si>
    <t>Jul 20, 2018</t>
  </si>
  <si>
    <t>Jul 19, 2018</t>
  </si>
  <si>
    <t>Jul 18, 2018</t>
  </si>
  <si>
    <t>Jul 17, 2018</t>
  </si>
  <si>
    <t>Jul 16, 2018</t>
  </si>
  <si>
    <t>Jul 15, 2018</t>
  </si>
  <si>
    <t>Jul 13, 2018</t>
  </si>
  <si>
    <t>Jul 12, 2018</t>
  </si>
  <si>
    <t>Jul 11, 2018</t>
  </si>
  <si>
    <t>Jul 10, 2018</t>
  </si>
  <si>
    <t>Jul 09, 2018</t>
  </si>
  <si>
    <t>Jul 08, 2018</t>
  </si>
  <si>
    <t>Jul 06, 2018</t>
  </si>
  <si>
    <t>Jul 05, 2018</t>
  </si>
  <si>
    <t>Jul 04,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</si>
  <si>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</si>
  <si>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</si>
  <si>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</si>
  <si>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</si>
  <si>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</si>
  <si>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</si>
  <si>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</si>
  <si>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23, 2018</t>
  </si>
  <si>
    <t>Jun 22, 2018</t>
  </si>
  <si>
    <t>Jun 21, 2018</t>
  </si>
  <si>
    <t>Jun 20, 2018</t>
  </si>
  <si>
    <t>Jun 19, 2018</t>
  </si>
  <si>
    <t>Jun 18, 2018</t>
  </si>
  <si>
    <t>Jun 16, 2018</t>
  </si>
  <si>
    <t>Jun 15, 2018</t>
  </si>
  <si>
    <t>Jun 14, 2018</t>
  </si>
  <si>
    <t>Jun 13, 2018</t>
  </si>
  <si>
    <t>Jun 12, 2018</t>
  </si>
  <si>
    <t>Jun 11, 2018</t>
  </si>
  <si>
    <t>Jun 09,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</si>
  <si>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</si>
  <si>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</si>
  <si>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</si>
  <si>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</si>
  <si>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</si>
  <si>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</si>
  <si>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</si>
  <si>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</si>
  <si>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</si>
  <si>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28, 2018</t>
  </si>
  <si>
    <t>May 27, 2018</t>
  </si>
  <si>
    <t>May 25, 2018</t>
  </si>
  <si>
    <t>May 24, 2018</t>
  </si>
  <si>
    <t>May 23, 2018</t>
  </si>
  <si>
    <t>May 22, 2018</t>
  </si>
  <si>
    <t>May 21, 2018</t>
  </si>
  <si>
    <t>May 20, 2018</t>
  </si>
  <si>
    <t>May 18, 2018</t>
  </si>
  <si>
    <t>May 17, 2018</t>
  </si>
  <si>
    <t>May 16, 2018</t>
  </si>
  <si>
    <t>May 15, 2018</t>
  </si>
  <si>
    <t>May 14, 2018</t>
  </si>
  <si>
    <t>May 13,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</si>
  <si>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</si>
  <si>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</si>
  <si>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</si>
  <si>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</si>
  <si>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</si>
  <si>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</si>
  <si>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</si>
  <si>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</si>
  <si>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</si>
  <si>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</si>
  <si>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</si>
  <si>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</si>
  <si>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</si>
  <si>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</si>
  <si>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</si>
  <si>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</si>
  <si>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</si>
  <si>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</si>
  <si>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</si>
  <si>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</si>
  <si>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</si>
  <si>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</si>
  <si>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</si>
  <si>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</si>
  <si>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</si>
  <si>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</si>
  <si>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</si>
  <si>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</si>
  <si>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</si>
  <si>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Mar 30,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</si>
  <si>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</si>
  <si>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</si>
  <si>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</si>
  <si>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</si>
  <si>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</si>
  <si>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</si>
  <si>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</si>
  <si>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</si>
  <si>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</si>
  <si>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</si>
  <si>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</si>
  <si>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</si>
  <si>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</si>
  <si>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</si>
  <si>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</si>
  <si>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</si>
  <si>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</si>
  <si>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</si>
  <si>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</si>
  <si>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</si>
  <si>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</si>
  <si>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</si>
  <si>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</si>
  <si>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</si>
  <si>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</si>
  <si>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</si>
  <si>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</si>
  <si>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</si>
  <si>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19, 2018</t>
  </si>
  <si>
    <t>Feb 18,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</si>
  <si>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</si>
  <si>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</si>
  <si>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</si>
  <si>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</si>
  <si>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</si>
  <si>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</si>
  <si>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</si>
  <si>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</si>
  <si>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</si>
  <si>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</si>
  <si>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</si>
  <si>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</si>
  <si>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</si>
  <si>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</si>
  <si>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</si>
  <si>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</si>
  <si>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</si>
  <si>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</si>
  <si>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</si>
  <si>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</si>
  <si>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</si>
  <si>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</si>
  <si>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</si>
  <si>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</si>
  <si>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15,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</si>
  <si>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</si>
  <si>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</si>
  <si>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</si>
  <si>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</si>
  <si>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</si>
  <si>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</si>
  <si>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</si>
  <si>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</si>
  <si>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</si>
  <si>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Jan 01, 2018</t>
  </si>
  <si>
    <t>Dec 29, 2017</t>
  </si>
  <si>
    <t>Dec 28, 2017</t>
  </si>
  <si>
    <t>Dec 27, 2017</t>
  </si>
  <si>
    <t>Dec 25, 2017</t>
  </si>
  <si>
    <t>Dec 22, 2017</t>
  </si>
  <si>
    <t>Dec 21, 2017</t>
  </si>
  <si>
    <t>Dec 20, 2017</t>
  </si>
  <si>
    <t>Dec 19, 2017</t>
  </si>
  <si>
    <t>Dec 18, 2017</t>
  </si>
  <si>
    <t>Dec 16,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</si>
  <si>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</si>
  <si>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</si>
  <si>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</si>
  <si>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</si>
  <si>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</si>
  <si>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</si>
  <si>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</si>
  <si>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</si>
  <si>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</si>
  <si>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</si>
  <si>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</si>
  <si>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</si>
  <si>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</si>
  <si>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</si>
  <si>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</si>
  <si>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</si>
  <si>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23,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</si>
  <si>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</si>
  <si>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</si>
  <si>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</si>
  <si>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</si>
  <si>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</si>
  <si>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</si>
  <si>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</si>
  <si>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</si>
  <si>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</si>
  <si>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</si>
  <si>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</si>
  <si>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</si>
  <si>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</si>
  <si>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</si>
  <si>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</si>
  <si>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</si>
  <si>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</si>
  <si>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</si>
  <si>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29, 2017</t>
  </si>
  <si>
    <t>Oct 27, 2017</t>
  </si>
  <si>
    <t>Oct 26, 2017</t>
  </si>
  <si>
    <t>Oct 25, 2017</t>
  </si>
  <si>
    <t>Oct 24, 2017</t>
  </si>
  <si>
    <t>Oct 23, 2017</t>
  </si>
  <si>
    <t>Oct 22, 2017</t>
  </si>
  <si>
    <t>Oct 20,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</si>
  <si>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</si>
  <si>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</si>
  <si>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</si>
  <si>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</si>
  <si>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</si>
  <si>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</si>
  <si>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</si>
  <si>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</si>
  <si>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</si>
  <si>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</si>
  <si>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</si>
  <si>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</si>
  <si>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</si>
  <si>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</si>
  <si>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Sep 30, 2017</t>
  </si>
  <si>
    <t>Sep 29, 2017</t>
  </si>
  <si>
    <t>Sep 28, 2017</t>
  </si>
  <si>
    <t>Sep 27, 2017</t>
  </si>
  <si>
    <t>Sep 26, 2017</t>
  </si>
  <si>
    <t>Sep 25, 2017</t>
  </si>
  <si>
    <t>Sep 23, 2017</t>
  </si>
  <si>
    <t>Sep 22, 2017</t>
  </si>
  <si>
    <t>Sep 21, 2017</t>
  </si>
  <si>
    <t>Sep 20, 2017</t>
  </si>
  <si>
    <t>Sep 19, 2017</t>
  </si>
  <si>
    <t>Sep 18, 2017</t>
  </si>
  <si>
    <t>Sep 16, 2017</t>
  </si>
  <si>
    <t>Sep 15, 2017</t>
  </si>
  <si>
    <t>Sep 14, 2017</t>
  </si>
  <si>
    <t>Sep 13, 2017</t>
  </si>
  <si>
    <t>Sep 12, 2017</t>
  </si>
  <si>
    <t>Sep 11, 2017</t>
  </si>
  <si>
    <t>Sep 09, 2017</t>
  </si>
  <si>
    <t>Sep 08, 2017</t>
  </si>
  <si>
    <t>Sep 07, 2017</t>
  </si>
  <si>
    <t>Sep 06, 2017</t>
  </si>
  <si>
    <t>Sep 05, 2017</t>
  </si>
  <si>
    <t>Sep 04, 2017</t>
  </si>
  <si>
    <t>Sep 01, 2017</t>
  </si>
  <si>
    <t>Aug 31, 2017</t>
  </si>
  <si>
    <t>Aug 30, 2017</t>
  </si>
  <si>
    <t>Aug 29, 2017</t>
  </si>
  <si>
    <t>Aug 25,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</si>
  <si>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</si>
  <si>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</si>
  <si>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</si>
  <si>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</si>
  <si>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</si>
  <si>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</si>
  <si>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</si>
  <si>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15, 2017</t>
  </si>
  <si>
    <t>Aug 14, 2017</t>
  </si>
  <si>
    <t>Aug 11, 2017</t>
  </si>
  <si>
    <t>Aug 10, 2017</t>
  </si>
  <si>
    <t>Aug 09, 2017</t>
  </si>
  <si>
    <t>Aug 08, 2017</t>
  </si>
  <si>
    <t>Aug 07, 2017</t>
  </si>
  <si>
    <t>Aug 06, 2017</t>
  </si>
  <si>
    <t>Aug 05,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</si>
  <si>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</si>
  <si>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</si>
  <si>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</si>
  <si>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</si>
  <si>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</si>
  <si>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</si>
  <si>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</si>
  <si>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</si>
  <si>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</si>
  <si>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</si>
  <si>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</si>
  <si>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</si>
  <si>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</si>
  <si>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</si>
  <si>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</si>
  <si>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16,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</si>
  <si>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</si>
  <si>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</si>
  <si>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</si>
  <si>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</si>
  <si>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</si>
  <si>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</si>
  <si>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</si>
  <si>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</si>
  <si>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04, 2017</t>
  </si>
  <si>
    <t>Jul 03, 2017</t>
  </si>
  <si>
    <t>Jul 02, 2017</t>
  </si>
  <si>
    <t>Jul 01, 2017</t>
  </si>
  <si>
    <t>Jun 30, 2017</t>
  </si>
  <si>
    <t>Jun 29, 2017</t>
  </si>
  <si>
    <t>Jun 28, 2017</t>
  </si>
  <si>
    <t>Jun 27, 2017</t>
  </si>
  <si>
    <t>Jun 26, 2017</t>
  </si>
  <si>
    <t>Jun 25, 2017</t>
  </si>
  <si>
    <t>Jun 23, 2017</t>
  </si>
  <si>
    <t>Jun 22, 2017</t>
  </si>
  <si>
    <t>Jun 21, 2017</t>
  </si>
  <si>
    <t>Jun 20, 2017</t>
  </si>
  <si>
    <t>Jun 19, 2017</t>
  </si>
  <si>
    <t>Jun 17,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</si>
  <si>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</si>
  <si>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</si>
  <si>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</si>
  <si>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</si>
  <si>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</si>
  <si>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</si>
  <si>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</si>
  <si>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</si>
  <si>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</si>
  <si>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</si>
  <si>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</si>
  <si>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</si>
  <si>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Change %</t>
  </si>
  <si>
    <t>https://pages.stern.nyu.edu/~adamodar/New_Home_Page/datafile/ctryprem.html</t>
  </si>
  <si>
    <t>Data Archieve Approach (Damodaran)</t>
  </si>
  <si>
    <t>% of Sales. To avoid circular referencing where debt depends on equity, model as % of sales such that the interest expenses is equivalent to that derived from % of debt</t>
  </si>
  <si>
    <t>Common size each asset to Total Asset, cash as the balancing item.</t>
  </si>
  <si>
    <t>Growth Projection</t>
  </si>
  <si>
    <t>Profit or Loss</t>
  </si>
  <si>
    <t xml:space="preserve">Financial Position </t>
  </si>
  <si>
    <t>Forecast Driver</t>
  </si>
  <si>
    <t xml:space="preserve">Revenue </t>
  </si>
  <si>
    <t>-</t>
  </si>
  <si>
    <t xml:space="preserve">Prior year Net debt </t>
  </si>
  <si>
    <t xml:space="preserve"> interest expenses as a % of debt. </t>
  </si>
  <si>
    <t xml:space="preserve">Statement of Financial Position Decomposed </t>
  </si>
  <si>
    <t xml:space="preserve">INDUSTRY AVERAGE </t>
  </si>
  <si>
    <t xml:space="preserve">ERP </t>
  </si>
  <si>
    <t>Historical Approach: Monthly</t>
  </si>
  <si>
    <t>UK GY10</t>
  </si>
  <si>
    <t>GER GY10</t>
  </si>
  <si>
    <t xml:space="preserve">ASSUMPTIONS </t>
  </si>
  <si>
    <t>Discount factor</t>
  </si>
  <si>
    <t>CV =</t>
  </si>
  <si>
    <t>PV(economic profit t+2) =</t>
  </si>
  <si>
    <t>Market Return: Historical Approach (b) (Daily)</t>
  </si>
  <si>
    <t>Bond yield: Historical Approach (b)(Daily)</t>
  </si>
  <si>
    <t>Comparable</t>
  </si>
  <si>
    <t>`</t>
  </si>
  <si>
    <t xml:space="preserve">S/N </t>
  </si>
  <si>
    <t xml:space="preserve">Buiness School Coursework </t>
  </si>
  <si>
    <t>Module Title:</t>
  </si>
  <si>
    <t xml:space="preserve">Module Number: </t>
  </si>
  <si>
    <t xml:space="preserve">Coursework Element </t>
  </si>
  <si>
    <t>Module Leader:</t>
  </si>
  <si>
    <t xml:space="preserve">Word Length: </t>
  </si>
  <si>
    <t xml:space="preserve">Submissison Date: </t>
  </si>
  <si>
    <t xml:space="preserve">Assessment Name: </t>
  </si>
  <si>
    <t xml:space="preserve">Individual assignment </t>
  </si>
  <si>
    <t>Student Number:</t>
  </si>
  <si>
    <t>CORPORATE PERFORMANCE ANALYSIS</t>
  </si>
  <si>
    <t>Mohamed Khalil</t>
  </si>
  <si>
    <t xml:space="preserve">≤ 5000 word </t>
  </si>
  <si>
    <t>12th January 2023</t>
  </si>
  <si>
    <t xml:space="preserve">Value per Share </t>
  </si>
  <si>
    <t>Equity Value</t>
  </si>
  <si>
    <t>Number of shares</t>
  </si>
  <si>
    <t>Millions</t>
  </si>
  <si>
    <t xml:space="preserve">Free cash flow excluding Goodwill and Acquired intangibles </t>
  </si>
  <si>
    <t>Free cash flow including Goodwill &amp; Intangibles</t>
  </si>
  <si>
    <t>Working Capital Schedule</t>
  </si>
  <si>
    <t>Accounts Receivable</t>
  </si>
  <si>
    <t>Inventory</t>
  </si>
  <si>
    <t>Accounts Payable</t>
  </si>
  <si>
    <t>Net Working Capital (NWC)</t>
  </si>
  <si>
    <t>Change in NWC</t>
  </si>
  <si>
    <t>Debt &amp; Interest Schedule</t>
  </si>
  <si>
    <t>Debt Opening</t>
  </si>
  <si>
    <t>Issuance (repayment)</t>
  </si>
  <si>
    <t>Debt Closing</t>
  </si>
  <si>
    <t xml:space="preserve"> </t>
  </si>
  <si>
    <t>Discounted Cash Flow Schedule</t>
  </si>
  <si>
    <t>Valuation</t>
  </si>
  <si>
    <t>Discrete Forecast</t>
  </si>
  <si>
    <t>(YY-MM-DD)</t>
  </si>
  <si>
    <t>ASSUMPTIONS</t>
  </si>
  <si>
    <t>CASH FLOW PROFILES</t>
  </si>
  <si>
    <t>First Year of Forecast</t>
  </si>
  <si>
    <t>Terminal Growth Rate</t>
  </si>
  <si>
    <t>Total Cash Flow</t>
  </si>
  <si>
    <t>ENTERPRISE VALUE</t>
  </si>
  <si>
    <t>EQUITY VALUE PER SHARE</t>
  </si>
  <si>
    <t>PV of Discrete</t>
  </si>
  <si>
    <t>PV of Terminal</t>
  </si>
  <si>
    <t>Enterprise Value</t>
  </si>
  <si>
    <t>EQUITY VALUE</t>
  </si>
  <si>
    <t>PREMIUM (DISCOUNT)</t>
  </si>
  <si>
    <t>Less: Net Debt</t>
  </si>
  <si>
    <t>Current Price</t>
  </si>
  <si>
    <t>Premium (Discount)</t>
  </si>
  <si>
    <t>Sensitivity Analysis</t>
  </si>
  <si>
    <t>Net Debt</t>
  </si>
  <si>
    <t>PREMIUM (DISCOUNT) TO CURRENT PRICE</t>
  </si>
  <si>
    <r>
      <t xml:space="preserve">Terminal Value </t>
    </r>
    <r>
      <rPr>
        <vertAlign val="superscript"/>
        <sz val="9"/>
        <rFont val="Times New Roman"/>
        <family val="1"/>
      </rPr>
      <t>2</t>
    </r>
  </si>
  <si>
    <r>
      <t xml:space="preserve">WACC </t>
    </r>
    <r>
      <rPr>
        <vertAlign val="superscript"/>
        <sz val="9"/>
        <rFont val="Times New Roman"/>
        <family val="1"/>
      </rPr>
      <t>1</t>
    </r>
  </si>
  <si>
    <r>
      <t xml:space="preserve">WACC </t>
    </r>
    <r>
      <rPr>
        <vertAlign val="superscript"/>
        <sz val="9"/>
        <color rgb="FF000000"/>
        <rFont val="Times New Roman"/>
        <family val="1"/>
      </rPr>
      <t>1</t>
    </r>
  </si>
  <si>
    <t>All figures in GBP millionsunless stated</t>
  </si>
  <si>
    <t>Continuing value</t>
  </si>
  <si>
    <t>(GBP/sh)</t>
  </si>
  <si>
    <t>(FD MILLIONS)</t>
  </si>
  <si>
    <t>Sustaianble Forecast</t>
  </si>
  <si>
    <t>FREE CASH FLOW</t>
  </si>
  <si>
    <t xml:space="preserve"> Annual Change</t>
  </si>
  <si>
    <t xml:space="preserve"> GDP Growth (%)</t>
  </si>
  <si>
    <t>date</t>
  </si>
  <si>
    <t>A "dofollow" backlink to the originating page is also required if the data is displayed on a web page.</t>
  </si>
  <si>
    <t>ATTRIBUTION: Proper attribution requires clear indication of the data source as "www.macrotrends.net".</t>
  </si>
  <si>
    <t>FOR ANY DAMAGES RELATING TO YOUR USE OF THE DATA PROVIDED.</t>
  </si>
  <si>
    <t>NEITHER MACROTRENDS LLC NOR ANY OF OUR INFORMATION PROVIDERS WILL BE LIABLE</t>
  </si>
  <si>
    <t>FOR INFORMATIONAL PURPOSES - NOT FOR TRADING PURPOSES OR ADVICE.</t>
  </si>
  <si>
    <t>DISCLAIMER AND TERMS OF USE: HISTORICAL DATA IS PROVIDED "AS IS" AND SOLELY</t>
  </si>
  <si>
    <t>U.K. GDP Growth Rate 1961-2023</t>
  </si>
  <si>
    <t>Macrotrends Data Download</t>
  </si>
  <si>
    <t>All figures GBP millions unless stated</t>
  </si>
  <si>
    <t xml:space="preserve">ENTERPRISE VALUE </t>
  </si>
  <si>
    <t>check</t>
  </si>
  <si>
    <t>Nominal Rf = real Rf +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</si>
</sst>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4">
    <numFmt numFmtId="43" formatCode="_(* #,##0.00_);_(* \(#,##0.00\);_(* &quot;-&quot;??_);_(@_)"/>
    <numFmt numFmtId="164" formatCode="_-* #,##0.00_-;\-* #,##0.00_-;_-* &quot;-&quot;??_-;_-@_-"/>
    <numFmt numFmtId="165" formatCode="0.00_);\(0.00\)"/>
    <numFmt numFmtId="166" formatCode="#,##0;[Red]\(#,##0\);\-"/>
    <numFmt numFmtId="167" formatCode="_(* #,##0_);_(* \(#,##0\);_(* &quot;-&quot;??_);_(@_)"/>
    <numFmt numFmtId="168" formatCode="#,##0.0000"/>
    <numFmt numFmtId="169" formatCode="#,##0.00##_);[Red]\(#,##0.00##\)"/>
    <numFmt numFmtId="170" formatCode="0.000%"/>
    <numFmt numFmtId="171" formatCode="0.0%"/>
    <numFmt numFmtId="172" formatCode="_-* #,##0_-;\-* #,##0_-;_-* &quot;-&quot;??_-;_-@_-"/>
    <numFmt numFmtId="173" formatCode="###0\A"/>
    <numFmt numFmtId="174" formatCode="###0\E"/>
    <numFmt numFmtId="175" formatCode="_-* #,##0_-;\(#,##0\)_-;_-* &quot;-&quot;_-;_-@_-"/>
    <numFmt numFmtId="176" formatCode="0.000000"/>
    <numFmt numFmtId="177" formatCode="[$-F800]dddd\,\ mmmm\ dd\,\ yyyy"/>
    <numFmt numFmtId="178" formatCode="0_);\(0\)"/>
    <numFmt numFmtId="179" formatCode="\F\Y\ ##0\ "/>
    <numFmt numFmtId="180" formatCode="\A\Y\ ##0\ "/>
    <numFmt numFmtId="181" formatCode="###0.0\p"/>
    <numFmt numFmtId="182" formatCode="0.000"/>
    <numFmt numFmtId="183" formatCode="_(&quot;$&quot;* #,##0.00_);_(&quot;$&quot;* \(#,##0.00\);_(&quot;$&quot;* &quot;-&quot;??_);_(@_)"/>
    <numFmt numFmtId="184" formatCode="&quot;$&quot;#,##0.00"/>
    <numFmt numFmtId="185" formatCode="0.0000%"/>
    <numFmt numFmtId="186" formatCode="_(* #,##0.0_);_(* \(#,##0.0\);_(* &quot;-&quot;?_);_(@_)"/>
    <numFmt numFmtId="187" formatCode="#,##0.00000"/>
    <numFmt numFmtId="188" formatCode="#,##0.0"/>
    <numFmt numFmtId="189" formatCode="0.0000"/>
    <numFmt numFmtId="190" formatCode="_(* #,##0.0_);_(* \(#,##0.0\);_(* &quot;-&quot;??_);_(@_)"/>
    <numFmt numFmtId="191" formatCode="&quot;£&quot;#,##0.00"/>
    <numFmt numFmtId="192" formatCode="_(#,##0_)_%;\(#,##0\)_%;_(&quot;–&quot;_)_%;_(@_)_%"/>
    <numFmt numFmtId="193" formatCode="0&quot;A&quot;"/>
    <numFmt numFmtId="194" formatCode="0&quot;F&quot;"/>
    <numFmt numFmtId="195" formatCode="_(#,##0.0%_);\(#,##0.0%\);_(&quot;–&quot;_)_%;_(@_)_%"/>
    <numFmt numFmtId="196" formatCode="_(#,##0_);\(#,##0\);_(&quot;–&quot;_);_(@_)"/>
    <numFmt numFmtId="197" formatCode="_(#,##0%_);\(#,##0%\);_(&quot;–&quot;_)_%;_(@_)_%"/>
    <numFmt numFmtId="198" formatCode="#,##0_);\(#,##0\);\-"/>
    <numFmt numFmtId="199" formatCode="0&quot;E&quot;"/>
    <numFmt numFmtId="200" formatCode="yy/mm/dd"/>
    <numFmt numFmtId="201" formatCode="0000"/>
    <numFmt numFmtId="202" formatCode="_(#,##0.00_);\(#,##0.00\);_(&quot;–&quot;_);_(@_)"/>
    <numFmt numFmtId="203" formatCode="#,##0.00_);\(#,##0.00\);\-"/>
    <numFmt numFmtId="204" formatCode="0.0"/>
    <numFmt numFmtId="205" formatCode="_(#,##0.00%_);\(#,##0.00%\);_(&quot;–&quot;_)_%;_(@_)_%"/>
    <numFmt numFmtId="209" formatCode="_-* #,##0.0000_-;\-* #,##0.0000_-;_-* &quot;-&quot;??_-;_-@_-"/>
  </numFmts>
  <fonts count="1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9"/>
      <name val="Arial"/>
      <family val="2"/>
    </font>
    <font>
      <sz val="11"/>
      <color theme="1"/>
      <name val="Daytona"/>
      <family val="2"/>
    </font>
    <font>
      <sz val="9"/>
      <name val="Arial Unicode MS"/>
      <family val="2"/>
    </font>
    <font>
      <sz val="6"/>
      <name val="Arial Unicode MS"/>
      <family val="2"/>
    </font>
    <font>
      <sz val="10"/>
      <name val="Arial"/>
      <family val="2"/>
    </font>
    <font>
      <b/>
      <sz val="9"/>
      <name val="Arial Unicode MS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u/>
      <sz val="11"/>
      <color theme="10"/>
      <name val="Calibri"/>
      <family val="2"/>
      <scheme val="minor"/>
    </font>
    <font>
      <sz val="10"/>
      <name val="Bookman"/>
      <family val="1"/>
    </font>
    <font>
      <sz val="10"/>
      <name val="Bookman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4"/>
      <color theme="1"/>
      <name val="Times New Roman"/>
      <family val="1"/>
    </font>
    <font>
      <b/>
      <sz val="12"/>
      <color theme="0"/>
      <name val="Times New Roman"/>
      <family val="1"/>
    </font>
    <font>
      <i/>
      <sz val="11"/>
      <color theme="1"/>
      <name val="Times New Roman"/>
      <family val="1"/>
    </font>
    <font>
      <sz val="11"/>
      <color theme="1" tint="0.499984740745262"/>
      <name val="Times New Roman"/>
      <family val="1"/>
    </font>
    <font>
      <sz val="11"/>
      <color rgb="FF92D050"/>
      <name val="Times New Roman"/>
      <family val="1"/>
    </font>
    <font>
      <b/>
      <sz val="10"/>
      <color indexed="9"/>
      <name val="Times New Roman"/>
      <family val="1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color theme="0"/>
      <name val="Times New Roman"/>
      <family val="1"/>
    </font>
    <font>
      <sz val="11"/>
      <color rgb="FF0000FF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 tint="-0.249977111117893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trike/>
      <sz val="11"/>
      <color theme="0"/>
      <name val="Times New Roman"/>
      <family val="1"/>
    </font>
    <font>
      <b/>
      <sz val="11"/>
      <color indexed="9"/>
      <name val="Times New Roman"/>
      <family val="1"/>
    </font>
    <font>
      <sz val="11"/>
      <color indexed="8"/>
      <name val="Times New Roman"/>
      <family val="1"/>
    </font>
    <font>
      <sz val="14"/>
      <color theme="0"/>
      <name val="Times New Roman"/>
      <family val="1"/>
    </font>
    <font>
      <b/>
      <sz val="14"/>
      <name val="Times New Roman"/>
      <family val="1"/>
    </font>
    <font>
      <u/>
      <sz val="11"/>
      <color theme="10"/>
      <name val="Times New Roman"/>
      <family val="1"/>
    </font>
    <font>
      <sz val="10"/>
      <name val="Geneva"/>
      <family val="2"/>
    </font>
    <font>
      <sz val="10"/>
      <name val="Geneva"/>
      <family val="2"/>
      <charset val="1"/>
    </font>
    <font>
      <sz val="10"/>
      <name val="Times"/>
      <family val="1"/>
    </font>
    <font>
      <sz val="10"/>
      <name val="Times Roman"/>
    </font>
    <font>
      <i/>
      <sz val="10"/>
      <name val="Times Roman"/>
    </font>
    <font>
      <b/>
      <sz val="10"/>
      <name val="Times"/>
      <family val="1"/>
    </font>
    <font>
      <sz val="10"/>
      <name val="Calibri"/>
      <family val="2"/>
      <scheme val="minor"/>
    </font>
    <font>
      <i/>
      <sz val="10"/>
      <name val="Times"/>
      <family val="1"/>
    </font>
    <font>
      <b/>
      <i/>
      <sz val="10"/>
      <name val="Times"/>
      <family val="1"/>
    </font>
    <font>
      <i/>
      <sz val="10"/>
      <name val="Geneva"/>
      <family val="2"/>
      <charset val="1"/>
    </font>
    <font>
      <b/>
      <sz val="10"/>
      <name val="Geneva"/>
      <family val="2"/>
      <charset val="1"/>
    </font>
    <font>
      <i/>
      <sz val="12"/>
      <name val="Geneva"/>
      <family val="2"/>
      <charset val="1"/>
    </font>
    <font>
      <b/>
      <i/>
      <sz val="12"/>
      <name val="Times"/>
      <family val="1"/>
    </font>
    <font>
      <b/>
      <sz val="14"/>
      <name val="Times"/>
      <family val="1"/>
    </font>
    <font>
      <b/>
      <sz val="9"/>
      <color indexed="8"/>
      <name val="Geneva"/>
      <family val="2"/>
      <charset val="1"/>
    </font>
    <font>
      <sz val="9"/>
      <color indexed="8"/>
      <name val="Geneva"/>
      <family val="2"/>
      <charset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i/>
      <sz val="12"/>
      <color theme="1"/>
      <name val="Calibri"/>
      <family val="2"/>
      <scheme val="minor"/>
    </font>
    <font>
      <i/>
      <sz val="9"/>
      <name val="Geneva"/>
      <family val="2"/>
      <charset val="1"/>
    </font>
    <font>
      <i/>
      <sz val="10"/>
      <name val="Verdana"/>
      <family val="2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8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sz val="10"/>
      <name val="Geneva"/>
      <family val="2"/>
    </font>
    <font>
      <b/>
      <sz val="11"/>
      <color rgb="FF002060"/>
      <name val="Times New Roman"/>
      <family val="1"/>
    </font>
    <font>
      <b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sz val="11"/>
      <name val="Times New Roman"/>
      <family val="1"/>
    </font>
    <font>
      <sz val="11"/>
      <color rgb="FF0070C0"/>
      <name val="Times New Roman"/>
      <family val="1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0"/>
      <name val="Arial Narrow"/>
      <family val="2"/>
    </font>
    <font>
      <u/>
      <sz val="10"/>
      <color theme="10"/>
      <name val="Arial"/>
      <family val="2"/>
    </font>
    <font>
      <b/>
      <sz val="10"/>
      <color theme="0"/>
      <name val="Times New Roman"/>
      <family val="1"/>
    </font>
    <font>
      <i/>
      <sz val="9"/>
      <color theme="0"/>
      <name val="Times New Roman"/>
      <family val="1"/>
    </font>
    <font>
      <b/>
      <i/>
      <sz val="10"/>
      <color theme="0"/>
      <name val="Times New Roman"/>
      <family val="1"/>
    </font>
    <font>
      <b/>
      <sz val="14"/>
      <color rgb="FF0000FF"/>
      <name val="Times New Roman"/>
      <family val="1"/>
    </font>
    <font>
      <i/>
      <sz val="9"/>
      <name val="Times New Roman"/>
      <family val="1"/>
    </font>
    <font>
      <b/>
      <sz val="9"/>
      <color rgb="FF000000"/>
      <name val="Times New Roman"/>
      <family val="1"/>
    </font>
    <font>
      <sz val="8"/>
      <name val="Times New Roman"/>
      <family val="1"/>
    </font>
    <font>
      <sz val="10"/>
      <color rgb="FF3271D2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vertAlign val="superscript"/>
      <sz val="9"/>
      <name val="Times New Roman"/>
      <family val="1"/>
    </font>
    <font>
      <i/>
      <sz val="10"/>
      <color rgb="FF000000"/>
      <name val="Times New Roman"/>
      <family val="1"/>
    </font>
    <font>
      <i/>
      <sz val="8"/>
      <name val="Times New Roman"/>
      <family val="1"/>
    </font>
    <font>
      <b/>
      <i/>
      <sz val="10"/>
      <color rgb="FF3271D2"/>
      <name val="Times New Roman"/>
      <family val="1"/>
    </font>
    <font>
      <vertAlign val="superscript"/>
      <sz val="9"/>
      <color rgb="FF000000"/>
      <name val="Times New Roman"/>
      <family val="1"/>
    </font>
    <font>
      <i/>
      <sz val="10"/>
      <color rgb="FF3271D2"/>
      <name val="Times New Roman"/>
      <family val="1"/>
    </font>
    <font>
      <sz val="10"/>
      <color rgb="FFFFFFFF"/>
      <name val="Times New Roman"/>
      <family val="1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i/>
      <sz val="11"/>
      <color theme="1" tint="0.499984740745262"/>
      <name val="Times New Roman"/>
      <family val="1"/>
    </font>
    <font>
      <b/>
      <sz val="11"/>
      <color theme="1" tint="0.499984740745262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2AD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rgb="FF00C8FF"/>
      </patternFill>
    </fill>
    <fill>
      <patternFill patternType="solid">
        <fgColor theme="0"/>
        <bgColor rgb="FF000000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B1E5CB"/>
      </left>
      <right/>
      <top style="thin">
        <color rgb="FFB1E5CB"/>
      </top>
      <bottom style="thin">
        <color rgb="FFB1E5CB"/>
      </bottom>
      <diagonal/>
    </border>
    <border>
      <left/>
      <right/>
      <top style="thin">
        <color rgb="FFB1E5CB"/>
      </top>
      <bottom style="thin">
        <color rgb="FFB1E5CB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rgb="FFB1E5CB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indexed="64"/>
      </top>
      <bottom/>
      <diagonal/>
    </border>
    <border>
      <left/>
      <right style="hair">
        <color rgb="FF000000"/>
      </right>
      <top style="thin">
        <color indexed="64"/>
      </top>
      <bottom/>
      <diagonal/>
    </border>
    <border>
      <left style="hair">
        <color rgb="FF000000"/>
      </left>
      <right/>
      <top/>
      <bottom style="thin">
        <color indexed="64"/>
      </bottom>
      <diagonal/>
    </border>
    <border>
      <left/>
      <right style="hair">
        <color rgb="FF000000"/>
      </right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37">
    <xf numFmtId="0" fontId="0" fillId="0" borderId="0"/>
    <xf numFmtId="9" fontId="5" fillId="0" borderId="0" applyFont="0" applyFill="0" applyBorder="0" applyAlignment="0" applyProtection="0"/>
    <xf numFmtId="0" fontId="7" fillId="0" borderId="0"/>
    <xf numFmtId="0" fontId="8" fillId="4" borderId="6">
      <alignment horizontal="left"/>
    </xf>
    <xf numFmtId="0" fontId="8" fillId="4" borderId="6">
      <alignment horizontal="right"/>
    </xf>
    <xf numFmtId="0" fontId="8" fillId="4" borderId="7">
      <alignment horizontal="left"/>
    </xf>
    <xf numFmtId="0" fontId="8" fillId="4" borderId="7">
      <alignment horizontal="right"/>
    </xf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0" fillId="0" borderId="0"/>
    <xf numFmtId="0" fontId="11" fillId="0" borderId="0">
      <alignment vertical="top" wrapText="1"/>
    </xf>
    <xf numFmtId="0" fontId="13" fillId="6" borderId="0">
      <alignment horizontal="center"/>
    </xf>
    <xf numFmtId="0" fontId="10" fillId="0" borderId="0"/>
    <xf numFmtId="169" fontId="14" fillId="0" borderId="0"/>
    <xf numFmtId="0" fontId="15" fillId="4" borderId="0"/>
    <xf numFmtId="0" fontId="12" fillId="0" borderId="0"/>
    <xf numFmtId="164" fontId="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164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8" fillId="0" borderId="0"/>
    <xf numFmtId="9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0" fontId="64" fillId="0" borderId="0"/>
    <xf numFmtId="0" fontId="70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1" fillId="0" borderId="0"/>
  </cellStyleXfs>
  <cellXfs count="754">
    <xf numFmtId="0" fontId="0" fillId="0" borderId="0" xfId="0"/>
    <xf numFmtId="0" fontId="6" fillId="3" borderId="0" xfId="0" applyFont="1" applyFill="1"/>
    <xf numFmtId="0" fontId="19" fillId="3" borderId="0" xfId="0" applyFont="1" applyFill="1"/>
    <xf numFmtId="0" fontId="19" fillId="3" borderId="0" xfId="0" applyFont="1" applyFill="1" applyAlignment="1">
      <alignment horizontal="center"/>
    </xf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165" fontId="21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65" fontId="20" fillId="0" borderId="0" xfId="0" applyNumberFormat="1" applyFont="1" applyAlignment="1">
      <alignment horizontal="center"/>
    </xf>
    <xf numFmtId="0" fontId="21" fillId="0" borderId="2" xfId="0" applyFont="1" applyBorder="1"/>
    <xf numFmtId="0" fontId="21" fillId="0" borderId="2" xfId="0" applyFont="1" applyBorder="1" applyAlignment="1">
      <alignment horizontal="center"/>
    </xf>
    <xf numFmtId="165" fontId="21" fillId="0" borderId="2" xfId="0" applyNumberFormat="1" applyFont="1" applyBorder="1" applyAlignment="1">
      <alignment horizontal="center"/>
    </xf>
    <xf numFmtId="0" fontId="21" fillId="0" borderId="3" xfId="0" applyFont="1" applyBorder="1"/>
    <xf numFmtId="0" fontId="21" fillId="0" borderId="3" xfId="0" applyFont="1" applyBorder="1" applyAlignment="1">
      <alignment horizontal="center"/>
    </xf>
    <xf numFmtId="165" fontId="21" fillId="0" borderId="3" xfId="0" applyNumberFormat="1" applyFont="1" applyBorder="1" applyAlignment="1">
      <alignment horizontal="center"/>
    </xf>
    <xf numFmtId="170" fontId="20" fillId="0" borderId="0" xfId="1" applyNumberFormat="1" applyFont="1"/>
    <xf numFmtId="2" fontId="20" fillId="0" borderId="0" xfId="0" applyNumberFormat="1" applyFont="1" applyAlignment="1">
      <alignment horizontal="center"/>
    </xf>
    <xf numFmtId="2" fontId="20" fillId="0" borderId="0" xfId="0" applyNumberFormat="1" applyFont="1"/>
    <xf numFmtId="0" fontId="21" fillId="0" borderId="4" xfId="0" applyFont="1" applyBorder="1"/>
    <xf numFmtId="0" fontId="21" fillId="0" borderId="4" xfId="0" applyFont="1" applyBorder="1" applyAlignment="1">
      <alignment horizontal="center"/>
    </xf>
    <xf numFmtId="2" fontId="21" fillId="0" borderId="4" xfId="0" applyNumberFormat="1" applyFont="1" applyBorder="1" applyAlignment="1">
      <alignment horizontal="center"/>
    </xf>
    <xf numFmtId="2" fontId="21" fillId="0" borderId="3" xfId="0" applyNumberFormat="1" applyFont="1" applyBorder="1" applyAlignment="1">
      <alignment horizontal="center"/>
    </xf>
    <xf numFmtId="0" fontId="20" fillId="2" borderId="0" xfId="0" applyFont="1" applyFill="1"/>
    <xf numFmtId="0" fontId="20" fillId="2" borderId="0" xfId="0" applyFont="1" applyFill="1" applyAlignment="1">
      <alignment horizontal="center"/>
    </xf>
    <xf numFmtId="0" fontId="21" fillId="0" borderId="5" xfId="0" applyFont="1" applyBorder="1"/>
    <xf numFmtId="0" fontId="21" fillId="0" borderId="5" xfId="0" applyFont="1" applyBorder="1" applyAlignment="1">
      <alignment horizontal="center"/>
    </xf>
    <xf numFmtId="0" fontId="22" fillId="3" borderId="0" xfId="0" applyFont="1" applyFill="1"/>
    <xf numFmtId="0" fontId="22" fillId="3" borderId="0" xfId="0" applyFont="1" applyFill="1" applyAlignment="1">
      <alignment horizontal="center"/>
    </xf>
    <xf numFmtId="177" fontId="19" fillId="3" borderId="0" xfId="0" applyNumberFormat="1" applyFont="1" applyFill="1" applyAlignment="1">
      <alignment horizontal="center"/>
    </xf>
    <xf numFmtId="0" fontId="20" fillId="3" borderId="0" xfId="0" applyFont="1" applyFill="1"/>
    <xf numFmtId="165" fontId="22" fillId="3" borderId="0" xfId="0" applyNumberFormat="1" applyFont="1" applyFill="1" applyAlignment="1">
      <alignment horizontal="center"/>
    </xf>
    <xf numFmtId="0" fontId="23" fillId="3" borderId="0" xfId="0" applyFont="1" applyFill="1"/>
    <xf numFmtId="0" fontId="20" fillId="0" borderId="0" xfId="0" applyFont="1" applyAlignment="1">
      <alignment horizontal="justify" vertical="justify"/>
    </xf>
    <xf numFmtId="0" fontId="20" fillId="0" borderId="0" xfId="0" applyFont="1" applyAlignment="1">
      <alignment horizontal="fill" vertical="justify"/>
    </xf>
    <xf numFmtId="0" fontId="20" fillId="0" borderId="0" xfId="0" applyFont="1" applyAlignment="1">
      <alignment horizontal="center" vertical="center"/>
    </xf>
    <xf numFmtId="165" fontId="21" fillId="0" borderId="5" xfId="0" applyNumberFormat="1" applyFont="1" applyBorder="1" applyAlignment="1">
      <alignment horizontal="center"/>
    </xf>
    <xf numFmtId="0" fontId="21" fillId="0" borderId="0" xfId="0" applyFont="1" applyAlignment="1">
      <alignment horizontal="fill" vertical="justify"/>
    </xf>
    <xf numFmtId="0" fontId="22" fillId="0" borderId="0" xfId="0" applyFont="1"/>
    <xf numFmtId="0" fontId="22" fillId="0" borderId="0" xfId="0" applyFont="1" applyAlignment="1">
      <alignment horizontal="center"/>
    </xf>
    <xf numFmtId="0" fontId="19" fillId="3" borderId="0" xfId="0" applyFont="1" applyFill="1" applyAlignment="1">
      <alignment horizontal="center" wrapText="1"/>
    </xf>
    <xf numFmtId="177" fontId="25" fillId="3" borderId="0" xfId="0" applyNumberFormat="1" applyFont="1" applyFill="1" applyAlignment="1">
      <alignment horizontal="center" wrapText="1"/>
    </xf>
    <xf numFmtId="0" fontId="25" fillId="3" borderId="0" xfId="0" applyFont="1" applyFill="1" applyAlignment="1">
      <alignment horizontal="center" wrapText="1"/>
    </xf>
    <xf numFmtId="0" fontId="19" fillId="3" borderId="0" xfId="0" applyFont="1" applyFill="1" applyAlignment="1">
      <alignment horizontal="fill" vertical="center" wrapText="1"/>
    </xf>
    <xf numFmtId="0" fontId="21" fillId="3" borderId="0" xfId="0" applyFont="1" applyFill="1" applyAlignment="1">
      <alignment horizontal="fill" vertical="center"/>
    </xf>
    <xf numFmtId="165" fontId="20" fillId="3" borderId="0" xfId="0" applyNumberFormat="1" applyFont="1" applyFill="1" applyAlignment="1">
      <alignment horizontal="fill" vertical="center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165" fontId="20" fillId="0" borderId="0" xfId="0" applyNumberFormat="1" applyFont="1"/>
    <xf numFmtId="0" fontId="20" fillId="0" borderId="12" xfId="0" applyFont="1" applyBorder="1" applyAlignment="1">
      <alignment horizontal="left"/>
    </xf>
    <xf numFmtId="165" fontId="20" fillId="0" borderId="12" xfId="0" applyNumberFormat="1" applyFont="1" applyBorder="1" applyAlignment="1">
      <alignment horizontal="center"/>
    </xf>
    <xf numFmtId="9" fontId="20" fillId="0" borderId="0" xfId="1" applyFont="1"/>
    <xf numFmtId="2" fontId="20" fillId="0" borderId="0" xfId="1" applyNumberFormat="1" applyFont="1" applyAlignment="1">
      <alignment horizontal="center"/>
    </xf>
    <xf numFmtId="2" fontId="21" fillId="0" borderId="3" xfId="1" applyNumberFormat="1" applyFont="1" applyBorder="1" applyAlignment="1">
      <alignment horizontal="center"/>
    </xf>
    <xf numFmtId="10" fontId="20" fillId="0" borderId="0" xfId="1" applyNumberFormat="1" applyFont="1"/>
    <xf numFmtId="0" fontId="26" fillId="0" borderId="0" xfId="0" applyFont="1" applyAlignment="1">
      <alignment horizontal="center"/>
    </xf>
    <xf numFmtId="0" fontId="27" fillId="0" borderId="0" xfId="0" applyFont="1"/>
    <xf numFmtId="0" fontId="20" fillId="0" borderId="2" xfId="0" applyFont="1" applyBorder="1"/>
    <xf numFmtId="10" fontId="21" fillId="0" borderId="0" xfId="1" applyNumberFormat="1" applyFont="1" applyAlignment="1">
      <alignment horizontal="center"/>
    </xf>
    <xf numFmtId="10" fontId="20" fillId="0" borderId="0" xfId="1" applyNumberFormat="1" applyFont="1" applyAlignment="1">
      <alignment horizontal="center"/>
    </xf>
    <xf numFmtId="10" fontId="21" fillId="0" borderId="2" xfId="1" applyNumberFormat="1" applyFont="1" applyBorder="1" applyAlignment="1">
      <alignment horizontal="center"/>
    </xf>
    <xf numFmtId="10" fontId="20" fillId="0" borderId="0" xfId="0" applyNumberFormat="1" applyFont="1" applyAlignment="1">
      <alignment horizontal="center"/>
    </xf>
    <xf numFmtId="10" fontId="21" fillId="0" borderId="3" xfId="1" applyNumberFormat="1" applyFont="1" applyBorder="1" applyAlignment="1">
      <alignment horizontal="center"/>
    </xf>
    <xf numFmtId="9" fontId="21" fillId="0" borderId="0" xfId="1" applyFont="1" applyAlignment="1">
      <alignment horizontal="center"/>
    </xf>
    <xf numFmtId="9" fontId="20" fillId="0" borderId="0" xfId="0" applyNumberFormat="1" applyFont="1"/>
    <xf numFmtId="9" fontId="21" fillId="0" borderId="2" xfId="1" applyFont="1" applyBorder="1" applyAlignment="1">
      <alignment horizontal="center"/>
    </xf>
    <xf numFmtId="9" fontId="21" fillId="0" borderId="3" xfId="1" applyFont="1" applyBorder="1" applyAlignment="1">
      <alignment horizontal="center"/>
    </xf>
    <xf numFmtId="10" fontId="20" fillId="0" borderId="0" xfId="0" applyNumberFormat="1" applyFont="1"/>
    <xf numFmtId="2" fontId="3" fillId="0" borderId="3" xfId="0" applyNumberFormat="1" applyFont="1" applyBorder="1"/>
    <xf numFmtId="173" fontId="6" fillId="3" borderId="0" xfId="0" applyNumberFormat="1" applyFont="1" applyFill="1" applyAlignment="1">
      <alignment horizontal="center"/>
    </xf>
    <xf numFmtId="0" fontId="20" fillId="0" borderId="0" xfId="2" applyFont="1"/>
    <xf numFmtId="173" fontId="19" fillId="3" borderId="0" xfId="0" applyNumberFormat="1" applyFont="1" applyFill="1" applyAlignment="1">
      <alignment horizontal="center"/>
    </xf>
    <xf numFmtId="174" fontId="21" fillId="5" borderId="0" xfId="0" applyNumberFormat="1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20" fillId="0" borderId="0" xfId="2" applyFont="1" applyAlignment="1">
      <alignment horizontal="center"/>
    </xf>
    <xf numFmtId="2" fontId="20" fillId="0" borderId="0" xfId="2" applyNumberFormat="1" applyFont="1" applyAlignment="1">
      <alignment horizontal="center"/>
    </xf>
    <xf numFmtId="2" fontId="20" fillId="0" borderId="0" xfId="19" applyNumberFormat="1" applyFont="1" applyAlignment="1">
      <alignment horizontal="center"/>
    </xf>
    <xf numFmtId="164" fontId="20" fillId="0" borderId="0" xfId="2" applyNumberFormat="1" applyFont="1"/>
    <xf numFmtId="2" fontId="20" fillId="2" borderId="0" xfId="0" applyNumberFormat="1" applyFont="1" applyFill="1" applyAlignment="1">
      <alignment horizontal="center"/>
    </xf>
    <xf numFmtId="2" fontId="21" fillId="0" borderId="5" xfId="0" applyNumberFormat="1" applyFont="1" applyBorder="1" applyAlignment="1">
      <alignment horizontal="center"/>
    </xf>
    <xf numFmtId="166" fontId="20" fillId="0" borderId="0" xfId="2" applyNumberFormat="1" applyFont="1"/>
    <xf numFmtId="0" fontId="21" fillId="5" borderId="0" xfId="2" applyFont="1" applyFill="1"/>
    <xf numFmtId="9" fontId="30" fillId="3" borderId="0" xfId="2" applyNumberFormat="1" applyFont="1" applyFill="1" applyAlignment="1">
      <alignment horizontal="center"/>
    </xf>
    <xf numFmtId="9" fontId="31" fillId="5" borderId="0" xfId="2" applyNumberFormat="1" applyFont="1" applyFill="1" applyAlignment="1">
      <alignment horizontal="center"/>
    </xf>
    <xf numFmtId="167" fontId="32" fillId="0" borderId="8" xfId="7" applyNumberFormat="1" applyFont="1" applyFill="1" applyBorder="1"/>
    <xf numFmtId="167" fontId="32" fillId="0" borderId="17" xfId="7" applyNumberFormat="1" applyFont="1" applyFill="1" applyBorder="1" applyAlignment="1">
      <alignment horizontal="center"/>
    </xf>
    <xf numFmtId="167" fontId="31" fillId="0" borderId="10" xfId="7" applyNumberFormat="1" applyFont="1" applyFill="1" applyBorder="1"/>
    <xf numFmtId="167" fontId="31" fillId="0" borderId="18" xfId="7" applyNumberFormat="1" applyFont="1" applyFill="1" applyBorder="1" applyAlignment="1">
      <alignment horizontal="center"/>
    </xf>
    <xf numFmtId="0" fontId="21" fillId="0" borderId="0" xfId="2" applyFont="1"/>
    <xf numFmtId="167" fontId="31" fillId="0" borderId="8" xfId="7" applyNumberFormat="1" applyFont="1" applyFill="1" applyBorder="1"/>
    <xf numFmtId="167" fontId="31" fillId="0" borderId="17" xfId="7" applyNumberFormat="1" applyFont="1" applyFill="1" applyBorder="1" applyAlignment="1">
      <alignment horizontal="center"/>
    </xf>
    <xf numFmtId="167" fontId="31" fillId="0" borderId="7" xfId="7" applyNumberFormat="1" applyFont="1" applyFill="1" applyBorder="1" applyAlignment="1">
      <alignment horizontal="center"/>
    </xf>
    <xf numFmtId="167" fontId="32" fillId="0" borderId="14" xfId="7" applyNumberFormat="1" applyFont="1" applyFill="1" applyBorder="1"/>
    <xf numFmtId="9" fontId="32" fillId="0" borderId="17" xfId="8" applyFont="1" applyFill="1" applyBorder="1" applyAlignment="1">
      <alignment horizontal="center"/>
    </xf>
    <xf numFmtId="9" fontId="31" fillId="0" borderId="18" xfId="8" applyFont="1" applyFill="1" applyBorder="1" applyAlignment="1">
      <alignment horizontal="center"/>
    </xf>
    <xf numFmtId="9" fontId="32" fillId="0" borderId="7" xfId="8" applyFont="1" applyFill="1" applyBorder="1" applyAlignment="1">
      <alignment horizontal="center"/>
    </xf>
    <xf numFmtId="9" fontId="31" fillId="0" borderId="16" xfId="8" applyFont="1" applyFill="1" applyBorder="1" applyAlignment="1">
      <alignment horizontal="center"/>
    </xf>
    <xf numFmtId="2" fontId="20" fillId="0" borderId="0" xfId="2" applyNumberFormat="1" applyFont="1"/>
    <xf numFmtId="0" fontId="21" fillId="0" borderId="4" xfId="2" applyFont="1" applyBorder="1"/>
    <xf numFmtId="0" fontId="21" fillId="0" borderId="2" xfId="2" applyFont="1" applyBorder="1"/>
    <xf numFmtId="0" fontId="20" fillId="0" borderId="2" xfId="2" applyFont="1" applyBorder="1"/>
    <xf numFmtId="0" fontId="21" fillId="0" borderId="3" xfId="2" applyFont="1" applyBorder="1"/>
    <xf numFmtId="0" fontId="20" fillId="0" borderId="0" xfId="2" applyFont="1" applyAlignment="1">
      <alignment wrapText="1"/>
    </xf>
    <xf numFmtId="10" fontId="20" fillId="0" borderId="0" xfId="2" applyNumberFormat="1" applyFont="1"/>
    <xf numFmtId="10" fontId="20" fillId="0" borderId="4" xfId="1" applyNumberFormat="1" applyFont="1" applyBorder="1" applyAlignment="1">
      <alignment horizontal="center"/>
    </xf>
    <xf numFmtId="10" fontId="20" fillId="0" borderId="4" xfId="1" applyNumberFormat="1" applyFont="1" applyBorder="1" applyAlignment="1"/>
    <xf numFmtId="10" fontId="20" fillId="0" borderId="3" xfId="1" applyNumberFormat="1" applyFont="1" applyBorder="1" applyAlignment="1">
      <alignment horizontal="center"/>
    </xf>
    <xf numFmtId="10" fontId="20" fillId="0" borderId="5" xfId="1" applyNumberFormat="1" applyFont="1" applyBorder="1" applyAlignment="1">
      <alignment horizontal="center"/>
    </xf>
    <xf numFmtId="167" fontId="31" fillId="0" borderId="0" xfId="19" applyNumberFormat="1" applyFont="1" applyFill="1" applyBorder="1"/>
    <xf numFmtId="10" fontId="20" fillId="0" borderId="0" xfId="1" applyNumberFormat="1" applyFont="1" applyAlignment="1"/>
    <xf numFmtId="171" fontId="20" fillId="0" borderId="0" xfId="1" applyNumberFormat="1" applyFont="1" applyAlignment="1"/>
    <xf numFmtId="10" fontId="20" fillId="0" borderId="3" xfId="1" applyNumberFormat="1" applyFont="1" applyBorder="1" applyAlignment="1"/>
    <xf numFmtId="0" fontId="20" fillId="3" borderId="0" xfId="2" applyFont="1" applyFill="1"/>
    <xf numFmtId="0" fontId="23" fillId="3" borderId="0" xfId="2" applyFont="1" applyFill="1"/>
    <xf numFmtId="0" fontId="22" fillId="3" borderId="0" xfId="2" applyFont="1" applyFill="1"/>
    <xf numFmtId="0" fontId="20" fillId="5" borderId="0" xfId="2" applyFont="1" applyFill="1"/>
    <xf numFmtId="2" fontId="21" fillId="0" borderId="3" xfId="19" applyNumberFormat="1" applyFont="1" applyBorder="1" applyAlignment="1">
      <alignment horizontal="center"/>
    </xf>
    <xf numFmtId="2" fontId="21" fillId="0" borderId="3" xfId="2" applyNumberFormat="1" applyFont="1" applyBorder="1" applyAlignment="1">
      <alignment horizontal="center"/>
    </xf>
    <xf numFmtId="2" fontId="21" fillId="0" borderId="5" xfId="2" applyNumberFormat="1" applyFont="1" applyBorder="1" applyAlignment="1">
      <alignment horizontal="center"/>
    </xf>
    <xf numFmtId="174" fontId="21" fillId="5" borderId="0" xfId="2" applyNumberFormat="1" applyFont="1" applyFill="1"/>
    <xf numFmtId="173" fontId="6" fillId="3" borderId="0" xfId="0" applyNumberFormat="1" applyFont="1" applyFill="1"/>
    <xf numFmtId="174" fontId="21" fillId="5" borderId="0" xfId="2" applyNumberFormat="1" applyFont="1" applyFill="1" applyAlignment="1">
      <alignment horizontal="center"/>
    </xf>
    <xf numFmtId="0" fontId="21" fillId="5" borderId="0" xfId="2" applyFont="1" applyFill="1" applyAlignment="1">
      <alignment horizontal="center"/>
    </xf>
    <xf numFmtId="0" fontId="23" fillId="3" borderId="8" xfId="2" applyFont="1" applyFill="1" applyBorder="1"/>
    <xf numFmtId="166" fontId="28" fillId="3" borderId="2" xfId="2" applyNumberFormat="1" applyFont="1" applyFill="1" applyBorder="1"/>
    <xf numFmtId="0" fontId="21" fillId="5" borderId="2" xfId="2" applyFont="1" applyFill="1" applyBorder="1"/>
    <xf numFmtId="0" fontId="21" fillId="5" borderId="15" xfId="2" applyFont="1" applyFill="1" applyBorder="1"/>
    <xf numFmtId="179" fontId="21" fillId="5" borderId="0" xfId="2" applyNumberFormat="1" applyFont="1" applyFill="1"/>
    <xf numFmtId="179" fontId="21" fillId="5" borderId="9" xfId="2" applyNumberFormat="1" applyFont="1" applyFill="1" applyBorder="1"/>
    <xf numFmtId="177" fontId="21" fillId="5" borderId="0" xfId="0" applyNumberFormat="1" applyFont="1" applyFill="1"/>
    <xf numFmtId="177" fontId="21" fillId="5" borderId="9" xfId="0" applyNumberFormat="1" applyFont="1" applyFill="1" applyBorder="1"/>
    <xf numFmtId="167" fontId="32" fillId="0" borderId="0" xfId="7" applyNumberFormat="1" applyFont="1" applyFill="1" applyBorder="1" applyAlignment="1"/>
    <xf numFmtId="167" fontId="32" fillId="0" borderId="9" xfId="7" applyNumberFormat="1" applyFont="1" applyFill="1" applyBorder="1" applyAlignment="1"/>
    <xf numFmtId="43" fontId="31" fillId="0" borderId="3" xfId="7" applyNumberFormat="1" applyFont="1" applyFill="1" applyBorder="1" applyAlignment="1"/>
    <xf numFmtId="0" fontId="20" fillId="0" borderId="9" xfId="2" applyFont="1" applyBorder="1"/>
    <xf numFmtId="167" fontId="31" fillId="0" borderId="0" xfId="7" applyNumberFormat="1" applyFont="1" applyFill="1" applyBorder="1" applyAlignment="1"/>
    <xf numFmtId="167" fontId="31" fillId="0" borderId="12" xfId="7" applyNumberFormat="1" applyFont="1" applyFill="1" applyBorder="1" applyAlignment="1"/>
    <xf numFmtId="9" fontId="32" fillId="0" borderId="0" xfId="8" applyFont="1" applyFill="1" applyBorder="1" applyAlignment="1"/>
    <xf numFmtId="9" fontId="32" fillId="0" borderId="2" xfId="8" applyFont="1" applyFill="1" applyBorder="1" applyAlignment="1"/>
    <xf numFmtId="9" fontId="32" fillId="0" borderId="15" xfId="8" applyFont="1" applyFill="1" applyBorder="1" applyAlignment="1"/>
    <xf numFmtId="9" fontId="32" fillId="0" borderId="9" xfId="8" applyFont="1" applyFill="1" applyBorder="1" applyAlignment="1"/>
    <xf numFmtId="9" fontId="31" fillId="0" borderId="3" xfId="8" applyFont="1" applyFill="1" applyBorder="1" applyAlignment="1"/>
    <xf numFmtId="9" fontId="31" fillId="0" borderId="11" xfId="8" applyFont="1" applyFill="1" applyBorder="1" applyAlignment="1"/>
    <xf numFmtId="9" fontId="32" fillId="0" borderId="12" xfId="8" applyFont="1" applyFill="1" applyBorder="1" applyAlignment="1"/>
    <xf numFmtId="9" fontId="32" fillId="0" borderId="13" xfId="8" applyFont="1" applyFill="1" applyBorder="1" applyAlignment="1"/>
    <xf numFmtId="2" fontId="21" fillId="0" borderId="0" xfId="2" applyNumberFormat="1" applyFont="1" applyAlignment="1">
      <alignment horizontal="center"/>
    </xf>
    <xf numFmtId="0" fontId="21" fillId="0" borderId="0" xfId="2" applyFont="1" applyAlignment="1">
      <alignment horizontal="center"/>
    </xf>
    <xf numFmtId="2" fontId="21" fillId="0" borderId="4" xfId="2" applyNumberFormat="1" applyFont="1" applyBorder="1" applyAlignment="1">
      <alignment horizontal="center"/>
    </xf>
    <xf numFmtId="2" fontId="21" fillId="0" borderId="2" xfId="2" applyNumberFormat="1" applyFont="1" applyBorder="1" applyAlignment="1">
      <alignment horizontal="center"/>
    </xf>
    <xf numFmtId="9" fontId="30" fillId="3" borderId="0" xfId="2" applyNumberFormat="1" applyFont="1" applyFill="1" applyAlignment="1">
      <alignment horizontal="right"/>
    </xf>
    <xf numFmtId="9" fontId="31" fillId="5" borderId="0" xfId="2" applyNumberFormat="1" applyFont="1" applyFill="1" applyAlignment="1">
      <alignment horizontal="right"/>
    </xf>
    <xf numFmtId="9" fontId="31" fillId="5" borderId="9" xfId="2" applyNumberFormat="1" applyFont="1" applyFill="1" applyBorder="1" applyAlignment="1">
      <alignment horizontal="right"/>
    </xf>
    <xf numFmtId="0" fontId="29" fillId="3" borderId="0" xfId="3" applyFont="1" applyFill="1" applyBorder="1">
      <alignment horizontal="left"/>
    </xf>
    <xf numFmtId="0" fontId="29" fillId="3" borderId="0" xfId="5" applyFont="1" applyFill="1" applyBorder="1">
      <alignment horizontal="left"/>
    </xf>
    <xf numFmtId="177" fontId="29" fillId="3" borderId="0" xfId="6" applyNumberFormat="1" applyFont="1" applyFill="1" applyBorder="1" applyAlignment="1">
      <alignment horizontal="center"/>
    </xf>
    <xf numFmtId="177" fontId="31" fillId="5" borderId="0" xfId="6" applyNumberFormat="1" applyFont="1" applyFill="1" applyBorder="1" applyAlignment="1">
      <alignment horizontal="center"/>
    </xf>
    <xf numFmtId="177" fontId="31" fillId="5" borderId="0" xfId="5" applyNumberFormat="1" applyFont="1" applyFill="1" applyBorder="1" applyAlignment="1">
      <alignment horizontal="center"/>
    </xf>
    <xf numFmtId="179" fontId="31" fillId="5" borderId="0" xfId="4" applyNumberFormat="1" applyFont="1" applyFill="1" applyBorder="1" applyAlignment="1">
      <alignment horizontal="center"/>
    </xf>
    <xf numFmtId="180" fontId="29" fillId="3" borderId="0" xfId="4" applyNumberFormat="1" applyFont="1" applyFill="1" applyBorder="1" applyAlignment="1">
      <alignment horizontal="center"/>
    </xf>
    <xf numFmtId="166" fontId="28" fillId="3" borderId="0" xfId="2" applyNumberFormat="1" applyFont="1" applyFill="1"/>
    <xf numFmtId="180" fontId="29" fillId="3" borderId="0" xfId="4" applyNumberFormat="1" applyFont="1" applyFill="1" applyBorder="1">
      <alignment horizontal="right"/>
    </xf>
    <xf numFmtId="177" fontId="29" fillId="3" borderId="0" xfId="6" applyNumberFormat="1" applyFont="1" applyFill="1" applyBorder="1">
      <alignment horizontal="right"/>
    </xf>
    <xf numFmtId="10" fontId="20" fillId="2" borderId="0" xfId="1" applyNumberFormat="1" applyFont="1" applyFill="1" applyAlignment="1">
      <alignment horizontal="center"/>
    </xf>
    <xf numFmtId="0" fontId="22" fillId="3" borderId="0" xfId="0" applyFont="1" applyFill="1" applyAlignment="1">
      <alignment horizontal="left"/>
    </xf>
    <xf numFmtId="0" fontId="34" fillId="5" borderId="0" xfId="0" applyFont="1" applyFill="1" applyAlignment="1">
      <alignment horizontal="center"/>
    </xf>
    <xf numFmtId="174" fontId="34" fillId="5" borderId="0" xfId="0" applyNumberFormat="1" applyFont="1" applyFill="1" applyAlignment="1">
      <alignment horizontal="center"/>
    </xf>
    <xf numFmtId="174" fontId="34" fillId="5" borderId="0" xfId="0" applyNumberFormat="1" applyFont="1" applyFill="1"/>
    <xf numFmtId="174" fontId="21" fillId="5" borderId="0" xfId="0" applyNumberFormat="1" applyFont="1" applyFill="1"/>
    <xf numFmtId="0" fontId="24" fillId="0" borderId="0" xfId="0" applyFont="1" applyAlignment="1">
      <alignment horizontal="left"/>
    </xf>
    <xf numFmtId="178" fontId="19" fillId="3" borderId="0" xfId="0" applyNumberFormat="1" applyFont="1" applyFill="1" applyAlignment="1">
      <alignment horizontal="center"/>
    </xf>
    <xf numFmtId="0" fontId="23" fillId="3" borderId="0" xfId="0" applyFont="1" applyFill="1" applyAlignment="1">
      <alignment horizontal="left"/>
    </xf>
    <xf numFmtId="181" fontId="20" fillId="0" borderId="0" xfId="0" applyNumberFormat="1" applyFont="1" applyAlignment="1">
      <alignment horizontal="center"/>
    </xf>
    <xf numFmtId="0" fontId="35" fillId="3" borderId="0" xfId="0" applyFont="1" applyFill="1" applyAlignment="1">
      <alignment horizontal="left"/>
    </xf>
    <xf numFmtId="2" fontId="21" fillId="0" borderId="0" xfId="1" applyNumberFormat="1" applyFont="1" applyBorder="1" applyAlignment="1">
      <alignment horizontal="center"/>
    </xf>
    <xf numFmtId="9" fontId="21" fillId="0" borderId="2" xfId="0" applyNumberFormat="1" applyFont="1" applyBorder="1"/>
    <xf numFmtId="9" fontId="21" fillId="0" borderId="3" xfId="0" applyNumberFormat="1" applyFont="1" applyBorder="1"/>
    <xf numFmtId="2" fontId="21" fillId="0" borderId="0" xfId="0" applyNumberFormat="1" applyFont="1" applyAlignment="1">
      <alignment horizontal="center"/>
    </xf>
    <xf numFmtId="2" fontId="19" fillId="0" borderId="2" xfId="0" applyNumberFormat="1" applyFont="1" applyBorder="1" applyAlignment="1">
      <alignment horizontal="center"/>
    </xf>
    <xf numFmtId="2" fontId="21" fillId="0" borderId="2" xfId="0" applyNumberFormat="1" applyFont="1" applyBorder="1" applyAlignment="1">
      <alignment horizontal="center"/>
    </xf>
    <xf numFmtId="2" fontId="19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2" fontId="22" fillId="0" borderId="2" xfId="0" applyNumberFormat="1" applyFont="1" applyBorder="1" applyAlignment="1">
      <alignment horizontal="center"/>
    </xf>
    <xf numFmtId="2" fontId="20" fillId="0" borderId="2" xfId="0" applyNumberFormat="1" applyFont="1" applyBorder="1" applyAlignment="1">
      <alignment horizontal="center"/>
    </xf>
    <xf numFmtId="2" fontId="22" fillId="0" borderId="0" xfId="0" applyNumberFormat="1" applyFont="1" applyAlignment="1">
      <alignment horizontal="center"/>
    </xf>
    <xf numFmtId="0" fontId="19" fillId="0" borderId="2" xfId="0" applyFont="1" applyBorder="1"/>
    <xf numFmtId="0" fontId="20" fillId="0" borderId="5" xfId="0" applyFont="1" applyBorder="1"/>
    <xf numFmtId="0" fontId="19" fillId="0" borderId="0" xfId="0" applyFont="1"/>
    <xf numFmtId="2" fontId="21" fillId="0" borderId="0" xfId="0" applyNumberFormat="1" applyFont="1"/>
    <xf numFmtId="0" fontId="35" fillId="3" borderId="0" xfId="0" applyFont="1" applyFill="1"/>
    <xf numFmtId="2" fontId="20" fillId="0" borderId="2" xfId="0" applyNumberFormat="1" applyFont="1" applyBorder="1"/>
    <xf numFmtId="175" fontId="22" fillId="3" borderId="0" xfId="21" applyNumberFormat="1" applyFont="1" applyFill="1" applyProtection="1">
      <protection locked="0"/>
    </xf>
    <xf numFmtId="175" fontId="20" fillId="3" borderId="0" xfId="21" applyNumberFormat="1" applyFont="1" applyFill="1" applyProtection="1">
      <protection locked="0"/>
    </xf>
    <xf numFmtId="175" fontId="20" fillId="3" borderId="0" xfId="21" applyNumberFormat="1" applyFont="1" applyFill="1" applyAlignment="1" applyProtection="1">
      <alignment horizontal="center"/>
      <protection locked="0"/>
    </xf>
    <xf numFmtId="175" fontId="19" fillId="3" borderId="0" xfId="21" applyNumberFormat="1" applyFont="1" applyFill="1" applyAlignment="1" applyProtection="1">
      <alignment horizontal="centerContinuous"/>
      <protection locked="0"/>
    </xf>
    <xf numFmtId="175" fontId="22" fillId="3" borderId="0" xfId="21" applyNumberFormat="1" applyFont="1" applyFill="1" applyAlignment="1" applyProtection="1">
      <alignment horizontal="centerContinuous"/>
      <protection locked="0"/>
    </xf>
    <xf numFmtId="175" fontId="21" fillId="5" borderId="0" xfId="21" applyNumberFormat="1" applyFont="1" applyFill="1" applyAlignment="1" applyProtection="1">
      <alignment horizontal="centerContinuous"/>
      <protection locked="0"/>
    </xf>
    <xf numFmtId="0" fontId="33" fillId="0" borderId="0" xfId="18" applyFont="1"/>
    <xf numFmtId="175" fontId="19" fillId="3" borderId="0" xfId="21" applyNumberFormat="1" applyFont="1" applyFill="1" applyAlignment="1" applyProtection="1">
      <protection locked="0"/>
    </xf>
    <xf numFmtId="175" fontId="19" fillId="3" borderId="0" xfId="21" applyNumberFormat="1" applyFont="1" applyFill="1" applyAlignment="1" applyProtection="1">
      <alignment horizontal="center"/>
      <protection locked="0"/>
    </xf>
    <xf numFmtId="175" fontId="20" fillId="0" borderId="0" xfId="21" applyNumberFormat="1" applyFont="1" applyProtection="1">
      <protection locked="0"/>
    </xf>
    <xf numFmtId="175" fontId="20" fillId="0" borderId="0" xfId="21" applyNumberFormat="1" applyFont="1" applyAlignment="1" applyProtection="1">
      <alignment horizontal="center"/>
      <protection locked="0"/>
    </xf>
    <xf numFmtId="175" fontId="19" fillId="3" borderId="0" xfId="21" applyNumberFormat="1" applyFont="1" applyFill="1" applyBorder="1" applyProtection="1">
      <protection locked="0"/>
    </xf>
    <xf numFmtId="175" fontId="33" fillId="3" borderId="0" xfId="21" applyNumberFormat="1" applyFont="1" applyFill="1" applyBorder="1" applyProtection="1">
      <protection locked="0"/>
    </xf>
    <xf numFmtId="175" fontId="33" fillId="3" borderId="0" xfId="21" applyNumberFormat="1" applyFont="1" applyFill="1" applyBorder="1" applyAlignment="1" applyProtection="1">
      <alignment horizontal="center"/>
      <protection locked="0"/>
    </xf>
    <xf numFmtId="175" fontId="33" fillId="5" borderId="0" xfId="21" applyNumberFormat="1" applyFont="1" applyFill="1" applyBorder="1" applyProtection="1">
      <protection locked="0"/>
    </xf>
    <xf numFmtId="175" fontId="20" fillId="5" borderId="0" xfId="21" applyNumberFormat="1" applyFont="1" applyFill="1" applyProtection="1">
      <protection locked="0"/>
    </xf>
    <xf numFmtId="0" fontId="33" fillId="5" borderId="0" xfId="18" applyFont="1" applyFill="1"/>
    <xf numFmtId="175" fontId="33" fillId="0" borderId="0" xfId="21" applyNumberFormat="1" applyFont="1" applyFill="1" applyProtection="1">
      <protection locked="0"/>
    </xf>
    <xf numFmtId="175" fontId="36" fillId="0" borderId="0" xfId="21" applyNumberFormat="1" applyFont="1" applyFill="1" applyProtection="1">
      <protection locked="0"/>
    </xf>
    <xf numFmtId="175" fontId="20" fillId="0" borderId="2" xfId="21" applyNumberFormat="1" applyFont="1" applyBorder="1" applyProtection="1">
      <protection locked="0"/>
    </xf>
    <xf numFmtId="175" fontId="21" fillId="0" borderId="2" xfId="21" applyNumberFormat="1" applyFont="1" applyBorder="1" applyProtection="1">
      <protection locked="0"/>
    </xf>
    <xf numFmtId="175" fontId="21" fillId="0" borderId="2" xfId="21" applyNumberFormat="1" applyFont="1" applyBorder="1" applyAlignment="1" applyProtection="1">
      <alignment horizontal="center"/>
      <protection locked="0"/>
    </xf>
    <xf numFmtId="171" fontId="33" fillId="0" borderId="2" xfId="22" applyNumberFormat="1" applyFont="1" applyFill="1" applyBorder="1" applyProtection="1">
      <protection locked="0"/>
    </xf>
    <xf numFmtId="171" fontId="36" fillId="0" borderId="2" xfId="22" applyNumberFormat="1" applyFont="1" applyFill="1" applyBorder="1" applyProtection="1">
      <protection locked="0"/>
    </xf>
    <xf numFmtId="175" fontId="20" fillId="0" borderId="0" xfId="21" applyNumberFormat="1" applyFont="1" applyBorder="1" applyProtection="1">
      <protection locked="0"/>
    </xf>
    <xf numFmtId="175" fontId="20" fillId="0" borderId="0" xfId="21" applyNumberFormat="1" applyFont="1" applyBorder="1" applyAlignment="1" applyProtection="1">
      <alignment horizontal="center"/>
      <protection locked="0"/>
    </xf>
    <xf numFmtId="171" fontId="33" fillId="0" borderId="0" xfId="22" applyNumberFormat="1" applyFont="1" applyFill="1" applyBorder="1" applyProtection="1">
      <protection locked="0"/>
    </xf>
    <xf numFmtId="171" fontId="36" fillId="0" borderId="0" xfId="22" applyNumberFormat="1" applyFont="1" applyFill="1" applyBorder="1" applyProtection="1">
      <protection locked="0"/>
    </xf>
    <xf numFmtId="0" fontId="22" fillId="0" borderId="0" xfId="18" applyFont="1"/>
    <xf numFmtId="171" fontId="20" fillId="0" borderId="0" xfId="1" applyNumberFormat="1" applyFont="1"/>
    <xf numFmtId="9" fontId="33" fillId="0" borderId="0" xfId="1" applyFont="1"/>
    <xf numFmtId="175" fontId="26" fillId="0" borderId="0" xfId="21" applyNumberFormat="1" applyFont="1" applyBorder="1" applyProtection="1">
      <protection locked="0"/>
    </xf>
    <xf numFmtId="175" fontId="26" fillId="0" borderId="0" xfId="21" applyNumberFormat="1" applyFont="1" applyBorder="1" applyAlignment="1" applyProtection="1">
      <alignment horizontal="center"/>
      <protection locked="0"/>
    </xf>
    <xf numFmtId="2" fontId="33" fillId="0" borderId="0" xfId="1" applyNumberFormat="1" applyFont="1" applyFill="1" applyBorder="1" applyProtection="1">
      <protection locked="0"/>
    </xf>
    <xf numFmtId="2" fontId="36" fillId="0" borderId="0" xfId="22" applyNumberFormat="1" applyFont="1" applyFill="1" applyBorder="1" applyProtection="1">
      <protection locked="0"/>
    </xf>
    <xf numFmtId="9" fontId="33" fillId="0" borderId="0" xfId="1" applyFont="1" applyFill="1" applyBorder="1" applyProtection="1">
      <protection locked="0"/>
    </xf>
    <xf numFmtId="9" fontId="36" fillId="0" borderId="0" xfId="1" applyFont="1" applyFill="1" applyBorder="1" applyProtection="1">
      <protection locked="0"/>
    </xf>
    <xf numFmtId="9" fontId="36" fillId="0" borderId="0" xfId="22" applyFont="1" applyFill="1" applyAlignment="1" applyProtection="1">
      <alignment horizontal="center"/>
      <protection locked="0"/>
    </xf>
    <xf numFmtId="9" fontId="33" fillId="0" borderId="0" xfId="1" applyFont="1" applyFill="1" applyProtection="1">
      <protection locked="0"/>
    </xf>
    <xf numFmtId="9" fontId="36" fillId="0" borderId="0" xfId="1" applyFont="1" applyFill="1" applyProtection="1">
      <protection locked="0"/>
    </xf>
    <xf numFmtId="175" fontId="33" fillId="0" borderId="0" xfId="21" applyNumberFormat="1" applyFont="1" applyFill="1" applyBorder="1" applyProtection="1">
      <protection locked="0"/>
    </xf>
    <xf numFmtId="43" fontId="33" fillId="0" borderId="0" xfId="21" applyNumberFormat="1" applyFont="1" applyFill="1" applyBorder="1" applyProtection="1">
      <protection locked="0"/>
    </xf>
    <xf numFmtId="9" fontId="22" fillId="0" borderId="0" xfId="0" applyNumberFormat="1" applyFont="1"/>
    <xf numFmtId="0" fontId="37" fillId="0" borderId="0" xfId="0" applyFont="1"/>
    <xf numFmtId="10" fontId="38" fillId="0" borderId="0" xfId="1" applyNumberFormat="1" applyFont="1"/>
    <xf numFmtId="10" fontId="38" fillId="0" borderId="0" xfId="0" applyNumberFormat="1" applyFont="1"/>
    <xf numFmtId="2" fontId="38" fillId="0" borderId="0" xfId="0" applyNumberFormat="1" applyFont="1"/>
    <xf numFmtId="175" fontId="23" fillId="3" borderId="0" xfId="21" applyNumberFormat="1" applyFont="1" applyFill="1" applyAlignment="1" applyProtection="1">
      <alignment horizontal="left"/>
      <protection locked="0"/>
    </xf>
    <xf numFmtId="38" fontId="19" fillId="3" borderId="0" xfId="9" applyNumberFormat="1" applyFont="1" applyFill="1"/>
    <xf numFmtId="38" fontId="22" fillId="3" borderId="0" xfId="10" applyNumberFormat="1" applyFont="1" applyFill="1"/>
    <xf numFmtId="0" fontId="20" fillId="0" borderId="0" xfId="10" applyFont="1"/>
    <xf numFmtId="167" fontId="21" fillId="0" borderId="19" xfId="9" applyNumberFormat="1" applyFont="1" applyFill="1" applyBorder="1"/>
    <xf numFmtId="167" fontId="21" fillId="0" borderId="0" xfId="9" applyNumberFormat="1" applyFont="1" applyFill="1" applyBorder="1" applyAlignment="1">
      <alignment horizontal="right"/>
    </xf>
    <xf numFmtId="0" fontId="21" fillId="0" borderId="0" xfId="10" applyFont="1"/>
    <xf numFmtId="167" fontId="21" fillId="0" borderId="0" xfId="9" applyNumberFormat="1" applyFont="1" applyFill="1"/>
    <xf numFmtId="167" fontId="21" fillId="0" borderId="1" xfId="9" applyNumberFormat="1" applyFont="1" applyFill="1" applyBorder="1" applyAlignment="1">
      <alignment horizontal="right"/>
    </xf>
    <xf numFmtId="167" fontId="20" fillId="0" borderId="1" xfId="9" applyNumberFormat="1" applyFont="1" applyFill="1" applyBorder="1"/>
    <xf numFmtId="0" fontId="20" fillId="0" borderId="1" xfId="10" applyFont="1" applyBorder="1"/>
    <xf numFmtId="167" fontId="20" fillId="0" borderId="0" xfId="9" applyNumberFormat="1" applyFont="1" applyFill="1" applyBorder="1" applyAlignment="1">
      <alignment horizontal="left" indent="1"/>
    </xf>
    <xf numFmtId="167" fontId="20" fillId="0" borderId="0" xfId="9" applyNumberFormat="1" applyFont="1" applyFill="1" applyBorder="1" applyAlignment="1">
      <alignment horizontal="right" indent="1"/>
    </xf>
    <xf numFmtId="9" fontId="20" fillId="0" borderId="0" xfId="9" applyNumberFormat="1" applyFont="1" applyFill="1" applyBorder="1"/>
    <xf numFmtId="9" fontId="20" fillId="0" borderId="0" xfId="11" applyFont="1" applyFill="1" applyBorder="1"/>
    <xf numFmtId="167" fontId="20" fillId="0" borderId="12" xfId="9" applyNumberFormat="1" applyFont="1" applyFill="1" applyBorder="1" applyAlignment="1">
      <alignment horizontal="left" indent="1"/>
    </xf>
    <xf numFmtId="167" fontId="20" fillId="0" borderId="12" xfId="9" applyNumberFormat="1" applyFont="1" applyFill="1" applyBorder="1" applyAlignment="1">
      <alignment horizontal="right" indent="1"/>
    </xf>
    <xf numFmtId="9" fontId="20" fillId="0" borderId="12" xfId="9" applyNumberFormat="1" applyFont="1" applyFill="1" applyBorder="1"/>
    <xf numFmtId="167" fontId="20" fillId="0" borderId="0" xfId="9" applyNumberFormat="1" applyFont="1" applyFill="1"/>
    <xf numFmtId="167" fontId="20" fillId="0" borderId="0" xfId="9" applyNumberFormat="1" applyFont="1" applyFill="1" applyAlignment="1">
      <alignment horizontal="right"/>
    </xf>
    <xf numFmtId="9" fontId="20" fillId="0" borderId="0" xfId="9" applyNumberFormat="1" applyFont="1" applyFill="1"/>
    <xf numFmtId="167" fontId="21" fillId="0" borderId="0" xfId="9" applyNumberFormat="1" applyFont="1" applyFill="1" applyAlignment="1">
      <alignment horizontal="right"/>
    </xf>
    <xf numFmtId="167" fontId="20" fillId="0" borderId="0" xfId="9" applyNumberFormat="1" applyFont="1" applyFill="1" applyAlignment="1">
      <alignment horizontal="left" indent="1"/>
    </xf>
    <xf numFmtId="167" fontId="20" fillId="0" borderId="0" xfId="9" applyNumberFormat="1" applyFont="1" applyFill="1" applyAlignment="1">
      <alignment horizontal="right" indent="1"/>
    </xf>
    <xf numFmtId="4" fontId="20" fillId="0" borderId="0" xfId="9" applyNumberFormat="1" applyFont="1" applyFill="1" applyBorder="1"/>
    <xf numFmtId="176" fontId="20" fillId="0" borderId="0" xfId="0" applyNumberFormat="1" applyFont="1"/>
    <xf numFmtId="4" fontId="20" fillId="0" borderId="12" xfId="9" applyNumberFormat="1" applyFont="1" applyFill="1" applyBorder="1"/>
    <xf numFmtId="4" fontId="20" fillId="0" borderId="0" xfId="9" applyNumberFormat="1" applyFont="1" applyFill="1"/>
    <xf numFmtId="168" fontId="20" fillId="0" borderId="0" xfId="9" applyNumberFormat="1" applyFont="1" applyFill="1" applyBorder="1"/>
    <xf numFmtId="167" fontId="21" fillId="0" borderId="0" xfId="9" applyNumberFormat="1" applyFont="1" applyFill="1" applyBorder="1"/>
    <xf numFmtId="167" fontId="20" fillId="0" borderId="0" xfId="9" applyNumberFormat="1" applyFont="1" applyFill="1" applyBorder="1"/>
    <xf numFmtId="2" fontId="20" fillId="0" borderId="0" xfId="11" applyNumberFormat="1" applyFont="1" applyFill="1" applyBorder="1"/>
    <xf numFmtId="2" fontId="20" fillId="0" borderId="0" xfId="9" applyNumberFormat="1" applyFont="1" applyFill="1" applyBorder="1"/>
    <xf numFmtId="167" fontId="20" fillId="0" borderId="12" xfId="9" applyNumberFormat="1" applyFont="1" applyFill="1" applyBorder="1" applyAlignment="1">
      <alignment horizontal="right"/>
    </xf>
    <xf numFmtId="0" fontId="39" fillId="5" borderId="0" xfId="14" applyFont="1" applyFill="1">
      <alignment horizontal="center"/>
    </xf>
    <xf numFmtId="0" fontId="20" fillId="5" borderId="0" xfId="0" applyFont="1" applyFill="1"/>
    <xf numFmtId="0" fontId="40" fillId="0" borderId="0" xfId="12" applyFont="1" applyAlignment="1">
      <alignment horizontal="left"/>
    </xf>
    <xf numFmtId="0" fontId="41" fillId="0" borderId="0" xfId="12" applyFont="1"/>
    <xf numFmtId="0" fontId="20" fillId="0" borderId="0" xfId="0" applyFont="1" applyAlignment="1">
      <alignment horizontal="centerContinuous" vertical="justify"/>
    </xf>
    <xf numFmtId="10" fontId="22" fillId="3" borderId="0" xfId="1" applyNumberFormat="1" applyFont="1" applyFill="1" applyAlignment="1">
      <alignment horizontal="left"/>
    </xf>
    <xf numFmtId="2" fontId="22" fillId="3" borderId="0" xfId="1" applyNumberFormat="1" applyFont="1" applyFill="1" applyAlignment="1">
      <alignment horizontal="left"/>
    </xf>
    <xf numFmtId="9" fontId="22" fillId="3" borderId="0" xfId="0" applyNumberFormat="1" applyFont="1" applyFill="1" applyAlignment="1">
      <alignment horizontal="left"/>
    </xf>
    <xf numFmtId="2" fontId="22" fillId="3" borderId="0" xfId="0" applyNumberFormat="1" applyFont="1" applyFill="1" applyAlignment="1">
      <alignment horizontal="left"/>
    </xf>
    <xf numFmtId="0" fontId="42" fillId="3" borderId="0" xfId="0" applyFont="1" applyFill="1" applyAlignment="1">
      <alignment horizontal="center"/>
    </xf>
    <xf numFmtId="0" fontId="43" fillId="3" borderId="0" xfId="17" applyFont="1" applyFill="1"/>
    <xf numFmtId="169" fontId="44" fillId="0" borderId="0" xfId="16" applyFont="1"/>
    <xf numFmtId="169" fontId="21" fillId="0" borderId="2" xfId="0" applyNumberFormat="1" applyFont="1" applyBorder="1"/>
    <xf numFmtId="172" fontId="20" fillId="0" borderId="0" xfId="19" applyNumberFormat="1" applyFont="1"/>
    <xf numFmtId="172" fontId="21" fillId="0" borderId="2" xfId="19" applyNumberFormat="1" applyFont="1" applyBorder="1"/>
    <xf numFmtId="0" fontId="40" fillId="0" borderId="0" xfId="18" applyFont="1"/>
    <xf numFmtId="0" fontId="24" fillId="5" borderId="0" xfId="0" applyFont="1" applyFill="1"/>
    <xf numFmtId="0" fontId="21" fillId="5" borderId="0" xfId="0" applyFont="1" applyFill="1"/>
    <xf numFmtId="0" fontId="20" fillId="5" borderId="0" xfId="0" applyFont="1" applyFill="1" applyAlignment="1">
      <alignment horizontal="center"/>
    </xf>
    <xf numFmtId="0" fontId="23" fillId="3" borderId="0" xfId="0" applyFont="1" applyFill="1" applyAlignment="1">
      <alignment horizontal="centerContinuous" vertical="justify"/>
    </xf>
    <xf numFmtId="0" fontId="45" fillId="3" borderId="0" xfId="0" applyFont="1" applyFill="1" applyAlignment="1">
      <alignment horizontal="centerContinuous" vertical="justify"/>
    </xf>
    <xf numFmtId="10" fontId="21" fillId="0" borderId="5" xfId="1" applyNumberFormat="1" applyFont="1" applyBorder="1"/>
    <xf numFmtId="9" fontId="21" fillId="0" borderId="5" xfId="1" applyFont="1" applyBorder="1"/>
    <xf numFmtId="10" fontId="21" fillId="0" borderId="5" xfId="1" applyNumberFormat="1" applyFont="1" applyBorder="1" applyAlignment="1">
      <alignment horizontal="center"/>
    </xf>
    <xf numFmtId="2" fontId="40" fillId="0" borderId="0" xfId="12" applyNumberFormat="1" applyFont="1" applyAlignment="1">
      <alignment horizontal="center"/>
    </xf>
    <xf numFmtId="0" fontId="46" fillId="5" borderId="0" xfId="18" applyFont="1" applyFill="1"/>
    <xf numFmtId="0" fontId="40" fillId="0" borderId="0" xfId="18" applyFont="1" applyAlignment="1">
      <alignment horizontal="center"/>
    </xf>
    <xf numFmtId="0" fontId="33" fillId="0" borderId="0" xfId="18" applyFont="1" applyAlignment="1">
      <alignment horizontal="center"/>
    </xf>
    <xf numFmtId="0" fontId="34" fillId="5" borderId="0" xfId="18" applyFont="1" applyFill="1"/>
    <xf numFmtId="0" fontId="34" fillId="5" borderId="0" xfId="18" applyFont="1" applyFill="1" applyAlignment="1">
      <alignment horizontal="center"/>
    </xf>
    <xf numFmtId="10" fontId="33" fillId="0" borderId="0" xfId="18" applyNumberFormat="1" applyFont="1" applyAlignment="1">
      <alignment horizontal="center"/>
    </xf>
    <xf numFmtId="172" fontId="33" fillId="0" borderId="0" xfId="19" applyNumberFormat="1" applyFont="1" applyAlignment="1">
      <alignment horizontal="center"/>
    </xf>
    <xf numFmtId="0" fontId="40" fillId="5" borderId="0" xfId="18" applyFont="1" applyFill="1" applyAlignment="1">
      <alignment horizontal="center"/>
    </xf>
    <xf numFmtId="0" fontId="20" fillId="0" borderId="19" xfId="0" applyFont="1" applyBorder="1"/>
    <xf numFmtId="0" fontId="26" fillId="0" borderId="0" xfId="0" applyFont="1" applyAlignment="1">
      <alignment horizontal="left" wrapText="1"/>
    </xf>
    <xf numFmtId="0" fontId="26" fillId="0" borderId="0" xfId="0" applyFont="1" applyAlignment="1">
      <alignment horizontal="left" indent="1"/>
    </xf>
    <xf numFmtId="17" fontId="0" fillId="0" borderId="0" xfId="0" applyNumberFormat="1"/>
    <xf numFmtId="4" fontId="0" fillId="0" borderId="0" xfId="0" applyNumberFormat="1"/>
    <xf numFmtId="17" fontId="20" fillId="0" borderId="0" xfId="0" applyNumberFormat="1" applyFont="1"/>
    <xf numFmtId="14" fontId="20" fillId="0" borderId="0" xfId="0" applyNumberFormat="1" applyFont="1"/>
    <xf numFmtId="164" fontId="20" fillId="0" borderId="0" xfId="19" applyFont="1"/>
    <xf numFmtId="4" fontId="20" fillId="0" borderId="0" xfId="0" applyNumberFormat="1" applyFont="1"/>
    <xf numFmtId="0" fontId="21" fillId="0" borderId="25" xfId="0" applyFont="1" applyBorder="1"/>
    <xf numFmtId="10" fontId="20" fillId="5" borderId="0" xfId="1" applyNumberFormat="1" applyFont="1" applyFill="1"/>
    <xf numFmtId="15" fontId="20" fillId="0" borderId="0" xfId="0" applyNumberFormat="1" applyFont="1"/>
    <xf numFmtId="0" fontId="48" fillId="0" borderId="0" xfId="26"/>
    <xf numFmtId="0" fontId="49" fillId="0" borderId="0" xfId="26" applyFont="1"/>
    <xf numFmtId="0" fontId="50" fillId="0" borderId="0" xfId="26" applyFont="1"/>
    <xf numFmtId="10" fontId="51" fillId="0" borderId="26" xfId="26" applyNumberFormat="1" applyFont="1" applyBorder="1" applyAlignment="1">
      <alignment horizontal="center"/>
    </xf>
    <xf numFmtId="0" fontId="51" fillId="0" borderId="26" xfId="26" applyFont="1" applyBorder="1" applyAlignment="1">
      <alignment horizontal="center"/>
    </xf>
    <xf numFmtId="0" fontId="49" fillId="0" borderId="0" xfId="26" applyFont="1" applyAlignment="1">
      <alignment horizontal="center"/>
    </xf>
    <xf numFmtId="0" fontId="53" fillId="0" borderId="0" xfId="26" applyFont="1" applyAlignment="1">
      <alignment horizontal="center"/>
    </xf>
    <xf numFmtId="10" fontId="49" fillId="0" borderId="0" xfId="26" applyNumberFormat="1" applyFont="1"/>
    <xf numFmtId="0" fontId="54" fillId="0" borderId="26" xfId="26" applyFont="1" applyBorder="1" applyAlignment="1">
      <alignment horizontal="center"/>
    </xf>
    <xf numFmtId="0" fontId="50" fillId="0" borderId="26" xfId="26" applyFont="1" applyBorder="1" applyAlignment="1">
      <alignment horizontal="center"/>
    </xf>
    <xf numFmtId="2" fontId="51" fillId="0" borderId="26" xfId="26" applyNumberFormat="1" applyFont="1" applyBorder="1" applyAlignment="1">
      <alignment horizontal="center"/>
    </xf>
    <xf numFmtId="0" fontId="52" fillId="0" borderId="26" xfId="26" applyFont="1" applyBorder="1" applyAlignment="1">
      <alignment horizontal="center"/>
    </xf>
    <xf numFmtId="0" fontId="50" fillId="0" borderId="0" xfId="26" applyFont="1" applyAlignment="1">
      <alignment horizontal="centerContinuous"/>
    </xf>
    <xf numFmtId="0" fontId="55" fillId="0" borderId="0" xfId="26" applyFont="1"/>
    <xf numFmtId="0" fontId="52" fillId="0" borderId="26" xfId="26" applyFont="1" applyBorder="1"/>
    <xf numFmtId="0" fontId="52" fillId="0" borderId="26" xfId="26" applyFont="1" applyBorder="1" applyAlignment="1">
      <alignment horizontal="centerContinuous"/>
    </xf>
    <xf numFmtId="0" fontId="53" fillId="0" borderId="0" xfId="26" applyFont="1"/>
    <xf numFmtId="10" fontId="56" fillId="0" borderId="0" xfId="26" applyNumberFormat="1" applyFont="1" applyAlignment="1">
      <alignment horizontal="center"/>
    </xf>
    <xf numFmtId="10" fontId="53" fillId="0" borderId="0" xfId="26" applyNumberFormat="1" applyFont="1" applyAlignment="1">
      <alignment horizontal="center"/>
    </xf>
    <xf numFmtId="10" fontId="53" fillId="0" borderId="29" xfId="26" applyNumberFormat="1" applyFont="1" applyBorder="1" applyAlignment="1">
      <alignment horizontal="center"/>
    </xf>
    <xf numFmtId="0" fontId="57" fillId="0" borderId="0" xfId="26" applyFont="1"/>
    <xf numFmtId="10" fontId="53" fillId="0" borderId="29" xfId="27" applyNumberFormat="1" applyFont="1" applyBorder="1" applyAlignment="1">
      <alignment horizontal="center"/>
    </xf>
    <xf numFmtId="0" fontId="58" fillId="0" borderId="30" xfId="26" applyFont="1" applyBorder="1" applyAlignment="1">
      <alignment horizontal="center"/>
    </xf>
    <xf numFmtId="2" fontId="53" fillId="0" borderId="29" xfId="26" applyNumberFormat="1" applyFont="1" applyBorder="1" applyAlignment="1">
      <alignment horizontal="center"/>
    </xf>
    <xf numFmtId="10" fontId="50" fillId="7" borderId="29" xfId="26" applyNumberFormat="1" applyFont="1" applyFill="1" applyBorder="1"/>
    <xf numFmtId="184" fontId="50" fillId="7" borderId="29" xfId="28" applyNumberFormat="1" applyFont="1" applyFill="1" applyBorder="1"/>
    <xf numFmtId="184" fontId="50" fillId="7" borderId="30" xfId="28" applyNumberFormat="1" applyFont="1" applyFill="1" applyBorder="1"/>
    <xf numFmtId="0" fontId="50" fillId="7" borderId="26" xfId="26" applyFont="1" applyFill="1" applyBorder="1" applyAlignment="1">
      <alignment horizontal="center"/>
    </xf>
    <xf numFmtId="0" fontId="50" fillId="7" borderId="29" xfId="26" applyFont="1" applyFill="1" applyBorder="1"/>
    <xf numFmtId="0" fontId="59" fillId="0" borderId="0" xfId="26" applyFont="1"/>
    <xf numFmtId="0" fontId="60" fillId="0" borderId="0" xfId="26" applyFont="1"/>
    <xf numFmtId="0" fontId="61" fillId="0" borderId="0" xfId="26" applyFont="1"/>
    <xf numFmtId="4" fontId="20" fillId="5" borderId="0" xfId="9" applyNumberFormat="1" applyFont="1" applyFill="1" applyBorder="1"/>
    <xf numFmtId="0" fontId="20" fillId="0" borderId="3" xfId="0" applyFont="1" applyBorder="1"/>
    <xf numFmtId="0" fontId="64" fillId="0" borderId="0" xfId="29"/>
    <xf numFmtId="0" fontId="64" fillId="0" borderId="0" xfId="29" applyAlignment="1">
      <alignment horizontal="left"/>
    </xf>
    <xf numFmtId="0" fontId="65" fillId="0" borderId="0" xfId="29" applyFont="1"/>
    <xf numFmtId="10" fontId="66" fillId="0" borderId="9" xfId="29" applyNumberFormat="1" applyFont="1" applyBorder="1" applyAlignment="1">
      <alignment horizontal="center"/>
    </xf>
    <xf numFmtId="10" fontId="66" fillId="0" borderId="9" xfId="29" applyNumberFormat="1" applyFont="1" applyBorder="1"/>
    <xf numFmtId="0" fontId="66" fillId="0" borderId="9" xfId="29" applyFont="1" applyBorder="1" applyAlignment="1">
      <alignment horizontal="center"/>
    </xf>
    <xf numFmtId="0" fontId="66" fillId="0" borderId="9" xfId="29" applyFont="1" applyBorder="1"/>
    <xf numFmtId="10" fontId="66" fillId="0" borderId="13" xfId="29" applyNumberFormat="1" applyFont="1" applyBorder="1" applyAlignment="1">
      <alignment horizontal="center"/>
    </xf>
    <xf numFmtId="10" fontId="66" fillId="0" borderId="13" xfId="29" applyNumberFormat="1" applyFont="1" applyBorder="1"/>
    <xf numFmtId="0" fontId="66" fillId="0" borderId="13" xfId="29" applyFont="1" applyBorder="1" applyAlignment="1">
      <alignment horizontal="center"/>
    </xf>
    <xf numFmtId="0" fontId="66" fillId="0" borderId="13" xfId="29" applyFont="1" applyBorder="1"/>
    <xf numFmtId="10" fontId="66" fillId="0" borderId="27" xfId="29" applyNumberFormat="1" applyFont="1" applyBorder="1" applyAlignment="1">
      <alignment horizontal="center"/>
    </xf>
    <xf numFmtId="10" fontId="66" fillId="0" borderId="27" xfId="29" applyNumberFormat="1" applyFont="1" applyBorder="1"/>
    <xf numFmtId="10" fontId="66" fillId="0" borderId="0" xfId="29" applyNumberFormat="1" applyFont="1" applyAlignment="1">
      <alignment horizontal="center"/>
    </xf>
    <xf numFmtId="10" fontId="66" fillId="0" borderId="0" xfId="29" applyNumberFormat="1" applyFont="1"/>
    <xf numFmtId="0" fontId="66" fillId="0" borderId="27" xfId="29" applyFont="1" applyBorder="1" applyAlignment="1">
      <alignment horizontal="center"/>
    </xf>
    <xf numFmtId="0" fontId="66" fillId="0" borderId="27" xfId="29" applyFont="1" applyBorder="1"/>
    <xf numFmtId="0" fontId="67" fillId="0" borderId="0" xfId="29" applyFont="1"/>
    <xf numFmtId="0" fontId="68" fillId="0" borderId="27" xfId="29" applyFont="1" applyBorder="1" applyAlignment="1">
      <alignment horizontal="center"/>
    </xf>
    <xf numFmtId="0" fontId="68" fillId="0" borderId="27" xfId="29" applyFont="1" applyBorder="1"/>
    <xf numFmtId="0" fontId="69" fillId="0" borderId="0" xfId="29" applyFont="1"/>
    <xf numFmtId="0" fontId="69" fillId="0" borderId="0" xfId="29" applyFont="1" applyAlignment="1">
      <alignment horizontal="center"/>
    </xf>
    <xf numFmtId="0" fontId="69" fillId="0" borderId="15" xfId="29" applyFont="1" applyBorder="1" applyAlignment="1">
      <alignment horizontal="center"/>
    </xf>
    <xf numFmtId="0" fontId="69" fillId="0" borderId="15" xfId="29" applyFont="1" applyBorder="1"/>
    <xf numFmtId="0" fontId="71" fillId="8" borderId="32" xfId="29" applyFont="1" applyFill="1" applyBorder="1" applyAlignment="1">
      <alignment horizontal="left"/>
    </xf>
    <xf numFmtId="0" fontId="71" fillId="8" borderId="34" xfId="29" applyFont="1" applyFill="1" applyBorder="1" applyAlignment="1">
      <alignment horizontal="left"/>
    </xf>
    <xf numFmtId="0" fontId="72" fillId="0" borderId="0" xfId="29" applyFont="1"/>
    <xf numFmtId="0" fontId="71" fillId="8" borderId="37" xfId="29" applyFont="1" applyFill="1" applyBorder="1" applyAlignment="1">
      <alignment horizontal="left"/>
    </xf>
    <xf numFmtId="170" fontId="0" fillId="0" borderId="0" xfId="1" applyNumberFormat="1" applyFont="1"/>
    <xf numFmtId="170" fontId="20" fillId="0" borderId="0" xfId="0" applyNumberFormat="1" applyFont="1"/>
    <xf numFmtId="185" fontId="20" fillId="0" borderId="0" xfId="0" applyNumberFormat="1" applyFont="1"/>
    <xf numFmtId="185" fontId="20" fillId="5" borderId="0" xfId="1" applyNumberFormat="1" applyFont="1" applyFill="1"/>
    <xf numFmtId="170" fontId="0" fillId="0" borderId="0" xfId="0" applyNumberFormat="1"/>
    <xf numFmtId="185" fontId="20" fillId="0" borderId="0" xfId="1" applyNumberFormat="1" applyFont="1"/>
    <xf numFmtId="170" fontId="20" fillId="0" borderId="3" xfId="1" applyNumberFormat="1" applyFont="1" applyBorder="1"/>
    <xf numFmtId="0" fontId="20" fillId="9" borderId="0" xfId="0" applyFont="1" applyFill="1"/>
    <xf numFmtId="2" fontId="20" fillId="9" borderId="0" xfId="0" applyNumberFormat="1" applyFont="1" applyFill="1"/>
    <xf numFmtId="0" fontId="21" fillId="9" borderId="0" xfId="0" applyFont="1" applyFill="1"/>
    <xf numFmtId="10" fontId="20" fillId="9" borderId="0" xfId="0" applyNumberFormat="1" applyFont="1" applyFill="1"/>
    <xf numFmtId="0" fontId="21" fillId="9" borderId="19" xfId="0" applyFont="1" applyFill="1" applyBorder="1"/>
    <xf numFmtId="0" fontId="21" fillId="9" borderId="19" xfId="0" applyFont="1" applyFill="1" applyBorder="1" applyAlignment="1">
      <alignment horizontal="right"/>
    </xf>
    <xf numFmtId="186" fontId="20" fillId="9" borderId="0" xfId="0" applyNumberFormat="1" applyFont="1" applyFill="1" applyAlignment="1">
      <alignment horizontal="right"/>
    </xf>
    <xf numFmtId="43" fontId="20" fillId="9" borderId="0" xfId="0" applyNumberFormat="1" applyFont="1" applyFill="1"/>
    <xf numFmtId="186" fontId="20" fillId="9" borderId="0" xfId="0" applyNumberFormat="1" applyFont="1" applyFill="1"/>
    <xf numFmtId="0" fontId="20" fillId="9" borderId="0" xfId="0" quotePrefix="1" applyFont="1" applyFill="1"/>
    <xf numFmtId="10" fontId="20" fillId="9" borderId="12" xfId="1" applyNumberFormat="1" applyFont="1" applyFill="1" applyBorder="1" applyAlignment="1">
      <alignment horizontal="right"/>
    </xf>
    <xf numFmtId="186" fontId="21" fillId="9" borderId="0" xfId="0" applyNumberFormat="1" applyFont="1" applyFill="1" applyAlignment="1">
      <alignment horizontal="right"/>
    </xf>
    <xf numFmtId="0" fontId="75" fillId="9" borderId="0" xfId="0" applyFont="1" applyFill="1"/>
    <xf numFmtId="0" fontId="20" fillId="9" borderId="0" xfId="0" applyFont="1" applyFill="1" applyAlignment="1">
      <alignment horizontal="left"/>
    </xf>
    <xf numFmtId="43" fontId="20" fillId="9" borderId="2" xfId="0" applyNumberFormat="1" applyFont="1" applyFill="1" applyBorder="1"/>
    <xf numFmtId="0" fontId="20" fillId="0" borderId="41" xfId="0" applyFont="1" applyBorder="1"/>
    <xf numFmtId="0" fontId="21" fillId="0" borderId="41" xfId="0" applyFont="1" applyBorder="1"/>
    <xf numFmtId="0" fontId="21" fillId="0" borderId="42" xfId="0" applyFont="1" applyBorder="1"/>
    <xf numFmtId="0" fontId="20" fillId="0" borderId="42" xfId="0" applyFont="1" applyBorder="1"/>
    <xf numFmtId="0" fontId="20" fillId="0" borderId="43" xfId="0" applyFont="1" applyBorder="1"/>
    <xf numFmtId="0" fontId="0" fillId="0" borderId="42" xfId="0" applyBorder="1"/>
    <xf numFmtId="0" fontId="20" fillId="0" borderId="30" xfId="0" applyFont="1" applyBorder="1"/>
    <xf numFmtId="0" fontId="21" fillId="0" borderId="45" xfId="0" applyFont="1" applyBorder="1"/>
    <xf numFmtId="0" fontId="20" fillId="0" borderId="40" xfId="0" applyFont="1" applyBorder="1"/>
    <xf numFmtId="0" fontId="20" fillId="0" borderId="38" xfId="0" applyFont="1" applyBorder="1"/>
    <xf numFmtId="0" fontId="19" fillId="5" borderId="47" xfId="0" applyFont="1" applyFill="1" applyBorder="1"/>
    <xf numFmtId="0" fontId="19" fillId="5" borderId="48" xfId="0" applyFont="1" applyFill="1" applyBorder="1"/>
    <xf numFmtId="0" fontId="20" fillId="0" borderId="49" xfId="0" applyFont="1" applyBorder="1"/>
    <xf numFmtId="0" fontId="21" fillId="0" borderId="49" xfId="0" applyFont="1" applyBorder="1"/>
    <xf numFmtId="0" fontId="20" fillId="0" borderId="45" xfId="0" applyFont="1" applyBorder="1"/>
    <xf numFmtId="0" fontId="20" fillId="0" borderId="39" xfId="0" applyFont="1" applyBorder="1"/>
    <xf numFmtId="0" fontId="21" fillId="0" borderId="30" xfId="0" applyFont="1" applyBorder="1"/>
    <xf numFmtId="0" fontId="21" fillId="0" borderId="43" xfId="0" applyFont="1" applyBorder="1"/>
    <xf numFmtId="0" fontId="20" fillId="0" borderId="50" xfId="0" applyFont="1" applyBorder="1"/>
    <xf numFmtId="0" fontId="20" fillId="0" borderId="44" xfId="0" applyFont="1" applyBorder="1"/>
    <xf numFmtId="0" fontId="47" fillId="0" borderId="38" xfId="20" applyFont="1" applyBorder="1"/>
    <xf numFmtId="0" fontId="16" fillId="0" borderId="38" xfId="20" applyBorder="1" applyAlignment="1">
      <alignment wrapText="1"/>
    </xf>
    <xf numFmtId="0" fontId="0" fillId="0" borderId="38" xfId="0" applyBorder="1"/>
    <xf numFmtId="0" fontId="26" fillId="0" borderId="38" xfId="0" applyFont="1" applyBorder="1" applyAlignment="1">
      <alignment horizontal="left"/>
    </xf>
    <xf numFmtId="0" fontId="20" fillId="0" borderId="49" xfId="0" applyFont="1" applyBorder="1" applyAlignment="1">
      <alignment horizontal="center"/>
    </xf>
    <xf numFmtId="0" fontId="20" fillId="0" borderId="43" xfId="0" applyFont="1" applyBorder="1" applyAlignment="1">
      <alignment vertical="center"/>
    </xf>
    <xf numFmtId="0" fontId="20" fillId="0" borderId="45" xfId="0" applyFont="1" applyBorder="1" applyAlignment="1">
      <alignment vertical="center"/>
    </xf>
    <xf numFmtId="0" fontId="20" fillId="0" borderId="45" xfId="0" applyFont="1" applyBorder="1" applyAlignment="1">
      <alignment wrapText="1"/>
    </xf>
    <xf numFmtId="0" fontId="20" fillId="0" borderId="40" xfId="0" applyFont="1" applyBorder="1" applyAlignment="1">
      <alignment vertical="center"/>
    </xf>
    <xf numFmtId="0" fontId="20" fillId="0" borderId="39" xfId="0" applyFont="1" applyBorder="1" applyAlignment="1">
      <alignment vertical="center"/>
    </xf>
    <xf numFmtId="0" fontId="20" fillId="0" borderId="39" xfId="0" applyFont="1" applyBorder="1" applyAlignment="1">
      <alignment wrapText="1"/>
    </xf>
    <xf numFmtId="0" fontId="20" fillId="0" borderId="42" xfId="0" applyFont="1" applyBorder="1" applyAlignment="1">
      <alignment horizontal="center"/>
    </xf>
    <xf numFmtId="0" fontId="20" fillId="0" borderId="43" xfId="0" applyFont="1" applyBorder="1" applyAlignment="1">
      <alignment horizontal="center"/>
    </xf>
    <xf numFmtId="0" fontId="26" fillId="0" borderId="46" xfId="0" applyFont="1" applyBorder="1" applyAlignment="1">
      <alignment horizontal="left" wrapText="1"/>
    </xf>
    <xf numFmtId="0" fontId="20" fillId="0" borderId="46" xfId="0" applyFont="1" applyBorder="1"/>
    <xf numFmtId="0" fontId="20" fillId="0" borderId="45" xfId="0" applyFont="1" applyBorder="1" applyAlignment="1">
      <alignment horizontal="center"/>
    </xf>
    <xf numFmtId="0" fontId="27" fillId="0" borderId="0" xfId="0" applyFont="1" applyAlignment="1">
      <alignment horizontal="center"/>
    </xf>
    <xf numFmtId="2" fontId="27" fillId="0" borderId="0" xfId="0" applyNumberFormat="1" applyFont="1" applyAlignment="1">
      <alignment horizontal="center"/>
    </xf>
    <xf numFmtId="0" fontId="77" fillId="0" borderId="0" xfId="26" applyFont="1"/>
    <xf numFmtId="182" fontId="20" fillId="0" borderId="0" xfId="0" applyNumberFormat="1" applyFont="1"/>
    <xf numFmtId="10" fontId="20" fillId="0" borderId="3" xfId="1" applyNumberFormat="1" applyFont="1" applyBorder="1"/>
    <xf numFmtId="0" fontId="26" fillId="0" borderId="20" xfId="0" applyFont="1" applyBorder="1" applyAlignment="1">
      <alignment horizontal="centerContinuous"/>
    </xf>
    <xf numFmtId="0" fontId="26" fillId="0" borderId="20" xfId="0" applyFont="1" applyBorder="1" applyAlignment="1">
      <alignment horizontal="center"/>
    </xf>
    <xf numFmtId="0" fontId="20" fillId="5" borderId="19" xfId="0" applyFont="1" applyFill="1" applyBorder="1"/>
    <xf numFmtId="15" fontId="20" fillId="0" borderId="0" xfId="0" applyNumberFormat="1" applyFont="1" applyAlignment="1">
      <alignment horizontal="left"/>
    </xf>
    <xf numFmtId="0" fontId="21" fillId="0" borderId="5" xfId="0" applyFont="1" applyBorder="1" applyAlignment="1">
      <alignment horizontal="right"/>
    </xf>
    <xf numFmtId="0" fontId="21" fillId="0" borderId="20" xfId="0" applyFont="1" applyBorder="1"/>
    <xf numFmtId="0" fontId="20" fillId="5" borderId="12" xfId="0" applyFont="1" applyFill="1" applyBorder="1"/>
    <xf numFmtId="10" fontId="20" fillId="0" borderId="12" xfId="1" applyNumberFormat="1" applyFont="1" applyBorder="1"/>
    <xf numFmtId="170" fontId="20" fillId="0" borderId="12" xfId="1" applyNumberFormat="1" applyFont="1" applyBorder="1"/>
    <xf numFmtId="0" fontId="21" fillId="0" borderId="21" xfId="0" applyFont="1" applyBorder="1"/>
    <xf numFmtId="10" fontId="21" fillId="0" borderId="3" xfId="1" applyNumberFormat="1" applyFont="1" applyBorder="1"/>
    <xf numFmtId="170" fontId="21" fillId="0" borderId="3" xfId="1" applyNumberFormat="1" applyFont="1" applyBorder="1"/>
    <xf numFmtId="171" fontId="21" fillId="0" borderId="3" xfId="1" applyNumberFormat="1" applyFont="1" applyBorder="1"/>
    <xf numFmtId="0" fontId="19" fillId="3" borderId="22" xfId="0" applyFont="1" applyFill="1" applyBorder="1" applyAlignment="1">
      <alignment horizontal="left" vertical="center"/>
    </xf>
    <xf numFmtId="0" fontId="19" fillId="3" borderId="23" xfId="0" applyFont="1" applyFill="1" applyBorder="1" applyAlignment="1">
      <alignment horizontal="left" vertical="center"/>
    </xf>
    <xf numFmtId="0" fontId="19" fillId="3" borderId="22" xfId="0" applyFont="1" applyFill="1" applyBorder="1" applyAlignment="1">
      <alignment horizontal="centerContinuous" vertical="center"/>
    </xf>
    <xf numFmtId="0" fontId="19" fillId="3" borderId="23" xfId="0" applyFont="1" applyFill="1" applyBorder="1" applyAlignment="1">
      <alignment horizontal="centerContinuous" vertical="center"/>
    </xf>
    <xf numFmtId="0" fontId="19" fillId="3" borderId="0" xfId="0" applyFont="1" applyFill="1" applyAlignment="1">
      <alignment horizontal="centerContinuous" vertical="center"/>
    </xf>
    <xf numFmtId="0" fontId="78" fillId="3" borderId="0" xfId="0" applyFont="1" applyFill="1" applyAlignment="1">
      <alignment horizontal="centerContinuous" vertical="center"/>
    </xf>
    <xf numFmtId="0" fontId="79" fillId="10" borderId="22" xfId="0" applyFont="1" applyFill="1" applyBorder="1" applyAlignment="1">
      <alignment horizontal="centerContinuous" vertical="center"/>
    </xf>
    <xf numFmtId="0" fontId="79" fillId="10" borderId="23" xfId="0" applyFont="1" applyFill="1" applyBorder="1" applyAlignment="1">
      <alignment horizontal="centerContinuous" vertical="center"/>
    </xf>
    <xf numFmtId="0" fontId="20" fillId="0" borderId="0" xfId="31" applyFont="1"/>
    <xf numFmtId="170" fontId="20" fillId="0" borderId="0" xfId="31" applyNumberFormat="1" applyFont="1"/>
    <xf numFmtId="0" fontId="34" fillId="0" borderId="24" xfId="0" applyFont="1" applyBorder="1" applyAlignment="1">
      <alignment horizontal="left"/>
    </xf>
    <xf numFmtId="0" fontId="34" fillId="0" borderId="24" xfId="0" applyFont="1" applyBorder="1"/>
    <xf numFmtId="0" fontId="34" fillId="0" borderId="24" xfId="0" applyFont="1" applyBorder="1" applyAlignment="1">
      <alignment horizontal="right"/>
    </xf>
    <xf numFmtId="0" fontId="21" fillId="0" borderId="25" xfId="0" applyFont="1" applyBorder="1" applyAlignment="1">
      <alignment horizontal="center"/>
    </xf>
    <xf numFmtId="171" fontId="21" fillId="0" borderId="0" xfId="0" applyNumberFormat="1" applyFont="1" applyAlignment="1">
      <alignment horizontal="right"/>
    </xf>
    <xf numFmtId="0" fontId="80" fillId="0" borderId="0" xfId="0" applyFont="1"/>
    <xf numFmtId="0" fontId="81" fillId="0" borderId="0" xfId="0" applyFont="1"/>
    <xf numFmtId="14" fontId="20" fillId="0" borderId="0" xfId="31" applyNumberFormat="1" applyFont="1"/>
    <xf numFmtId="4" fontId="20" fillId="0" borderId="0" xfId="31" applyNumberFormat="1" applyFont="1"/>
    <xf numFmtId="10" fontId="20" fillId="0" borderId="0" xfId="31" applyNumberFormat="1" applyFont="1"/>
    <xf numFmtId="0" fontId="33" fillId="0" borderId="0" xfId="0" applyFont="1" applyAlignment="1">
      <alignment horizontal="left" indent="1"/>
    </xf>
    <xf numFmtId="0" fontId="33" fillId="0" borderId="0" xfId="0" applyFont="1" applyAlignment="1">
      <alignment horizontal="right"/>
    </xf>
    <xf numFmtId="0" fontId="34" fillId="0" borderId="0" xfId="0" applyFont="1" applyAlignment="1">
      <alignment horizontal="left"/>
    </xf>
    <xf numFmtId="10" fontId="33" fillId="0" borderId="0" xfId="0" applyNumberFormat="1" applyFont="1" applyAlignment="1">
      <alignment horizontal="right"/>
    </xf>
    <xf numFmtId="0" fontId="34" fillId="0" borderId="0" xfId="0" applyFont="1"/>
    <xf numFmtId="171" fontId="33" fillId="0" borderId="0" xfId="0" applyNumberFormat="1" applyFont="1" applyAlignment="1">
      <alignment horizontal="right"/>
    </xf>
    <xf numFmtId="188" fontId="33" fillId="0" borderId="0" xfId="0" applyNumberFormat="1" applyFont="1" applyAlignment="1">
      <alignment horizontal="right"/>
    </xf>
    <xf numFmtId="10" fontId="33" fillId="0" borderId="0" xfId="1" applyNumberFormat="1" applyFont="1" applyFill="1" applyBorder="1" applyAlignment="1">
      <alignment horizontal="right"/>
    </xf>
    <xf numFmtId="4" fontId="33" fillId="0" borderId="0" xfId="0" applyNumberFormat="1" applyFont="1" applyAlignment="1">
      <alignment horizontal="right"/>
    </xf>
    <xf numFmtId="0" fontId="82" fillId="0" borderId="0" xfId="0" applyFont="1" applyAlignment="1">
      <alignment horizontal="left" indent="3"/>
    </xf>
    <xf numFmtId="10" fontId="81" fillId="0" borderId="0" xfId="0" applyNumberFormat="1" applyFont="1" applyAlignment="1">
      <alignment horizontal="right"/>
    </xf>
    <xf numFmtId="0" fontId="83" fillId="0" borderId="0" xfId="0" applyFont="1" applyAlignment="1">
      <alignment horizontal="left" indent="3"/>
    </xf>
    <xf numFmtId="9" fontId="33" fillId="0" borderId="0" xfId="1" applyFont="1" applyFill="1" applyBorder="1" applyAlignment="1">
      <alignment horizontal="right"/>
    </xf>
    <xf numFmtId="187" fontId="33" fillId="0" borderId="0" xfId="0" applyNumberFormat="1" applyFont="1" applyAlignment="1">
      <alignment horizontal="right"/>
    </xf>
    <xf numFmtId="0" fontId="34" fillId="0" borderId="4" xfId="0" applyFont="1" applyBorder="1"/>
    <xf numFmtId="171" fontId="34" fillId="0" borderId="4" xfId="0" applyNumberFormat="1" applyFont="1" applyBorder="1" applyAlignment="1">
      <alignment horizontal="right"/>
    </xf>
    <xf numFmtId="0" fontId="80" fillId="0" borderId="5" xfId="0" applyFont="1" applyBorder="1"/>
    <xf numFmtId="0" fontId="80" fillId="0" borderId="5" xfId="0" applyFont="1" applyBorder="1" applyAlignment="1">
      <alignment horizontal="right"/>
    </xf>
    <xf numFmtId="170" fontId="81" fillId="0" borderId="0" xfId="0" applyNumberFormat="1" applyFont="1" applyAlignment="1">
      <alignment horizontal="right"/>
    </xf>
    <xf numFmtId="9" fontId="81" fillId="0" borderId="0" xfId="0" applyNumberFormat="1" applyFont="1" applyAlignment="1">
      <alignment horizontal="right"/>
    </xf>
    <xf numFmtId="0" fontId="81" fillId="0" borderId="12" xfId="0" applyFont="1" applyBorder="1"/>
    <xf numFmtId="170" fontId="81" fillId="0" borderId="12" xfId="0" applyNumberFormat="1" applyFont="1" applyBorder="1" applyAlignment="1">
      <alignment horizontal="right"/>
    </xf>
    <xf numFmtId="9" fontId="81" fillId="0" borderId="12" xfId="0" applyNumberFormat="1" applyFont="1" applyBorder="1" applyAlignment="1">
      <alignment horizontal="right"/>
    </xf>
    <xf numFmtId="0" fontId="80" fillId="0" borderId="21" xfId="0" applyFont="1" applyBorder="1"/>
    <xf numFmtId="0" fontId="80" fillId="0" borderId="21" xfId="0" applyFont="1" applyBorder="1" applyAlignment="1">
      <alignment horizontal="right"/>
    </xf>
    <xf numFmtId="170" fontId="80" fillId="0" borderId="21" xfId="0" applyNumberFormat="1" applyFont="1" applyBorder="1" applyAlignment="1">
      <alignment horizontal="right"/>
    </xf>
    <xf numFmtId="0" fontId="20" fillId="3" borderId="0" xfId="0" applyFont="1" applyFill="1" applyAlignment="1">
      <alignment horizontal="centerContinuous"/>
    </xf>
    <xf numFmtId="0" fontId="21" fillId="0" borderId="19" xfId="31" applyFont="1" applyBorder="1"/>
    <xf numFmtId="189" fontId="20" fillId="5" borderId="0" xfId="0" applyNumberFormat="1" applyFont="1" applyFill="1"/>
    <xf numFmtId="170" fontId="21" fillId="0" borderId="19" xfId="31" applyNumberFormat="1" applyFont="1" applyBorder="1"/>
    <xf numFmtId="10" fontId="21" fillId="0" borderId="0" xfId="32" applyNumberFormat="1" applyFont="1"/>
    <xf numFmtId="0" fontId="3" fillId="0" borderId="0" xfId="0" applyFont="1" applyAlignment="1">
      <alignment horizontal="center"/>
    </xf>
    <xf numFmtId="9" fontId="84" fillId="9" borderId="0" xfId="0" applyNumberFormat="1" applyFont="1" applyFill="1"/>
    <xf numFmtId="0" fontId="21" fillId="9" borderId="1" xfId="0" applyFont="1" applyFill="1" applyBorder="1"/>
    <xf numFmtId="43" fontId="21" fillId="9" borderId="1" xfId="0" applyNumberFormat="1" applyFont="1" applyFill="1" applyBorder="1"/>
    <xf numFmtId="0" fontId="20" fillId="9" borderId="5" xfId="0" applyFont="1" applyFill="1" applyBorder="1"/>
    <xf numFmtId="0" fontId="21" fillId="9" borderId="5" xfId="0" applyFont="1" applyFill="1" applyBorder="1"/>
    <xf numFmtId="43" fontId="21" fillId="9" borderId="5" xfId="0" applyNumberFormat="1" applyFont="1" applyFill="1" applyBorder="1"/>
    <xf numFmtId="0" fontId="20" fillId="9" borderId="1" xfId="0" applyFont="1" applyFill="1" applyBorder="1"/>
    <xf numFmtId="189" fontId="20" fillId="9" borderId="0" xfId="0" applyNumberFormat="1" applyFont="1" applyFill="1"/>
    <xf numFmtId="190" fontId="20" fillId="9" borderId="0" xfId="0" applyNumberFormat="1" applyFont="1" applyFill="1"/>
    <xf numFmtId="10" fontId="22" fillId="9" borderId="0" xfId="0" applyNumberFormat="1" applyFont="1" applyFill="1"/>
    <xf numFmtId="0" fontId="22" fillId="9" borderId="0" xfId="0" applyFont="1" applyFill="1"/>
    <xf numFmtId="43" fontId="22" fillId="9" borderId="0" xfId="0" applyNumberFormat="1" applyFont="1" applyFill="1"/>
    <xf numFmtId="10" fontId="20" fillId="0" borderId="2" xfId="1" applyNumberFormat="1" applyFont="1" applyBorder="1" applyAlignment="1">
      <alignment horizontal="center"/>
    </xf>
    <xf numFmtId="10" fontId="20" fillId="0" borderId="2" xfId="0" applyNumberFormat="1" applyFont="1" applyBorder="1" applyAlignment="1">
      <alignment horizontal="center"/>
    </xf>
    <xf numFmtId="0" fontId="19" fillId="5" borderId="19" xfId="0" applyFont="1" applyFill="1" applyBorder="1"/>
    <xf numFmtId="0" fontId="19" fillId="5" borderId="0" xfId="0" applyFont="1" applyFill="1"/>
    <xf numFmtId="2" fontId="20" fillId="0" borderId="5" xfId="0" applyNumberFormat="1" applyFont="1" applyBorder="1"/>
    <xf numFmtId="0" fontId="35" fillId="5" borderId="0" xfId="0" applyFont="1" applyFill="1"/>
    <xf numFmtId="0" fontId="19" fillId="5" borderId="0" xfId="0" applyFont="1" applyFill="1" applyAlignment="1">
      <alignment horizontal="center" wrapText="1"/>
    </xf>
    <xf numFmtId="0" fontId="85" fillId="5" borderId="0" xfId="0" applyFont="1" applyFill="1"/>
    <xf numFmtId="0" fontId="19" fillId="5" borderId="0" xfId="0" applyFont="1" applyFill="1" applyAlignment="1">
      <alignment horizontal="center"/>
    </xf>
    <xf numFmtId="2" fontId="19" fillId="0" borderId="5" xfId="0" applyNumberFormat="1" applyFont="1" applyBorder="1"/>
    <xf numFmtId="15" fontId="86" fillId="0" borderId="19" xfId="0" applyNumberFormat="1" applyFont="1" applyBorder="1" applyAlignment="1">
      <alignment horizontal="center"/>
    </xf>
    <xf numFmtId="0" fontId="86" fillId="0" borderId="19" xfId="0" applyFont="1" applyBorder="1"/>
    <xf numFmtId="172" fontId="20" fillId="0" borderId="0" xfId="0" applyNumberFormat="1" applyFont="1"/>
    <xf numFmtId="0" fontId="21" fillId="9" borderId="19" xfId="0" applyFont="1" applyFill="1" applyBorder="1" applyAlignment="1">
      <alignment horizontal="center"/>
    </xf>
    <xf numFmtId="0" fontId="20" fillId="9" borderId="0" xfId="0" applyFont="1" applyFill="1" applyAlignment="1">
      <alignment horizontal="center"/>
    </xf>
    <xf numFmtId="0" fontId="20" fillId="9" borderId="0" xfId="0" applyFont="1" applyFill="1" applyAlignment="1">
      <alignment horizontal="right"/>
    </xf>
    <xf numFmtId="0" fontId="21" fillId="9" borderId="0" xfId="0" applyFont="1" applyFill="1" applyAlignment="1">
      <alignment horizontal="right"/>
    </xf>
    <xf numFmtId="0" fontId="19" fillId="5" borderId="19" xfId="0" applyFont="1" applyFill="1" applyBorder="1" applyAlignment="1">
      <alignment horizontal="center"/>
    </xf>
    <xf numFmtId="0" fontId="16" fillId="0" borderId="44" xfId="20" applyBorder="1"/>
    <xf numFmtId="0" fontId="87" fillId="0" borderId="0" xfId="0" applyFont="1"/>
    <xf numFmtId="0" fontId="88" fillId="0" borderId="0" xfId="0" applyFont="1"/>
    <xf numFmtId="0" fontId="89" fillId="0" borderId="0" xfId="0" applyFont="1" applyAlignment="1">
      <alignment horizontal="left"/>
    </xf>
    <xf numFmtId="0" fontId="89" fillId="0" borderId="0" xfId="0" applyFont="1" applyAlignment="1">
      <alignment horizontal="centerContinuous"/>
    </xf>
    <xf numFmtId="0" fontId="89" fillId="0" borderId="0" xfId="0" applyFont="1"/>
    <xf numFmtId="0" fontId="87" fillId="0" borderId="0" xfId="0" applyFont="1" applyAlignment="1">
      <alignment horizontal="left"/>
    </xf>
    <xf numFmtId="0" fontId="86" fillId="0" borderId="0" xfId="0" applyFont="1" applyAlignment="1">
      <alignment horizontal="left"/>
    </xf>
    <xf numFmtId="0" fontId="21" fillId="9" borderId="0" xfId="0" applyFont="1" applyFill="1" applyAlignment="1">
      <alignment horizontal="center"/>
    </xf>
    <xf numFmtId="9" fontId="21" fillId="9" borderId="0" xfId="0" applyNumberFormat="1" applyFont="1" applyFill="1" applyAlignment="1">
      <alignment horizontal="right"/>
    </xf>
    <xf numFmtId="9" fontId="20" fillId="9" borderId="0" xfId="1" applyFont="1" applyFill="1"/>
    <xf numFmtId="164" fontId="20" fillId="9" borderId="0" xfId="19" applyFont="1" applyFill="1"/>
    <xf numFmtId="191" fontId="20" fillId="9" borderId="0" xfId="19" applyNumberFormat="1" applyFont="1" applyFill="1"/>
    <xf numFmtId="0" fontId="86" fillId="5" borderId="0" xfId="0" applyFont="1" applyFill="1"/>
    <xf numFmtId="191" fontId="20" fillId="9" borderId="5" xfId="19" applyNumberFormat="1" applyFont="1" applyFill="1" applyBorder="1"/>
    <xf numFmtId="0" fontId="86" fillId="5" borderId="0" xfId="0" applyFont="1" applyFill="1" applyAlignment="1">
      <alignment horizontal="right"/>
    </xf>
    <xf numFmtId="0" fontId="21" fillId="5" borderId="0" xfId="0" applyFont="1" applyFill="1" applyAlignment="1">
      <alignment horizontal="right"/>
    </xf>
    <xf numFmtId="37" fontId="95" fillId="0" borderId="0" xfId="0" applyNumberFormat="1" applyFont="1" applyAlignment="1">
      <alignment vertical="center"/>
    </xf>
    <xf numFmtId="37" fontId="92" fillId="0" borderId="0" xfId="0" applyNumberFormat="1" applyFont="1" applyAlignment="1">
      <alignment vertical="center"/>
    </xf>
    <xf numFmtId="37" fontId="30" fillId="0" borderId="0" xfId="0" applyNumberFormat="1" applyFont="1" applyAlignment="1">
      <alignment horizontal="center" vertical="center"/>
    </xf>
    <xf numFmtId="37" fontId="30" fillId="0" borderId="0" xfId="0" applyNumberFormat="1" applyFont="1" applyAlignment="1">
      <alignment vertical="center"/>
    </xf>
    <xf numFmtId="193" fontId="92" fillId="0" borderId="0" xfId="0" applyNumberFormat="1" applyFont="1" applyAlignment="1">
      <alignment horizontal="right"/>
    </xf>
    <xf numFmtId="192" fontId="96" fillId="0" borderId="0" xfId="0" applyNumberFormat="1" applyFont="1" applyAlignment="1">
      <alignment vertical="center"/>
    </xf>
    <xf numFmtId="37" fontId="89" fillId="0" borderId="0" xfId="0" applyNumberFormat="1" applyFont="1" applyAlignment="1">
      <alignment vertical="center"/>
    </xf>
    <xf numFmtId="196" fontId="97" fillId="0" borderId="0" xfId="0" applyNumberFormat="1" applyFont="1" applyAlignment="1">
      <alignment horizontal="center"/>
    </xf>
    <xf numFmtId="37" fontId="89" fillId="0" borderId="0" xfId="0" applyNumberFormat="1" applyFont="1" applyAlignment="1">
      <alignment horizontal="center" vertical="center"/>
    </xf>
    <xf numFmtId="193" fontId="39" fillId="0" borderId="0" xfId="0" applyNumberFormat="1" applyFont="1" applyAlignment="1">
      <alignment horizontal="right"/>
    </xf>
    <xf numFmtId="0" fontId="98" fillId="0" borderId="0" xfId="0" applyFont="1" applyAlignment="1">
      <alignment horizontal="center"/>
    </xf>
    <xf numFmtId="200" fontId="99" fillId="0" borderId="0" xfId="0" applyNumberFormat="1" applyFont="1" applyAlignment="1">
      <alignment horizontal="center"/>
    </xf>
    <xf numFmtId="198" fontId="101" fillId="0" borderId="0" xfId="0" applyNumberFormat="1" applyFont="1"/>
    <xf numFmtId="0" fontId="39" fillId="0" borderId="0" xfId="0" applyFont="1" applyAlignment="1">
      <alignment horizontal="left"/>
    </xf>
    <xf numFmtId="196" fontId="100" fillId="11" borderId="52" xfId="0" applyNumberFormat="1" applyFont="1" applyFill="1" applyBorder="1"/>
    <xf numFmtId="196" fontId="100" fillId="11" borderId="53" xfId="0" applyNumberFormat="1" applyFont="1" applyFill="1" applyBorder="1"/>
    <xf numFmtId="194" fontId="39" fillId="0" borderId="0" xfId="0" applyNumberFormat="1" applyFont="1" applyAlignment="1">
      <alignment horizontal="right"/>
    </xf>
    <xf numFmtId="0" fontId="40" fillId="0" borderId="54" xfId="0" applyFont="1" applyBorder="1" applyAlignment="1">
      <alignment horizontal="left" indent="1"/>
    </xf>
    <xf numFmtId="37" fontId="89" fillId="0" borderId="55" xfId="0" applyNumberFormat="1" applyFont="1" applyBorder="1" applyAlignment="1">
      <alignment vertical="center"/>
    </xf>
    <xf numFmtId="201" fontId="99" fillId="0" borderId="56" xfId="1" applyNumberFormat="1" applyFont="1" applyFill="1" applyBorder="1" applyAlignment="1">
      <alignment horizontal="centerContinuous"/>
    </xf>
    <xf numFmtId="0" fontId="40" fillId="0" borderId="0" xfId="0" applyFont="1" applyAlignment="1">
      <alignment horizontal="left" indent="1"/>
    </xf>
    <xf numFmtId="0" fontId="40" fillId="0" borderId="57" xfId="0" applyFont="1" applyBorder="1" applyAlignment="1">
      <alignment horizontal="left" indent="1"/>
    </xf>
    <xf numFmtId="195" fontId="99" fillId="0" borderId="58" xfId="1" applyNumberFormat="1" applyFont="1" applyFill="1" applyBorder="1" applyAlignment="1">
      <alignment horizontal="center"/>
    </xf>
    <xf numFmtId="0" fontId="40" fillId="0" borderId="59" xfId="0" applyFont="1" applyBorder="1" applyAlignment="1">
      <alignment horizontal="left" indent="1"/>
    </xf>
    <xf numFmtId="37" fontId="89" fillId="0" borderId="51" xfId="0" applyNumberFormat="1" applyFont="1" applyBorder="1" applyAlignment="1">
      <alignment vertical="center"/>
    </xf>
    <xf numFmtId="195" fontId="99" fillId="0" borderId="60" xfId="1" applyNumberFormat="1" applyFont="1" applyFill="1" applyBorder="1" applyAlignment="1">
      <alignment horizontal="center"/>
    </xf>
    <xf numFmtId="198" fontId="100" fillId="0" borderId="0" xfId="0" applyNumberFormat="1" applyFont="1"/>
    <xf numFmtId="0" fontId="20" fillId="0" borderId="55" xfId="0" applyFont="1" applyBorder="1"/>
    <xf numFmtId="196" fontId="100" fillId="11" borderId="56" xfId="0" applyNumberFormat="1" applyFont="1" applyFill="1" applyBorder="1"/>
    <xf numFmtId="0" fontId="104" fillId="0" borderId="0" xfId="0" quotePrefix="1" applyFont="1" applyAlignment="1">
      <alignment horizontal="center"/>
    </xf>
    <xf numFmtId="196" fontId="99" fillId="0" borderId="60" xfId="0" applyNumberFormat="1" applyFont="1" applyBorder="1"/>
    <xf numFmtId="0" fontId="20" fillId="0" borderId="51" xfId="0" applyFont="1" applyBorder="1"/>
    <xf numFmtId="0" fontId="104" fillId="0" borderId="51" xfId="0" quotePrefix="1" applyFont="1" applyBorder="1" applyAlignment="1">
      <alignment horizontal="center"/>
    </xf>
    <xf numFmtId="202" fontId="100" fillId="11" borderId="60" xfId="0" applyNumberFormat="1" applyFont="1" applyFill="1" applyBorder="1"/>
    <xf numFmtId="202" fontId="99" fillId="0" borderId="60" xfId="0" applyNumberFormat="1" applyFont="1" applyBorder="1"/>
    <xf numFmtId="196" fontId="100" fillId="11" borderId="60" xfId="0" applyNumberFormat="1" applyFont="1" applyFill="1" applyBorder="1"/>
    <xf numFmtId="195" fontId="100" fillId="11" borderId="60" xfId="0" applyNumberFormat="1" applyFont="1" applyFill="1" applyBorder="1" applyAlignment="1">
      <alignment horizontal="right"/>
    </xf>
    <xf numFmtId="0" fontId="101" fillId="0" borderId="51" xfId="0" applyFont="1" applyBorder="1" applyAlignment="1">
      <alignment horizontal="left"/>
    </xf>
    <xf numFmtId="0" fontId="39" fillId="0" borderId="51" xfId="0" applyFont="1" applyBorder="1"/>
    <xf numFmtId="0" fontId="40" fillId="0" borderId="51" xfId="0" applyFont="1" applyBorder="1" applyAlignment="1">
      <alignment horizontal="center"/>
    </xf>
    <xf numFmtId="0" fontId="40" fillId="0" borderId="51" xfId="0" applyFont="1" applyBorder="1"/>
    <xf numFmtId="171" fontId="40" fillId="0" borderId="51" xfId="1" applyNumberFormat="1" applyFont="1" applyFill="1" applyBorder="1"/>
    <xf numFmtId="0" fontId="100" fillId="0" borderId="54" xfId="0" applyFont="1" applyBorder="1" applyAlignment="1">
      <alignment horizontal="left"/>
    </xf>
    <xf numFmtId="0" fontId="40" fillId="0" borderId="54" xfId="0" applyFont="1" applyBorder="1" applyAlignment="1">
      <alignment horizontal="left"/>
    </xf>
    <xf numFmtId="0" fontId="100" fillId="0" borderId="57" xfId="0" applyFont="1" applyBorder="1" applyAlignment="1">
      <alignment horizontal="left"/>
    </xf>
    <xf numFmtId="195" fontId="100" fillId="11" borderId="58" xfId="1" applyNumberFormat="1" applyFont="1" applyFill="1" applyBorder="1" applyAlignment="1">
      <alignment horizontal="right"/>
    </xf>
    <xf numFmtId="0" fontId="40" fillId="0" borderId="59" xfId="0" applyFont="1" applyBorder="1" applyAlignment="1">
      <alignment horizontal="left"/>
    </xf>
    <xf numFmtId="0" fontId="40" fillId="0" borderId="57" xfId="0" applyFont="1" applyBorder="1" applyAlignment="1">
      <alignment horizontal="left"/>
    </xf>
    <xf numFmtId="196" fontId="100" fillId="11" borderId="58" xfId="0" applyNumberFormat="1" applyFont="1" applyFill="1" applyBorder="1"/>
    <xf numFmtId="196" fontId="100" fillId="0" borderId="0" xfId="0" applyNumberFormat="1" applyFont="1"/>
    <xf numFmtId="196" fontId="99" fillId="0" borderId="0" xfId="0" applyNumberFormat="1" applyFont="1"/>
    <xf numFmtId="0" fontId="20" fillId="0" borderId="0" xfId="0" applyFont="1" applyAlignment="1">
      <alignment horizontal="centerContinuous"/>
    </xf>
    <xf numFmtId="0" fontId="81" fillId="0" borderId="0" xfId="0" applyFont="1" applyAlignment="1">
      <alignment horizontal="centerContinuous"/>
    </xf>
    <xf numFmtId="0" fontId="22" fillId="0" borderId="0" xfId="0" applyFont="1" applyAlignment="1">
      <alignment horizontal="left"/>
    </xf>
    <xf numFmtId="0" fontId="32" fillId="0" borderId="0" xfId="0" applyFont="1" applyAlignment="1">
      <alignment horizontal="centerContinuous" vertical="center"/>
    </xf>
    <xf numFmtId="0" fontId="81" fillId="0" borderId="0" xfId="0" applyFont="1" applyAlignment="1">
      <alignment horizontal="left"/>
    </xf>
    <xf numFmtId="0" fontId="100" fillId="0" borderId="0" xfId="0" applyFont="1" applyAlignment="1">
      <alignment horizontal="centerContinuous" vertical="center"/>
    </xf>
    <xf numFmtId="195" fontId="103" fillId="0" borderId="0" xfId="1" applyNumberFormat="1" applyFont="1" applyFill="1" applyBorder="1" applyAlignment="1">
      <alignment horizontal="right" vertical="center"/>
    </xf>
    <xf numFmtId="195" fontId="107" fillId="0" borderId="0" xfId="1" applyNumberFormat="1" applyFont="1" applyFill="1" applyBorder="1" applyAlignment="1">
      <alignment horizontal="right" vertical="center"/>
    </xf>
    <xf numFmtId="203" fontId="100" fillId="0" borderId="0" xfId="0" applyNumberFormat="1" applyFont="1" applyAlignment="1">
      <alignment horizontal="right"/>
    </xf>
    <xf numFmtId="196" fontId="100" fillId="11" borderId="54" xfId="19" applyNumberFormat="1" applyFont="1" applyFill="1" applyBorder="1" applyAlignment="1">
      <alignment vertical="center"/>
    </xf>
    <xf numFmtId="196" fontId="100" fillId="11" borderId="55" xfId="19" applyNumberFormat="1" applyFont="1" applyFill="1" applyBorder="1" applyAlignment="1">
      <alignment vertical="center"/>
    </xf>
    <xf numFmtId="196" fontId="100" fillId="11" borderId="56" xfId="19" applyNumberFormat="1" applyFont="1" applyFill="1" applyBorder="1" applyAlignment="1">
      <alignment vertical="center"/>
    </xf>
    <xf numFmtId="202" fontId="100" fillId="11" borderId="54" xfId="19" applyNumberFormat="1" applyFont="1" applyFill="1" applyBorder="1" applyAlignment="1">
      <alignment vertical="center"/>
    </xf>
    <xf numFmtId="202" fontId="100" fillId="11" borderId="55" xfId="19" applyNumberFormat="1" applyFont="1" applyFill="1" applyBorder="1" applyAlignment="1">
      <alignment vertical="center"/>
    </xf>
    <xf numFmtId="202" fontId="100" fillId="11" borderId="56" xfId="19" applyNumberFormat="1" applyFont="1" applyFill="1" applyBorder="1" applyAlignment="1">
      <alignment vertical="center"/>
    </xf>
    <xf numFmtId="196" fontId="100" fillId="11" borderId="57" xfId="19" applyNumberFormat="1" applyFont="1" applyFill="1" applyBorder="1" applyAlignment="1">
      <alignment vertical="center"/>
    </xf>
    <xf numFmtId="196" fontId="100" fillId="11" borderId="0" xfId="19" applyNumberFormat="1" applyFont="1" applyFill="1" applyAlignment="1">
      <alignment vertical="center"/>
    </xf>
    <xf numFmtId="196" fontId="100" fillId="11" borderId="58" xfId="19" applyNumberFormat="1" applyFont="1" applyFill="1" applyBorder="1" applyAlignment="1">
      <alignment vertical="center"/>
    </xf>
    <xf numFmtId="202" fontId="100" fillId="11" borderId="57" xfId="19" applyNumberFormat="1" applyFont="1" applyFill="1" applyBorder="1" applyAlignment="1">
      <alignment vertical="center"/>
    </xf>
    <xf numFmtId="202" fontId="100" fillId="11" borderId="0" xfId="19" applyNumberFormat="1" applyFont="1" applyFill="1" applyAlignment="1">
      <alignment vertical="center"/>
    </xf>
    <xf numFmtId="202" fontId="100" fillId="11" borderId="58" xfId="19" applyNumberFormat="1" applyFont="1" applyFill="1" applyBorder="1" applyAlignment="1">
      <alignment vertical="center"/>
    </xf>
    <xf numFmtId="196" fontId="101" fillId="11" borderId="61" xfId="19" applyNumberFormat="1" applyFont="1" applyFill="1" applyBorder="1" applyAlignment="1">
      <alignment vertical="center"/>
    </xf>
    <xf numFmtId="202" fontId="101" fillId="11" borderId="61" xfId="19" applyNumberFormat="1" applyFont="1" applyFill="1" applyBorder="1" applyAlignment="1">
      <alignment vertical="center"/>
    </xf>
    <xf numFmtId="196" fontId="100" fillId="11" borderId="59" xfId="19" applyNumberFormat="1" applyFont="1" applyFill="1" applyBorder="1" applyAlignment="1">
      <alignment vertical="center"/>
    </xf>
    <xf numFmtId="196" fontId="100" fillId="11" borderId="51" xfId="19" applyNumberFormat="1" applyFont="1" applyFill="1" applyBorder="1" applyAlignment="1">
      <alignment vertical="center"/>
    </xf>
    <xf numFmtId="196" fontId="100" fillId="11" borderId="60" xfId="19" applyNumberFormat="1" applyFont="1" applyFill="1" applyBorder="1" applyAlignment="1">
      <alignment vertical="center"/>
    </xf>
    <xf numFmtId="202" fontId="100" fillId="11" borderId="59" xfId="19" applyNumberFormat="1" applyFont="1" applyFill="1" applyBorder="1" applyAlignment="1">
      <alignment vertical="center"/>
    </xf>
    <xf numFmtId="202" fontId="100" fillId="11" borderId="51" xfId="19" applyNumberFormat="1" applyFont="1" applyFill="1" applyBorder="1" applyAlignment="1">
      <alignment vertical="center"/>
    </xf>
    <xf numFmtId="202" fontId="100" fillId="11" borderId="60" xfId="19" applyNumberFormat="1" applyFont="1" applyFill="1" applyBorder="1" applyAlignment="1">
      <alignment vertical="center"/>
    </xf>
    <xf numFmtId="198" fontId="108" fillId="0" borderId="0" xfId="0" applyNumberFormat="1" applyFont="1" applyAlignment="1">
      <alignment horizontal="right"/>
    </xf>
    <xf numFmtId="198" fontId="100" fillId="0" borderId="0" xfId="0" applyNumberFormat="1" applyFont="1" applyAlignment="1">
      <alignment horizontal="right"/>
    </xf>
    <xf numFmtId="196" fontId="100" fillId="11" borderId="0" xfId="19" applyNumberFormat="1" applyFont="1" applyFill="1" applyBorder="1" applyAlignment="1">
      <alignment vertical="center"/>
    </xf>
    <xf numFmtId="195" fontId="100" fillId="11" borderId="54" xfId="19" applyNumberFormat="1" applyFont="1" applyFill="1" applyBorder="1" applyAlignment="1">
      <alignment horizontal="right" vertical="center"/>
    </xf>
    <xf numFmtId="195" fontId="100" fillId="11" borderId="55" xfId="19" applyNumberFormat="1" applyFont="1" applyFill="1" applyBorder="1" applyAlignment="1">
      <alignment horizontal="right" vertical="center"/>
    </xf>
    <xf numFmtId="195" fontId="100" fillId="11" borderId="56" xfId="19" applyNumberFormat="1" applyFont="1" applyFill="1" applyBorder="1" applyAlignment="1">
      <alignment horizontal="right" vertical="center"/>
    </xf>
    <xf numFmtId="195" fontId="100" fillId="11" borderId="57" xfId="19" applyNumberFormat="1" applyFont="1" applyFill="1" applyBorder="1" applyAlignment="1">
      <alignment horizontal="right" vertical="center"/>
    </xf>
    <xf numFmtId="195" fontId="100" fillId="11" borderId="0" xfId="19" applyNumberFormat="1" applyFont="1" applyFill="1" applyAlignment="1">
      <alignment horizontal="right" vertical="center"/>
    </xf>
    <xf numFmtId="195" fontId="100" fillId="11" borderId="58" xfId="19" applyNumberFormat="1" applyFont="1" applyFill="1" applyBorder="1" applyAlignment="1">
      <alignment horizontal="right" vertical="center"/>
    </xf>
    <xf numFmtId="195" fontId="101" fillId="11" borderId="61" xfId="19" applyNumberFormat="1" applyFont="1" applyFill="1" applyBorder="1" applyAlignment="1">
      <alignment horizontal="right" vertical="center"/>
    </xf>
    <xf numFmtId="195" fontId="100" fillId="11" borderId="59" xfId="19" applyNumberFormat="1" applyFont="1" applyFill="1" applyBorder="1" applyAlignment="1">
      <alignment horizontal="right" vertical="center"/>
    </xf>
    <xf numFmtId="195" fontId="100" fillId="11" borderId="51" xfId="19" applyNumberFormat="1" applyFont="1" applyFill="1" applyBorder="1" applyAlignment="1">
      <alignment horizontal="right" vertical="center"/>
    </xf>
    <xf numFmtId="195" fontId="100" fillId="11" borderId="60" xfId="19" applyNumberFormat="1" applyFont="1" applyFill="1" applyBorder="1" applyAlignment="1">
      <alignment horizontal="right" vertical="center"/>
    </xf>
    <xf numFmtId="196" fontId="97" fillId="0" borderId="62" xfId="0" applyNumberFormat="1" applyFont="1" applyBorder="1" applyAlignment="1">
      <alignment horizontal="center"/>
    </xf>
    <xf numFmtId="196" fontId="97" fillId="0" borderId="63" xfId="0" applyNumberFormat="1" applyFont="1" applyBorder="1" applyAlignment="1">
      <alignment horizontal="centerContinuous"/>
    </xf>
    <xf numFmtId="193" fontId="97" fillId="0" borderId="63" xfId="0" applyNumberFormat="1" applyFont="1" applyBorder="1" applyAlignment="1">
      <alignment horizontal="centerContinuous"/>
    </xf>
    <xf numFmtId="0" fontId="20" fillId="9" borderId="63" xfId="0" applyFont="1" applyFill="1" applyBorder="1"/>
    <xf numFmtId="0" fontId="98" fillId="0" borderId="62" xfId="0" applyFont="1" applyBorder="1" applyAlignment="1">
      <alignment horizontal="center"/>
    </xf>
    <xf numFmtId="0" fontId="98" fillId="0" borderId="63" xfId="0" applyFont="1" applyBorder="1" applyAlignment="1">
      <alignment horizontal="center"/>
    </xf>
    <xf numFmtId="0" fontId="98" fillId="0" borderId="64" xfId="0" applyFont="1" applyBorder="1" applyAlignment="1">
      <alignment horizontal="center"/>
    </xf>
    <xf numFmtId="200" fontId="100" fillId="0" borderId="62" xfId="0" applyNumberFormat="1" applyFont="1" applyBorder="1" applyAlignment="1">
      <alignment horizontal="center"/>
    </xf>
    <xf numFmtId="200" fontId="100" fillId="0" borderId="63" xfId="0" applyNumberFormat="1" applyFont="1" applyBorder="1" applyAlignment="1">
      <alignment horizontal="center"/>
    </xf>
    <xf numFmtId="200" fontId="100" fillId="11" borderId="63" xfId="0" applyNumberFormat="1" applyFont="1" applyFill="1" applyBorder="1" applyAlignment="1">
      <alignment horizontal="center"/>
    </xf>
    <xf numFmtId="200" fontId="100" fillId="11" borderId="65" xfId="0" applyNumberFormat="1" applyFont="1" applyFill="1" applyBorder="1" applyAlignment="1">
      <alignment horizontal="center"/>
    </xf>
    <xf numFmtId="196" fontId="100" fillId="11" borderId="66" xfId="0" applyNumberFormat="1" applyFont="1" applyFill="1" applyBorder="1"/>
    <xf numFmtId="2" fontId="0" fillId="0" borderId="28" xfId="0" applyNumberFormat="1" applyBorder="1"/>
    <xf numFmtId="2" fontId="0" fillId="0" borderId="4" xfId="0" applyNumberFormat="1" applyBorder="1"/>
    <xf numFmtId="2" fontId="0" fillId="0" borderId="27" xfId="0" applyNumberFormat="1" applyBorder="1"/>
    <xf numFmtId="196" fontId="99" fillId="0" borderId="28" xfId="0" applyNumberFormat="1" applyFont="1" applyBorder="1" applyAlignment="1">
      <alignment horizontal="right"/>
    </xf>
    <xf numFmtId="196" fontId="99" fillId="0" borderId="4" xfId="0" applyNumberFormat="1" applyFont="1" applyBorder="1" applyAlignment="1">
      <alignment horizontal="right"/>
    </xf>
    <xf numFmtId="196" fontId="99" fillId="0" borderId="27" xfId="0" applyNumberFormat="1" applyFont="1" applyBorder="1" applyAlignment="1">
      <alignment horizontal="right"/>
    </xf>
    <xf numFmtId="2" fontId="0" fillId="0" borderId="67" xfId="0" applyNumberFormat="1" applyBorder="1"/>
    <xf numFmtId="2" fontId="0" fillId="0" borderId="5" xfId="0" applyNumberFormat="1" applyBorder="1"/>
    <xf numFmtId="2" fontId="0" fillId="0" borderId="68" xfId="0" applyNumberFormat="1" applyBorder="1"/>
    <xf numFmtId="196" fontId="100" fillId="11" borderId="69" xfId="0" applyNumberFormat="1" applyFont="1" applyFill="1" applyBorder="1"/>
    <xf numFmtId="197" fontId="103" fillId="11" borderId="70" xfId="0" applyNumberFormat="1" applyFont="1" applyFill="1" applyBorder="1" applyAlignment="1">
      <alignment horizontal="right"/>
    </xf>
    <xf numFmtId="196" fontId="100" fillId="11" borderId="0" xfId="0" applyNumberFormat="1" applyFont="1" applyFill="1"/>
    <xf numFmtId="197" fontId="103" fillId="11" borderId="71" xfId="0" applyNumberFormat="1" applyFont="1" applyFill="1" applyBorder="1" applyAlignment="1">
      <alignment horizontal="right"/>
    </xf>
    <xf numFmtId="196" fontId="100" fillId="11" borderId="72" xfId="0" applyNumberFormat="1" applyFont="1" applyFill="1" applyBorder="1"/>
    <xf numFmtId="197" fontId="103" fillId="11" borderId="73" xfId="0" applyNumberFormat="1" applyFont="1" applyFill="1" applyBorder="1" applyAlignment="1">
      <alignment horizontal="right"/>
    </xf>
    <xf numFmtId="0" fontId="40" fillId="0" borderId="74" xfId="0" applyFont="1" applyBorder="1" applyAlignment="1">
      <alignment horizontal="left" indent="1"/>
    </xf>
    <xf numFmtId="202" fontId="100" fillId="11" borderId="75" xfId="0" applyNumberFormat="1" applyFont="1" applyFill="1" applyBorder="1"/>
    <xf numFmtId="196" fontId="97" fillId="0" borderId="64" xfId="0" applyNumberFormat="1" applyFont="1" applyBorder="1" applyAlignment="1">
      <alignment horizontal="right"/>
    </xf>
    <xf numFmtId="0" fontId="1" fillId="0" borderId="0" xfId="36"/>
    <xf numFmtId="0" fontId="104" fillId="0" borderId="2" xfId="0" quotePrefix="1" applyFont="1" applyBorder="1" applyAlignment="1">
      <alignment horizontal="center"/>
    </xf>
    <xf numFmtId="0" fontId="104" fillId="0" borderId="12" xfId="0" quotePrefix="1" applyFont="1" applyBorder="1" applyAlignment="1">
      <alignment horizontal="center"/>
    </xf>
    <xf numFmtId="205" fontId="100" fillId="11" borderId="56" xfId="1" applyNumberFormat="1" applyFont="1" applyFill="1" applyBorder="1" applyAlignment="1">
      <alignment horizontal="right"/>
    </xf>
    <xf numFmtId="170" fontId="20" fillId="9" borderId="0" xfId="1" applyNumberFormat="1" applyFont="1" applyFill="1"/>
    <xf numFmtId="204" fontId="30" fillId="0" borderId="0" xfId="0" applyNumberFormat="1" applyFont="1"/>
    <xf numFmtId="196" fontId="100" fillId="11" borderId="76" xfId="19" applyNumberFormat="1" applyFont="1" applyFill="1" applyBorder="1" applyAlignment="1">
      <alignment vertical="center"/>
    </xf>
    <xf numFmtId="196" fontId="100" fillId="11" borderId="12" xfId="19" applyNumberFormat="1" applyFont="1" applyFill="1" applyBorder="1" applyAlignment="1">
      <alignment vertical="center"/>
    </xf>
    <xf numFmtId="196" fontId="100" fillId="11" borderId="77" xfId="19" applyNumberFormat="1" applyFont="1" applyFill="1" applyBorder="1" applyAlignment="1">
      <alignment vertical="center"/>
    </xf>
    <xf numFmtId="0" fontId="31" fillId="0" borderId="78" xfId="0" applyFont="1" applyBorder="1" applyAlignment="1">
      <alignment horizontal="centerContinuous" vertical="center"/>
    </xf>
    <xf numFmtId="0" fontId="20" fillId="0" borderId="78" xfId="0" applyFont="1" applyBorder="1" applyAlignment="1">
      <alignment horizontal="centerContinuous"/>
    </xf>
    <xf numFmtId="0" fontId="101" fillId="0" borderId="78" xfId="0" applyFont="1" applyBorder="1" applyAlignment="1">
      <alignment horizontal="centerContinuous" vertical="center"/>
    </xf>
    <xf numFmtId="0" fontId="81" fillId="0" borderId="78" xfId="0" applyFont="1" applyBorder="1" applyAlignment="1">
      <alignment horizontal="centerContinuous"/>
    </xf>
    <xf numFmtId="195" fontId="103" fillId="14" borderId="0" xfId="1" applyNumberFormat="1" applyFont="1" applyFill="1" applyBorder="1" applyAlignment="1">
      <alignment horizontal="right" vertical="center"/>
    </xf>
    <xf numFmtId="195" fontId="103" fillId="14" borderId="51" xfId="1" applyNumberFormat="1" applyFont="1" applyFill="1" applyBorder="1" applyAlignment="1">
      <alignment horizontal="right" vertical="center"/>
    </xf>
    <xf numFmtId="37" fontId="23" fillId="12" borderId="19" xfId="0" applyNumberFormat="1" applyFont="1" applyFill="1" applyBorder="1" applyAlignment="1">
      <alignment vertical="center"/>
    </xf>
    <xf numFmtId="37" fontId="92" fillId="12" borderId="19" xfId="0" applyNumberFormat="1" applyFont="1" applyFill="1" applyBorder="1" applyAlignment="1">
      <alignment vertical="center"/>
    </xf>
    <xf numFmtId="37" fontId="30" fillId="12" borderId="19" xfId="0" applyNumberFormat="1" applyFont="1" applyFill="1" applyBorder="1" applyAlignment="1">
      <alignment horizontal="center" vertical="center"/>
    </xf>
    <xf numFmtId="37" fontId="30" fillId="12" borderId="19" xfId="0" applyNumberFormat="1" applyFont="1" applyFill="1" applyBorder="1" applyAlignment="1">
      <alignment vertical="center"/>
    </xf>
    <xf numFmtId="193" fontId="92" fillId="12" borderId="19" xfId="0" applyNumberFormat="1" applyFont="1" applyFill="1" applyBorder="1" applyAlignment="1">
      <alignment horizontal="right"/>
    </xf>
    <xf numFmtId="199" fontId="93" fillId="12" borderId="19" xfId="0" applyNumberFormat="1" applyFont="1" applyFill="1" applyBorder="1" applyAlignment="1">
      <alignment horizontal="centerContinuous"/>
    </xf>
    <xf numFmtId="199" fontId="92" fillId="12" borderId="19" xfId="0" applyNumberFormat="1" applyFont="1" applyFill="1" applyBorder="1" applyAlignment="1">
      <alignment horizontal="centerContinuous"/>
    </xf>
    <xf numFmtId="0" fontId="94" fillId="13" borderId="19" xfId="0" applyFont="1" applyFill="1" applyBorder="1" applyAlignment="1">
      <alignment horizontal="right" vertical="center"/>
    </xf>
    <xf numFmtId="37" fontId="32" fillId="12" borderId="19" xfId="0" applyNumberFormat="1" applyFont="1" applyFill="1" applyBorder="1" applyAlignment="1">
      <alignment horizontal="center" vertical="center"/>
    </xf>
    <xf numFmtId="37" fontId="32" fillId="12" borderId="19" xfId="0" applyNumberFormat="1" applyFont="1" applyFill="1" applyBorder="1" applyAlignment="1">
      <alignment vertical="center"/>
    </xf>
    <xf numFmtId="199" fontId="96" fillId="12" borderId="19" xfId="0" applyNumberFormat="1" applyFont="1" applyFill="1" applyBorder="1" applyAlignment="1">
      <alignment horizontal="centerContinuous"/>
    </xf>
    <xf numFmtId="199" fontId="39" fillId="12" borderId="19" xfId="0" applyNumberFormat="1" applyFont="1" applyFill="1" applyBorder="1" applyAlignment="1">
      <alignment horizontal="centerContinuous"/>
    </xf>
    <xf numFmtId="0" fontId="105" fillId="13" borderId="19" xfId="0" applyFont="1" applyFill="1" applyBorder="1" applyAlignment="1">
      <alignment horizontal="right" vertical="center"/>
    </xf>
    <xf numFmtId="0" fontId="1" fillId="0" borderId="0" xfId="36" applyAlignment="1">
      <alignment horizontal="left"/>
    </xf>
    <xf numFmtId="14" fontId="1" fillId="0" borderId="0" xfId="36" applyNumberFormat="1" applyAlignment="1">
      <alignment horizontal="left"/>
    </xf>
    <xf numFmtId="175" fontId="22" fillId="9" borderId="0" xfId="21" applyNumberFormat="1" applyFont="1" applyFill="1" applyProtection="1">
      <protection locked="0"/>
    </xf>
    <xf numFmtId="175" fontId="90" fillId="9" borderId="0" xfId="33" applyNumberFormat="1" applyFont="1" applyFill="1" applyBorder="1" applyProtection="1">
      <protection locked="0"/>
    </xf>
    <xf numFmtId="175" fontId="109" fillId="9" borderId="0" xfId="33" applyNumberFormat="1" applyFont="1" applyFill="1" applyBorder="1" applyProtection="1">
      <protection locked="0"/>
    </xf>
    <xf numFmtId="175" fontId="109" fillId="9" borderId="0" xfId="33" applyNumberFormat="1" applyFont="1" applyFill="1" applyBorder="1" applyAlignment="1" applyProtection="1">
      <alignment horizontal="center"/>
      <protection locked="0"/>
    </xf>
    <xf numFmtId="175" fontId="109" fillId="9" borderId="0" xfId="33" applyNumberFormat="1" applyFont="1" applyFill="1" applyProtection="1">
      <protection locked="0"/>
    </xf>
    <xf numFmtId="175" fontId="109" fillId="9" borderId="0" xfId="33" applyNumberFormat="1" applyFont="1" applyFill="1" applyAlignment="1" applyProtection="1">
      <alignment horizontal="center"/>
      <protection locked="0"/>
    </xf>
    <xf numFmtId="175" fontId="110" fillId="9" borderId="0" xfId="33" applyNumberFormat="1" applyFont="1" applyFill="1" applyProtection="1">
      <protection locked="0"/>
    </xf>
    <xf numFmtId="0" fontId="85" fillId="9" borderId="0" xfId="0" applyFont="1" applyFill="1"/>
    <xf numFmtId="0" fontId="85" fillId="9" borderId="0" xfId="0" applyFont="1" applyFill="1" applyProtection="1">
      <protection locked="0"/>
    </xf>
    <xf numFmtId="2" fontId="85" fillId="9" borderId="0" xfId="0" applyNumberFormat="1" applyFont="1" applyFill="1"/>
    <xf numFmtId="0" fontId="22" fillId="9" borderId="0" xfId="0" applyFont="1" applyFill="1" applyAlignment="1">
      <alignment horizontal="center"/>
    </xf>
    <xf numFmtId="0" fontId="111" fillId="0" borderId="0" xfId="0" applyFont="1" applyAlignment="1">
      <alignment horizontal="center"/>
    </xf>
    <xf numFmtId="0" fontId="112" fillId="0" borderId="0" xfId="0" applyFont="1"/>
    <xf numFmtId="9" fontId="22" fillId="9" borderId="0" xfId="1" applyFont="1" applyFill="1"/>
    <xf numFmtId="189" fontId="22" fillId="9" borderId="0" xfId="0" applyNumberFormat="1" applyFont="1" applyFill="1"/>
    <xf numFmtId="164" fontId="22" fillId="9" borderId="0" xfId="0" applyNumberFormat="1" applyFont="1" applyFill="1"/>
    <xf numFmtId="0" fontId="52" fillId="0" borderId="28" xfId="26" applyFont="1" applyBorder="1" applyAlignment="1">
      <alignment horizontal="center"/>
    </xf>
    <xf numFmtId="0" fontId="52" fillId="0" borderId="27" xfId="26" applyFont="1" applyBorder="1" applyAlignment="1">
      <alignment horizontal="center"/>
    </xf>
    <xf numFmtId="0" fontId="70" fillId="8" borderId="14" xfId="30" applyFill="1" applyBorder="1" applyAlignment="1">
      <alignment horizontal="left"/>
    </xf>
    <xf numFmtId="0" fontId="70" fillId="8" borderId="2" xfId="30" applyFill="1" applyBorder="1" applyAlignment="1">
      <alignment horizontal="left"/>
    </xf>
    <xf numFmtId="0" fontId="70" fillId="8" borderId="31" xfId="30" applyFill="1" applyBorder="1" applyAlignment="1">
      <alignment horizontal="left"/>
    </xf>
    <xf numFmtId="0" fontId="73" fillId="8" borderId="28" xfId="29" applyFont="1" applyFill="1" applyBorder="1" applyAlignment="1">
      <alignment horizontal="left"/>
    </xf>
    <xf numFmtId="0" fontId="73" fillId="8" borderId="4" xfId="29" applyFont="1" applyFill="1" applyBorder="1" applyAlignment="1">
      <alignment horizontal="left"/>
    </xf>
    <xf numFmtId="0" fontId="73" fillId="8" borderId="27" xfId="29" applyFont="1" applyFill="1" applyBorder="1" applyAlignment="1">
      <alignment horizontal="left"/>
    </xf>
    <xf numFmtId="0" fontId="73" fillId="8" borderId="33" xfId="29" applyFont="1" applyFill="1" applyBorder="1" applyAlignment="1">
      <alignment horizontal="left"/>
    </xf>
    <xf numFmtId="15" fontId="74" fillId="8" borderId="36" xfId="29" applyNumberFormat="1" applyFont="1" applyFill="1" applyBorder="1" applyAlignment="1">
      <alignment horizontal="left"/>
    </xf>
    <xf numFmtId="15" fontId="74" fillId="8" borderId="20" xfId="29" applyNumberFormat="1" applyFont="1" applyFill="1" applyBorder="1" applyAlignment="1">
      <alignment horizontal="left"/>
    </xf>
    <xf numFmtId="15" fontId="74" fillId="8" borderId="35" xfId="29" applyNumberFormat="1" applyFont="1" applyFill="1" applyBorder="1" applyAlignment="1">
      <alignment horizontal="left"/>
    </xf>
    <xf numFmtId="0" fontId="70" fillId="8" borderId="28" xfId="30" applyFill="1" applyBorder="1" applyAlignment="1">
      <alignment horizontal="left"/>
    </xf>
    <xf numFmtId="0" fontId="70" fillId="8" borderId="4" xfId="30" applyFill="1" applyBorder="1" applyAlignment="1">
      <alignment horizontal="left"/>
    </xf>
    <xf numFmtId="0" fontId="70" fillId="8" borderId="33" xfId="30" applyFill="1" applyBorder="1" applyAlignment="1">
      <alignment horizontal="left"/>
    </xf>
    <xf numFmtId="15" fontId="70" fillId="8" borderId="28" xfId="30" quotePrefix="1" applyNumberFormat="1" applyFill="1" applyBorder="1" applyAlignment="1">
      <alignment horizontal="left"/>
    </xf>
    <xf numFmtId="15" fontId="70" fillId="8" borderId="4" xfId="30" applyNumberFormat="1" applyFill="1" applyBorder="1" applyAlignment="1">
      <alignment horizontal="left"/>
    </xf>
    <xf numFmtId="15" fontId="70" fillId="8" borderId="33" xfId="30" applyNumberFormat="1" applyFill="1" applyBorder="1" applyAlignment="1">
      <alignment horizontal="left"/>
    </xf>
    <xf numFmtId="0" fontId="70" fillId="8" borderId="28" xfId="30" applyFill="1" applyBorder="1"/>
    <xf numFmtId="0" fontId="70" fillId="8" borderId="4" xfId="30" applyFill="1" applyBorder="1"/>
    <xf numFmtId="0" fontId="70" fillId="8" borderId="33" xfId="30" applyFill="1" applyBorder="1"/>
    <xf numFmtId="0" fontId="32" fillId="0" borderId="0" xfId="0" applyFont="1" applyAlignment="1">
      <alignment horizontal="right" vertical="center" textRotation="90"/>
    </xf>
    <xf numFmtId="0" fontId="100" fillId="0" borderId="0" xfId="0" applyFont="1" applyAlignment="1">
      <alignment horizontal="right" vertical="center" textRotation="90"/>
    </xf>
    <xf numFmtId="0" fontId="100" fillId="0" borderId="57" xfId="0" applyFont="1" applyBorder="1" applyAlignment="1">
      <alignment horizontal="right" vertical="center" textRotation="90"/>
    </xf>
    <xf numFmtId="209" fontId="21" fillId="0" borderId="5" xfId="19" applyNumberFormat="1" applyFont="1" applyBorder="1" applyAlignment="1">
      <alignment horizontal="center"/>
    </xf>
    <xf numFmtId="209" fontId="21" fillId="0" borderId="3" xfId="19" applyNumberFormat="1" applyFont="1" applyBorder="1" applyAlignment="1">
      <alignment horizontal="left"/>
    </xf>
    <xf numFmtId="164" fontId="3" fillId="0" borderId="11" xfId="19" applyFont="1" applyBorder="1"/>
    <xf numFmtId="164" fontId="21" fillId="9" borderId="5" xfId="19" applyFont="1" applyFill="1" applyBorder="1"/>
    <xf numFmtId="164" fontId="21" fillId="9" borderId="1" xfId="19" applyFont="1" applyFill="1" applyBorder="1"/>
    <xf numFmtId="164" fontId="20" fillId="9" borderId="1" xfId="19" applyFont="1" applyFill="1" applyBorder="1"/>
  </cellXfs>
  <cellStyles count="37">
    <cellStyle name="blp_amount" xfId="16" xr:uid="{BB293599-B786-4858-9082-06963D59DE23}"/>
    <cellStyle name="blp_column_header" xfId="17" xr:uid="{557A974E-C037-4087-BE91-B923F304F01D}"/>
    <cellStyle name="Comma" xfId="19" builtinId="3"/>
    <cellStyle name="Comma 2" xfId="7" xr:uid="{475792F1-CBB7-E041-9489-BB6D71689D35}"/>
    <cellStyle name="Comma 2 2" xfId="24" xr:uid="{54D07163-B989-E545-80E6-EDD6B8274C07}"/>
    <cellStyle name="Comma 3" xfId="9" xr:uid="{B1C3D187-CCF9-C84A-B7C7-25B53DBF5A59}"/>
    <cellStyle name="Comma 3 2" xfId="33" xr:uid="{548B5D74-F5EB-B548-A9CE-2B9DAC4B02FC}"/>
    <cellStyle name="Comma 4" xfId="21" xr:uid="{FEC51E38-8E05-D843-91C8-BDD2A89FD535}"/>
    <cellStyle name="Comma 5" xfId="34" xr:uid="{E47DAC91-CDFE-0247-80CD-B8EE7EE42F78}"/>
    <cellStyle name="Currency 2" xfId="28" xr:uid="{F4DA711F-B7E1-4B9B-A305-6B713E7694F6}"/>
    <cellStyle name="defaultsheetstyle" xfId="12" xr:uid="{ADD9A9D3-263F-4EBA-BAE7-7BBE3C64C9C4}"/>
    <cellStyle name="disclaimer" xfId="13" xr:uid="{72B95D88-88E6-4CF6-BDCD-313E6ED01A84}"/>
    <cellStyle name="fa_column_header_bottom 2" xfId="6" xr:uid="{04F09A73-467C-7746-97EB-46A367DD82F9}"/>
    <cellStyle name="fa_column_header_bottom_left 2" xfId="5" xr:uid="{16F323DC-9C7F-DF48-95D3-34F08FE0EC54}"/>
    <cellStyle name="fa_column_header_top 2" xfId="4" xr:uid="{093D7511-A12D-F746-A598-88B6386E9750}"/>
    <cellStyle name="fa_column_header_top_left 2" xfId="3" xr:uid="{01112E1B-D6C3-E742-AADA-4CA8652FA1D7}"/>
    <cellStyle name="Hyperlink" xfId="20" builtinId="8"/>
    <cellStyle name="Hyperlink 2" xfId="30" xr:uid="{3FB50D3A-5483-484A-8D08-34F40152D03B}"/>
    <cellStyle name="Hyperlink 2 2" xfId="35" xr:uid="{D00A5E10-B32F-444E-AB1E-5AFD33CE2E83}"/>
    <cellStyle name="Normal" xfId="0" builtinId="0"/>
    <cellStyle name="Normal 2" xfId="2" xr:uid="{2A551B19-E5D8-7B4F-ABE9-A60B8C35458C}"/>
    <cellStyle name="Normal 3" xfId="10" xr:uid="{3D9388A0-AF84-844F-BDD9-D6C734E9C5F1}"/>
    <cellStyle name="Normal 4" xfId="18" xr:uid="{6B8006A0-227A-4DBE-8057-4E239D41D079}"/>
    <cellStyle name="Normal 4 2" xfId="23" xr:uid="{6E94DC9A-192D-7B4C-BB96-0DACFAE45AD2}"/>
    <cellStyle name="Normal 5" xfId="26" xr:uid="{944E18C6-488D-4208-AB62-B8A5CCF248F4}"/>
    <cellStyle name="Normal 6" xfId="29" xr:uid="{E9981B3E-3DBE-4848-AC2D-D22EA4C4B72B}"/>
    <cellStyle name="Normal 7" xfId="31" xr:uid="{722732F5-3AC6-F644-AA7D-DBAC8C3E8CBF}"/>
    <cellStyle name="Normal 8" xfId="36" xr:uid="{50F19BAC-4D61-224B-80D4-FF44B63964DB}"/>
    <cellStyle name="Per cent" xfId="1" builtinId="5"/>
    <cellStyle name="Per cent 2" xfId="8" xr:uid="{6A38D04C-1A63-974D-B4C3-A619FE5497F1}"/>
    <cellStyle name="Per cent 3" xfId="11" xr:uid="{69F1B40B-43A0-1646-9760-EF38E2321B15}"/>
    <cellStyle name="Per cent 4" xfId="25" xr:uid="{222B9085-A435-6645-AC28-D650DBD0FAA3}"/>
    <cellStyle name="Per cent 5" xfId="32" xr:uid="{0A8C404F-8ABC-D549-B886-050A08A708CE}"/>
    <cellStyle name="Percent 2" xfId="27" xr:uid="{C827FEAB-E79A-4006-A419-71768A807E23}"/>
    <cellStyle name="Percent 4" xfId="22" xr:uid="{DAA296FD-7960-E64C-B518-9E842866CB54}"/>
    <cellStyle name="plainText" xfId="15" xr:uid="{F8A5B7F7-99F2-4DBC-94D3-707085AC62C0}"/>
    <cellStyle name="tablesubHeader" xfId="14" xr:uid="{59B4D213-BF54-4A59-A0E0-CBAAD7394BD9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ROIC COMPARABLES 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C2-4EB3-80A8-D46E4B689415}"/>
              </c:ext>
            </c:extLst>
          </c:dPt>
          <c:cat>
            <c:strRef>
              <c:f>'Ratios Tables'!$A$54:$A$65</c:f>
              <c:strCache>
                <c:ptCount val="12"/>
                <c:pt idx="0">
                  <c:v>Median</c:v>
                </c:pt>
                <c:pt idx="1">
                  <c:v>NCC GROUP PLC</c:v>
                </c:pt>
                <c:pt idx="2">
                  <c:v>KAPE TECHNOLOGIES PLC</c:v>
                </c:pt>
                <c:pt idx="3">
                  <c:v>WITHSECURE OYJ</c:v>
                </c:pt>
                <c:pt idx="4">
                  <c:v>CY4GATE SPA</c:v>
                </c:pt>
                <c:pt idx="5">
                  <c:v>MICROLISE GROUP PLC</c:v>
                </c:pt>
                <c:pt idx="6">
                  <c:v>MICRO FOCUS INTERNATIONAL</c:v>
                </c:pt>
                <c:pt idx="7">
                  <c:v>AUBAY</c:v>
                </c:pt>
                <c:pt idx="8">
                  <c:v>EQUASENS</c:v>
                </c:pt>
                <c:pt idx="9">
                  <c:v>ORIGO HF</c:v>
                </c:pt>
                <c:pt idx="10">
                  <c:v>SOFTWARE AG</c:v>
                </c:pt>
                <c:pt idx="11">
                  <c:v>INFOTEL</c:v>
                </c:pt>
              </c:strCache>
            </c:strRef>
          </c:cat>
          <c:val>
            <c:numRef>
              <c:f>'Ratios Tables'!$B$54:$B$65</c:f>
              <c:numCache>
                <c:formatCode>0.00</c:formatCode>
                <c:ptCount val="12"/>
                <c:pt idx="0">
                  <c:v>10.050629138946533</c:v>
                </c:pt>
                <c:pt idx="1">
                  <c:v>6.4562649726867676</c:v>
                </c:pt>
                <c:pt idx="2">
                  <c:v>9.1445941925048828</c:v>
                </c:pt>
                <c:pt idx="3">
                  <c:v>-20.33110237121582</c:v>
                </c:pt>
                <c:pt idx="4">
                  <c:v>17.834810256958008</c:v>
                </c:pt>
                <c:pt idx="5">
                  <c:v>64.092529296875</c:v>
                </c:pt>
                <c:pt idx="6">
                  <c:v>-1.054309010505676</c:v>
                </c:pt>
                <c:pt idx="7">
                  <c:v>14.837973594665527</c:v>
                </c:pt>
                <c:pt idx="8">
                  <c:v>17.50377082824707</c:v>
                </c:pt>
                <c:pt idx="9">
                  <c:v>0</c:v>
                </c:pt>
                <c:pt idx="10">
                  <c:v>2.668510913848877</c:v>
                </c:pt>
                <c:pt idx="11">
                  <c:v>10.956664085388184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2-4EB3-80A8-D46E4B689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450256"/>
        <c:axId val="630451088"/>
      </c:barChart>
      <c:catAx>
        <c:axId val="6304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51088"/>
        <c:crosses val="autoZero"/>
        <c:auto val="1"/>
        <c:lblAlgn val="ctr"/>
        <c:lblOffset val="100"/>
        <c:noMultiLvlLbl val="0"/>
      </c:catAx>
      <c:valAx>
        <c:axId val="63045108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50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 FTSE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NCC</c:v>
          </c:tx>
          <c:spPr>
            <a:ln w="19050">
              <a:noFill/>
            </a:ln>
          </c:spPr>
          <c:xVal>
            <c:numRef>
              <c:f>'Cost of Capital'!$N$22:$N$81</c:f>
              <c:numCache>
                <c:formatCode>General</c:formatCode>
                <c:ptCount val="60"/>
                <c:pt idx="0">
                  <c:v>2.2801787990268885E-2</c:v>
                </c:pt>
                <c:pt idx="1">
                  <c:v>1.1349194232486148E-3</c:v>
                </c:pt>
                <c:pt idx="2">
                  <c:v>3.5968225963070033E-3</c:v>
                </c:pt>
                <c:pt idx="3">
                  <c:v>1.7763179742005253E-2</c:v>
                </c:pt>
                <c:pt idx="4">
                  <c:v>-1.3593627798491825E-2</c:v>
                </c:pt>
                <c:pt idx="5">
                  <c:v>3.8759798705851667E-2</c:v>
                </c:pt>
                <c:pt idx="6">
                  <c:v>-2.3287365882701416E-2</c:v>
                </c:pt>
                <c:pt idx="7">
                  <c:v>-2.7481772016834882E-2</c:v>
                </c:pt>
                <c:pt idx="8">
                  <c:v>-1.1520134584429353E-2</c:v>
                </c:pt>
                <c:pt idx="9">
                  <c:v>4.2372049595924333E-2</c:v>
                </c:pt>
                <c:pt idx="10">
                  <c:v>2.7666187660370545E-2</c:v>
                </c:pt>
                <c:pt idx="11">
                  <c:v>-7.3346489969894346E-4</c:v>
                </c:pt>
                <c:pt idx="12">
                  <c:v>2.2514554051009661E-3</c:v>
                </c:pt>
                <c:pt idx="13">
                  <c:v>-9.0464209232071768E-3</c:v>
                </c:pt>
                <c:pt idx="14">
                  <c:v>-1.8461984629513206E-2</c:v>
                </c:pt>
                <c:pt idx="15">
                  <c:v>-6.8417652203373813E-2</c:v>
                </c:pt>
                <c:pt idx="16">
                  <c:v>-2.3092155063411557E-2</c:v>
                </c:pt>
                <c:pt idx="17">
                  <c:v>-5.2961907013916676E-2</c:v>
                </c:pt>
                <c:pt idx="18">
                  <c:v>6.9117617650503949E-2</c:v>
                </c:pt>
                <c:pt idx="19">
                  <c:v>2.5096530255053651E-2</c:v>
                </c:pt>
                <c:pt idx="20">
                  <c:v>-3.3292755723657308E-3</c:v>
                </c:pt>
                <c:pt idx="21">
                  <c:v>3.6998580880649001E-2</c:v>
                </c:pt>
                <c:pt idx="22">
                  <c:v>-4.310558335741943E-2</c:v>
                </c:pt>
                <c:pt idx="23">
                  <c:v>2.5927439016354414E-2</c:v>
                </c:pt>
                <c:pt idx="24">
                  <c:v>1.0503491401236298E-2</c:v>
                </c:pt>
                <c:pt idx="25">
                  <c:v>-1.3875866192900377E-2</c:v>
                </c:pt>
                <c:pt idx="26">
                  <c:v>2.800094670260278E-2</c:v>
                </c:pt>
                <c:pt idx="27">
                  <c:v>4.2549733731862549E-3</c:v>
                </c:pt>
                <c:pt idx="28">
                  <c:v>3.9512524036660501E-2</c:v>
                </c:pt>
                <c:pt idx="29">
                  <c:v>5.1450563600895505E-2</c:v>
                </c:pt>
                <c:pt idx="30">
                  <c:v>-3.3812356569493995E-2</c:v>
                </c:pt>
                <c:pt idx="31">
                  <c:v>-8.5727096141649417E-2</c:v>
                </c:pt>
                <c:pt idx="32">
                  <c:v>-0.218809554847881</c:v>
                </c:pt>
                <c:pt idx="33">
                  <c:v>8.9617796813880712E-2</c:v>
                </c:pt>
                <c:pt idx="34">
                  <c:v>3.5765379113018581E-2</c:v>
                </c:pt>
                <c:pt idx="35">
                  <c:v>4.4710543238968281E-3</c:v>
                </c:pt>
                <c:pt idx="36">
                  <c:v>-1.0894810259381771E-2</c:v>
                </c:pt>
                <c:pt idx="37">
                  <c:v>5.0534322743339022E-2</c:v>
                </c:pt>
                <c:pt idx="38">
                  <c:v>-2.6592153394950691E-2</c:v>
                </c:pt>
                <c:pt idx="39">
                  <c:v>-5.8283714402868059E-3</c:v>
                </c:pt>
                <c:pt idx="40">
                  <c:v>0.12326554891898511</c:v>
                </c:pt>
                <c:pt idx="41">
                  <c:v>5.9575968953761604E-2</c:v>
                </c:pt>
                <c:pt idx="42">
                  <c:v>-1.2676503174982701E-2</c:v>
                </c:pt>
                <c:pt idx="43">
                  <c:v>3.3704293628123994E-2</c:v>
                </c:pt>
                <c:pt idx="44">
                  <c:v>2.9092742022259754E-2</c:v>
                </c:pt>
                <c:pt idx="45">
                  <c:v>4.547949203274726E-2</c:v>
                </c:pt>
                <c:pt idx="46">
                  <c:v>8.2934138523749201E-3</c:v>
                </c:pt>
                <c:pt idx="47">
                  <c:v>-1.3574796276662582E-2</c:v>
                </c:pt>
                <c:pt idx="48">
                  <c:v>2.5599279943439468E-2</c:v>
                </c:pt>
                <c:pt idx="49">
                  <c:v>5.0257899858075383E-2</c:v>
                </c:pt>
                <c:pt idx="50">
                  <c:v>-4.4431647082692427E-2</c:v>
                </c:pt>
                <c:pt idx="51">
                  <c:v>3.2703335332062711E-3</c:v>
                </c:pt>
                <c:pt idx="52">
                  <c:v>-2.5399225589560759E-2</c:v>
                </c:pt>
                <c:pt idx="53">
                  <c:v>4.267770647237179E-2</c:v>
                </c:pt>
                <c:pt idx="54">
                  <c:v>-6.6189794985777817E-2</c:v>
                </c:pt>
                <c:pt idx="55">
                  <c:v>-3.8563627225719266E-2</c:v>
                </c:pt>
                <c:pt idx="56">
                  <c:v>3.7483901418573495E-3</c:v>
                </c:pt>
                <c:pt idx="57">
                  <c:v>-2.1330742289604965E-2</c:v>
                </c:pt>
                <c:pt idx="58">
                  <c:v>-1.4040468962093655E-2</c:v>
                </c:pt>
                <c:pt idx="59">
                  <c:v>-8.5765221288131355E-2</c:v>
                </c:pt>
              </c:numCache>
            </c:numRef>
          </c:xVal>
          <c:yVal>
            <c:numRef>
              <c:f>'Cost of Capital'!$O$22:$O$81</c:f>
              <c:numCache>
                <c:formatCode>General</c:formatCode>
                <c:ptCount val="60"/>
                <c:pt idx="0">
                  <c:v>0.18473300101898271</c:v>
                </c:pt>
                <c:pt idx="1">
                  <c:v>-4.1237217442437912E-2</c:v>
                </c:pt>
                <c:pt idx="2">
                  <c:v>0.18349683226625602</c:v>
                </c:pt>
                <c:pt idx="3">
                  <c:v>6.2355702750549247E-2</c:v>
                </c:pt>
                <c:pt idx="4">
                  <c:v>-3.6956632062409511E-2</c:v>
                </c:pt>
                <c:pt idx="5">
                  <c:v>5.6433471759512299E-2</c:v>
                </c:pt>
                <c:pt idx="6">
                  <c:v>-0.14102557468999122</c:v>
                </c:pt>
                <c:pt idx="7">
                  <c:v>-3.6478501389759499E-3</c:v>
                </c:pt>
                <c:pt idx="8">
                  <c:v>-5.3822889630332438E-2</c:v>
                </c:pt>
                <c:pt idx="9">
                  <c:v>4.5188784493200185E-2</c:v>
                </c:pt>
                <c:pt idx="10">
                  <c:v>8.1383459127483793E-2</c:v>
                </c:pt>
                <c:pt idx="11">
                  <c:v>-3.668854917695652E-2</c:v>
                </c:pt>
                <c:pt idx="12">
                  <c:v>7.3242136228529153E-2</c:v>
                </c:pt>
                <c:pt idx="13">
                  <c:v>9.0991562191033992E-4</c:v>
                </c:pt>
                <c:pt idx="14">
                  <c:v>-9.0909161793178872E-2</c:v>
                </c:pt>
                <c:pt idx="15">
                  <c:v>-2.3836082729181696E-3</c:v>
                </c:pt>
                <c:pt idx="16">
                  <c:v>-4.4761077416416994E-2</c:v>
                </c:pt>
                <c:pt idx="17">
                  <c:v>-6.6560080126807919E-2</c:v>
                </c:pt>
                <c:pt idx="18">
                  <c:v>-0.26697095421239925</c:v>
                </c:pt>
                <c:pt idx="19">
                  <c:v>-4.2801547214106783E-2</c:v>
                </c:pt>
                <c:pt idx="20">
                  <c:v>0.15129439061572558</c:v>
                </c:pt>
                <c:pt idx="21">
                  <c:v>0.24714259520181425</c:v>
                </c:pt>
                <c:pt idx="22">
                  <c:v>-5.1546186792953308E-2</c:v>
                </c:pt>
                <c:pt idx="23">
                  <c:v>-1.2077345254498772E-2</c:v>
                </c:pt>
                <c:pt idx="24">
                  <c:v>0.12958430435239388</c:v>
                </c:pt>
                <c:pt idx="25">
                  <c:v>-4.4372275861010557E-2</c:v>
                </c:pt>
                <c:pt idx="26">
                  <c:v>-1.3590128750499253E-2</c:v>
                </c:pt>
                <c:pt idx="27">
                  <c:v>9.4087222322381869E-2</c:v>
                </c:pt>
                <c:pt idx="28">
                  <c:v>0.10192122717777852</c:v>
                </c:pt>
                <c:pt idx="29">
                  <c:v>9.2009490969366947E-2</c:v>
                </c:pt>
                <c:pt idx="30">
                  <c:v>-4.6563088435388589E-2</c:v>
                </c:pt>
                <c:pt idx="31">
                  <c:v>-3.4883679960709624E-2</c:v>
                </c:pt>
                <c:pt idx="32">
                  <c:v>-0.19478272755787229</c:v>
                </c:pt>
                <c:pt idx="33">
                  <c:v>-1.5662574335652324E-2</c:v>
                </c:pt>
                <c:pt idx="34">
                  <c:v>-6.1199580930522357E-2</c:v>
                </c:pt>
                <c:pt idx="35">
                  <c:v>0.15645380832025579</c:v>
                </c:pt>
                <c:pt idx="36">
                  <c:v>-4.7350586923699867E-2</c:v>
                </c:pt>
                <c:pt idx="37">
                  <c:v>6.5088832330501223E-2</c:v>
                </c:pt>
                <c:pt idx="38">
                  <c:v>-2.2222337254608759E-2</c:v>
                </c:pt>
                <c:pt idx="39">
                  <c:v>3.7500047354833699E-2</c:v>
                </c:pt>
                <c:pt idx="40">
                  <c:v>9.3298816132658891E-2</c:v>
                </c:pt>
                <c:pt idx="41">
                  <c:v>0.28440363440741634</c:v>
                </c:pt>
                <c:pt idx="42">
                  <c:v>-1.9841279569397963E-2</c:v>
                </c:pt>
                <c:pt idx="43">
                  <c:v>6.2753078793837735E-2</c:v>
                </c:pt>
                <c:pt idx="44">
                  <c:v>-1.1652011923160233E-2</c:v>
                </c:pt>
                <c:pt idx="45">
                  <c:v>5.2325623324334103E-2</c:v>
                </c:pt>
                <c:pt idx="46">
                  <c:v>9.0239369726484053E-2</c:v>
                </c:pt>
                <c:pt idx="47">
                  <c:v>-6.7567327299279389E-3</c:v>
                </c:pt>
                <c:pt idx="48">
                  <c:v>6.9727793922897519E-2</c:v>
                </c:pt>
                <c:pt idx="49">
                  <c:v>2.702696319289144E-2</c:v>
                </c:pt>
                <c:pt idx="50">
                  <c:v>-0.20433430332188141</c:v>
                </c:pt>
                <c:pt idx="51">
                  <c:v>-3.3073911789790023E-2</c:v>
                </c:pt>
                <c:pt idx="52">
                  <c:v>-6.6967673401221339E-2</c:v>
                </c:pt>
                <c:pt idx="53">
                  <c:v>1.9650665626504304E-2</c:v>
                </c:pt>
                <c:pt idx="54">
                  <c:v>-0.186295565293221</c:v>
                </c:pt>
                <c:pt idx="55">
                  <c:v>-1.2631477453109996E-2</c:v>
                </c:pt>
                <c:pt idx="56">
                  <c:v>-1.8955997942479041E-2</c:v>
                </c:pt>
                <c:pt idx="57">
                  <c:v>2.1904843822193598E-3</c:v>
                </c:pt>
                <c:pt idx="58">
                  <c:v>0.17486343729931941</c:v>
                </c:pt>
                <c:pt idx="59">
                  <c:v>-0.12930237931792243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B-4BCB-A753-976D9FA5A69F}"/>
            </c:ext>
          </c:extLst>
        </c:ser>
        <c:ser>
          <c:idx val="1"/>
          <c:order val="1"/>
          <c:tx>
            <c:v>Predicted R NCC</c:v>
          </c:tx>
          <c:spPr>
            <a:ln w="19050">
              <a:noFill/>
            </a:ln>
          </c:spPr>
          <c:xVal>
            <c:numRef>
              <c:f>'Cost of Capital'!$N$22:$N$81</c:f>
              <c:numCache>
                <c:formatCode>General</c:formatCode>
                <c:ptCount val="60"/>
                <c:pt idx="0">
                  <c:v>2.2801787990268885E-2</c:v>
                </c:pt>
                <c:pt idx="1">
                  <c:v>1.1349194232486148E-3</c:v>
                </c:pt>
                <c:pt idx="2">
                  <c:v>3.5968225963070033E-3</c:v>
                </c:pt>
                <c:pt idx="3">
                  <c:v>1.7763179742005253E-2</c:v>
                </c:pt>
                <c:pt idx="4">
                  <c:v>-1.3593627798491825E-2</c:v>
                </c:pt>
                <c:pt idx="5">
                  <c:v>3.8759798705851667E-2</c:v>
                </c:pt>
                <c:pt idx="6">
                  <c:v>-2.3287365882701416E-2</c:v>
                </c:pt>
                <c:pt idx="7">
                  <c:v>-2.7481772016834882E-2</c:v>
                </c:pt>
                <c:pt idx="8">
                  <c:v>-1.1520134584429353E-2</c:v>
                </c:pt>
                <c:pt idx="9">
                  <c:v>4.2372049595924333E-2</c:v>
                </c:pt>
                <c:pt idx="10">
                  <c:v>2.7666187660370545E-2</c:v>
                </c:pt>
                <c:pt idx="11">
                  <c:v>-7.3346489969894346E-4</c:v>
                </c:pt>
                <c:pt idx="12">
                  <c:v>2.2514554051009661E-3</c:v>
                </c:pt>
                <c:pt idx="13">
                  <c:v>-9.0464209232071768E-3</c:v>
                </c:pt>
                <c:pt idx="14">
                  <c:v>-1.8461984629513206E-2</c:v>
                </c:pt>
                <c:pt idx="15">
                  <c:v>-6.8417652203373813E-2</c:v>
                </c:pt>
                <c:pt idx="16">
                  <c:v>-2.3092155063411557E-2</c:v>
                </c:pt>
                <c:pt idx="17">
                  <c:v>-5.2961907013916676E-2</c:v>
                </c:pt>
                <c:pt idx="18">
                  <c:v>6.9117617650503949E-2</c:v>
                </c:pt>
                <c:pt idx="19">
                  <c:v>2.5096530255053651E-2</c:v>
                </c:pt>
                <c:pt idx="20">
                  <c:v>-3.3292755723657308E-3</c:v>
                </c:pt>
                <c:pt idx="21">
                  <c:v>3.6998580880649001E-2</c:v>
                </c:pt>
                <c:pt idx="22">
                  <c:v>-4.310558335741943E-2</c:v>
                </c:pt>
                <c:pt idx="23">
                  <c:v>2.5927439016354414E-2</c:v>
                </c:pt>
                <c:pt idx="24">
                  <c:v>1.0503491401236298E-2</c:v>
                </c:pt>
                <c:pt idx="25">
                  <c:v>-1.3875866192900377E-2</c:v>
                </c:pt>
                <c:pt idx="26">
                  <c:v>2.800094670260278E-2</c:v>
                </c:pt>
                <c:pt idx="27">
                  <c:v>4.2549733731862549E-3</c:v>
                </c:pt>
                <c:pt idx="28">
                  <c:v>3.9512524036660501E-2</c:v>
                </c:pt>
                <c:pt idx="29">
                  <c:v>5.1450563600895505E-2</c:v>
                </c:pt>
                <c:pt idx="30">
                  <c:v>-3.3812356569493995E-2</c:v>
                </c:pt>
                <c:pt idx="31">
                  <c:v>-8.5727096141649417E-2</c:v>
                </c:pt>
                <c:pt idx="32">
                  <c:v>-0.218809554847881</c:v>
                </c:pt>
                <c:pt idx="33">
                  <c:v>8.9617796813880712E-2</c:v>
                </c:pt>
                <c:pt idx="34">
                  <c:v>3.5765379113018581E-2</c:v>
                </c:pt>
                <c:pt idx="35">
                  <c:v>4.4710543238968281E-3</c:v>
                </c:pt>
                <c:pt idx="36">
                  <c:v>-1.0894810259381771E-2</c:v>
                </c:pt>
                <c:pt idx="37">
                  <c:v>5.0534322743339022E-2</c:v>
                </c:pt>
                <c:pt idx="38">
                  <c:v>-2.6592153394950691E-2</c:v>
                </c:pt>
                <c:pt idx="39">
                  <c:v>-5.8283714402868059E-3</c:v>
                </c:pt>
                <c:pt idx="40">
                  <c:v>0.12326554891898511</c:v>
                </c:pt>
                <c:pt idx="41">
                  <c:v>5.9575968953761604E-2</c:v>
                </c:pt>
                <c:pt idx="42">
                  <c:v>-1.2676503174982701E-2</c:v>
                </c:pt>
                <c:pt idx="43">
                  <c:v>3.3704293628123994E-2</c:v>
                </c:pt>
                <c:pt idx="44">
                  <c:v>2.9092742022259754E-2</c:v>
                </c:pt>
                <c:pt idx="45">
                  <c:v>4.547949203274726E-2</c:v>
                </c:pt>
                <c:pt idx="46">
                  <c:v>8.2934138523749201E-3</c:v>
                </c:pt>
                <c:pt idx="47">
                  <c:v>-1.3574796276662582E-2</c:v>
                </c:pt>
                <c:pt idx="48">
                  <c:v>2.5599279943439468E-2</c:v>
                </c:pt>
                <c:pt idx="49">
                  <c:v>5.0257899858075383E-2</c:v>
                </c:pt>
                <c:pt idx="50">
                  <c:v>-4.4431647082692427E-2</c:v>
                </c:pt>
                <c:pt idx="51">
                  <c:v>3.2703335332062711E-3</c:v>
                </c:pt>
                <c:pt idx="52">
                  <c:v>-2.5399225589560759E-2</c:v>
                </c:pt>
                <c:pt idx="53">
                  <c:v>4.267770647237179E-2</c:v>
                </c:pt>
                <c:pt idx="54">
                  <c:v>-6.6189794985777817E-2</c:v>
                </c:pt>
                <c:pt idx="55">
                  <c:v>-3.8563627225719266E-2</c:v>
                </c:pt>
                <c:pt idx="56">
                  <c:v>3.7483901418573495E-3</c:v>
                </c:pt>
                <c:pt idx="57">
                  <c:v>-2.1330742289604965E-2</c:v>
                </c:pt>
                <c:pt idx="58">
                  <c:v>-1.4040468962093655E-2</c:v>
                </c:pt>
                <c:pt idx="59">
                  <c:v>-8.5765221288131355E-2</c:v>
                </c:pt>
              </c:numCache>
            </c:numRef>
          </c:xVal>
          <c:yVal>
            <c:numRef>
              <c:f>'Cost of Capital'!$K$115:$K$174</c:f>
              <c:numCache>
                <c:formatCode>General</c:formatCode>
                <c:ptCount val="60"/>
                <c:pt idx="0">
                  <c:v>3.1681900693436724E-2</c:v>
                </c:pt>
                <c:pt idx="1">
                  <c:v>1.0090933373968889E-2</c:v>
                </c:pt>
                <c:pt idx="2">
                  <c:v>1.2544212249445446E-2</c:v>
                </c:pt>
                <c:pt idx="3">
                  <c:v>2.6660943203093566E-2</c:v>
                </c:pt>
                <c:pt idx="4">
                  <c:v>-4.586018246621016E-3</c:v>
                </c:pt>
                <c:pt idx="5">
                  <c:v>4.7584008872018316E-2</c:v>
                </c:pt>
                <c:pt idx="6">
                  <c:v>-1.4245798178928674E-2</c:v>
                </c:pt>
                <c:pt idx="7">
                  <c:v>-1.8425510881136916E-2</c:v>
                </c:pt>
                <c:pt idx="8">
                  <c:v>-2.519788690491024E-3</c:v>
                </c:pt>
                <c:pt idx="9">
                  <c:v>5.1183605679283359E-2</c:v>
                </c:pt>
                <c:pt idx="10">
                  <c:v>3.6529259876011896E-2</c:v>
                </c:pt>
                <c:pt idx="11">
                  <c:v>8.2290941916160817E-3</c:v>
                </c:pt>
                <c:pt idx="12">
                  <c:v>1.1203558016547748E-2</c:v>
                </c:pt>
                <c:pt idx="13">
                  <c:v>-5.4740700193720015E-5</c:v>
                </c:pt>
                <c:pt idx="14">
                  <c:v>-9.4373207277781354E-3</c:v>
                </c:pt>
                <c:pt idx="15">
                  <c:v>-5.9217988509701017E-2</c:v>
                </c:pt>
                <c:pt idx="16">
                  <c:v>-1.4051271203022738E-2</c:v>
                </c:pt>
                <c:pt idx="17">
                  <c:v>-4.3816386369946864E-2</c:v>
                </c:pt>
                <c:pt idx="18">
                  <c:v>7.7835481284695168E-2</c:v>
                </c:pt>
                <c:pt idx="19">
                  <c:v>3.3968604242328157E-2</c:v>
                </c:pt>
                <c:pt idx="20">
                  <c:v>5.6423769081419169E-3</c:v>
                </c:pt>
                <c:pt idx="21">
                  <c:v>4.5828960772252944E-2</c:v>
                </c:pt>
                <c:pt idx="22">
                  <c:v>-3.3994590419172049E-2</c:v>
                </c:pt>
                <c:pt idx="23">
                  <c:v>3.479660224560268E-2</c:v>
                </c:pt>
                <c:pt idx="24">
                  <c:v>1.9426686290045778E-2</c:v>
                </c:pt>
                <c:pt idx="25">
                  <c:v>-4.8672679311854775E-3</c:v>
                </c:pt>
                <c:pt idx="26">
                  <c:v>3.6862846223221023E-2</c:v>
                </c:pt>
                <c:pt idx="27">
                  <c:v>1.3200057457114812E-2</c:v>
                </c:pt>
                <c:pt idx="28">
                  <c:v>4.833409732932159E-2</c:v>
                </c:pt>
                <c:pt idx="29">
                  <c:v>6.0230316724968189E-2</c:v>
                </c:pt>
                <c:pt idx="30">
                  <c:v>-2.4733918751282048E-2</c:v>
                </c:pt>
                <c:pt idx="31">
                  <c:v>-7.6466795702740911E-2</c:v>
                </c:pt>
                <c:pt idx="32">
                  <c:v>-0.20908305300049929</c:v>
                </c:pt>
                <c:pt idx="33">
                  <c:v>9.8263846232338081E-2</c:v>
                </c:pt>
                <c:pt idx="34">
                  <c:v>4.4600079036027029E-2</c:v>
                </c:pt>
                <c:pt idx="35">
                  <c:v>1.3415381454245291E-2</c:v>
                </c:pt>
                <c:pt idx="36">
                  <c:v>-1.8966549402488955E-3</c:v>
                </c:pt>
                <c:pt idx="37">
                  <c:v>5.9317285552462962E-2</c:v>
                </c:pt>
                <c:pt idx="38">
                  <c:v>-1.7539008683900709E-2</c:v>
                </c:pt>
                <c:pt idx="39">
                  <c:v>3.1520356276011838E-3</c:v>
                </c:pt>
                <c:pt idx="40">
                  <c:v>0.13179372683449722</c:v>
                </c:pt>
                <c:pt idx="41">
                  <c:v>6.8327257955238807E-2</c:v>
                </c:pt>
                <c:pt idx="42">
                  <c:v>-3.6721064040852961E-3</c:v>
                </c:pt>
                <c:pt idx="43">
                  <c:v>4.2546213743525824E-2</c:v>
                </c:pt>
                <c:pt idx="44">
                  <c:v>3.7950816872664231E-2</c:v>
                </c:pt>
                <c:pt idx="45">
                  <c:v>5.42801624287296E-2</c:v>
                </c:pt>
                <c:pt idx="46">
                  <c:v>1.7224350867954007E-2</c:v>
                </c:pt>
                <c:pt idx="47">
                  <c:v>-4.5672526935308967E-3</c:v>
                </c:pt>
                <c:pt idx="48">
                  <c:v>3.4469592747346053E-2</c:v>
                </c:pt>
                <c:pt idx="49">
                  <c:v>5.9041831004722503E-2</c:v>
                </c:pt>
                <c:pt idx="50">
                  <c:v>-3.5316008808144103E-2</c:v>
                </c:pt>
                <c:pt idx="51">
                  <c:v>1.2218866910788554E-2</c:v>
                </c:pt>
                <c:pt idx="52">
                  <c:v>-1.6350259826123304E-2</c:v>
                </c:pt>
                <c:pt idx="53">
                  <c:v>5.1488191808558764E-2</c:v>
                </c:pt>
                <c:pt idx="54">
                  <c:v>-5.699793570286521E-2</c:v>
                </c:pt>
                <c:pt idx="55">
                  <c:v>-2.9468545222439631E-2</c:v>
                </c:pt>
                <c:pt idx="56">
                  <c:v>1.2695248838445234E-2</c:v>
                </c:pt>
                <c:pt idx="57">
                  <c:v>-1.2296028837578257E-2</c:v>
                </c:pt>
                <c:pt idx="58">
                  <c:v>-5.031294080112025E-3</c:v>
                </c:pt>
                <c:pt idx="59">
                  <c:v>-7.6504787292951335E-2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FB-4BCB-A753-976D9FA5A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73856"/>
        <c:axId val="591473440"/>
      </c:scatterChart>
      <c:valAx>
        <c:axId val="59147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 FTSE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473440"/>
        <c:crosses val="autoZero"/>
        <c:crossBetween val="midCat"/>
      </c:valAx>
      <c:valAx>
        <c:axId val="591473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 NCC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4738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'Cost of Capital'!$N$115:$N$174</c:f>
              <c:numCache>
                <c:formatCode>General</c:formatCode>
                <c:ptCount val="60"/>
                <c:pt idx="0">
                  <c:v>0.83333333333333337</c:v>
                </c:pt>
                <c:pt idx="1">
                  <c:v>2.5</c:v>
                </c:pt>
                <c:pt idx="2">
                  <c:v>4.166666666666667</c:v>
                </c:pt>
                <c:pt idx="3">
                  <c:v>5.833333333333333</c:v>
                </c:pt>
                <c:pt idx="4">
                  <c:v>7.5</c:v>
                </c:pt>
                <c:pt idx="5">
                  <c:v>9.1666666666666679</c:v>
                </c:pt>
                <c:pt idx="6">
                  <c:v>10.833333333333334</c:v>
                </c:pt>
                <c:pt idx="7">
                  <c:v>12.500000000000002</c:v>
                </c:pt>
                <c:pt idx="8">
                  <c:v>14.166666666666668</c:v>
                </c:pt>
                <c:pt idx="9">
                  <c:v>15.833333333333334</c:v>
                </c:pt>
                <c:pt idx="10">
                  <c:v>17.5</c:v>
                </c:pt>
                <c:pt idx="11">
                  <c:v>19.166666666666668</c:v>
                </c:pt>
                <c:pt idx="12">
                  <c:v>20.833333333333332</c:v>
                </c:pt>
                <c:pt idx="13">
                  <c:v>22.5</c:v>
                </c:pt>
                <c:pt idx="14">
                  <c:v>24.166666666666668</c:v>
                </c:pt>
                <c:pt idx="15">
                  <c:v>25.833333333333332</c:v>
                </c:pt>
                <c:pt idx="16">
                  <c:v>27.5</c:v>
                </c:pt>
                <c:pt idx="17">
                  <c:v>29.166666666666668</c:v>
                </c:pt>
                <c:pt idx="18">
                  <c:v>30.833333333333332</c:v>
                </c:pt>
                <c:pt idx="19">
                  <c:v>32.5</c:v>
                </c:pt>
                <c:pt idx="20">
                  <c:v>34.166666666666671</c:v>
                </c:pt>
                <c:pt idx="21">
                  <c:v>35.833333333333336</c:v>
                </c:pt>
                <c:pt idx="22">
                  <c:v>37.500000000000007</c:v>
                </c:pt>
                <c:pt idx="23">
                  <c:v>39.166666666666671</c:v>
                </c:pt>
                <c:pt idx="24">
                  <c:v>40.833333333333336</c:v>
                </c:pt>
                <c:pt idx="25">
                  <c:v>42.500000000000007</c:v>
                </c:pt>
                <c:pt idx="26">
                  <c:v>44.166666666666671</c:v>
                </c:pt>
                <c:pt idx="27">
                  <c:v>45.833333333333336</c:v>
                </c:pt>
                <c:pt idx="28">
                  <c:v>47.500000000000007</c:v>
                </c:pt>
                <c:pt idx="29">
                  <c:v>49.166666666666671</c:v>
                </c:pt>
                <c:pt idx="30">
                  <c:v>50.833333333333336</c:v>
                </c:pt>
                <c:pt idx="31">
                  <c:v>52.500000000000007</c:v>
                </c:pt>
                <c:pt idx="32">
                  <c:v>54.166666666666671</c:v>
                </c:pt>
                <c:pt idx="33">
                  <c:v>55.833333333333336</c:v>
                </c:pt>
                <c:pt idx="34">
                  <c:v>57.500000000000007</c:v>
                </c:pt>
                <c:pt idx="35">
                  <c:v>59.166666666666671</c:v>
                </c:pt>
                <c:pt idx="36">
                  <c:v>60.833333333333336</c:v>
                </c:pt>
                <c:pt idx="37">
                  <c:v>62.500000000000007</c:v>
                </c:pt>
                <c:pt idx="38">
                  <c:v>64.166666666666671</c:v>
                </c:pt>
                <c:pt idx="39">
                  <c:v>65.833333333333329</c:v>
                </c:pt>
                <c:pt idx="40">
                  <c:v>67.5</c:v>
                </c:pt>
                <c:pt idx="41">
                  <c:v>69.166666666666671</c:v>
                </c:pt>
                <c:pt idx="42">
                  <c:v>70.833333333333329</c:v>
                </c:pt>
                <c:pt idx="43">
                  <c:v>72.5</c:v>
                </c:pt>
                <c:pt idx="44">
                  <c:v>74.166666666666671</c:v>
                </c:pt>
                <c:pt idx="45">
                  <c:v>75.833333333333329</c:v>
                </c:pt>
                <c:pt idx="46">
                  <c:v>77.5</c:v>
                </c:pt>
                <c:pt idx="47">
                  <c:v>79.166666666666671</c:v>
                </c:pt>
                <c:pt idx="48">
                  <c:v>80.833333333333329</c:v>
                </c:pt>
                <c:pt idx="49">
                  <c:v>82.5</c:v>
                </c:pt>
                <c:pt idx="50">
                  <c:v>84.166666666666671</c:v>
                </c:pt>
                <c:pt idx="51">
                  <c:v>85.833333333333329</c:v>
                </c:pt>
                <c:pt idx="52">
                  <c:v>87.5</c:v>
                </c:pt>
                <c:pt idx="53">
                  <c:v>89.166666666666671</c:v>
                </c:pt>
                <c:pt idx="54">
                  <c:v>90.833333333333329</c:v>
                </c:pt>
                <c:pt idx="55">
                  <c:v>92.5</c:v>
                </c:pt>
                <c:pt idx="56">
                  <c:v>94.166666666666671</c:v>
                </c:pt>
                <c:pt idx="57">
                  <c:v>95.833333333333329</c:v>
                </c:pt>
                <c:pt idx="58">
                  <c:v>97.5</c:v>
                </c:pt>
                <c:pt idx="59">
                  <c:v>99.166666666666671</c:v>
                </c:pt>
              </c:numCache>
            </c:numRef>
          </c:xVal>
          <c:yVal>
            <c:numRef>
              <c:f>'Cost of Capital'!$O$115:$O$174</c:f>
              <c:numCache>
                <c:formatCode>General</c:formatCode>
                <c:ptCount val="60"/>
                <c:pt idx="0">
                  <c:v>-0.26697095421239925</c:v>
                </c:pt>
                <c:pt idx="1">
                  <c:v>-0.20433430332188141</c:v>
                </c:pt>
                <c:pt idx="2">
                  <c:v>-0.19478272755787229</c:v>
                </c:pt>
                <c:pt idx="3">
                  <c:v>-0.186295565293221</c:v>
                </c:pt>
                <c:pt idx="4">
                  <c:v>-0.14102557468999122</c:v>
                </c:pt>
                <c:pt idx="5">
                  <c:v>-0.12930237931792243</c:v>
                </c:pt>
                <c:pt idx="6">
                  <c:v>-9.0909161793178872E-2</c:v>
                </c:pt>
                <c:pt idx="7">
                  <c:v>-6.6967673401221339E-2</c:v>
                </c:pt>
                <c:pt idx="8">
                  <c:v>-6.6560080126807919E-2</c:v>
                </c:pt>
                <c:pt idx="9">
                  <c:v>-6.1199580930522357E-2</c:v>
                </c:pt>
                <c:pt idx="10">
                  <c:v>-5.3822889630332438E-2</c:v>
                </c:pt>
                <c:pt idx="11">
                  <c:v>-5.1546186792953308E-2</c:v>
                </c:pt>
                <c:pt idx="12">
                  <c:v>-4.7350586923699867E-2</c:v>
                </c:pt>
                <c:pt idx="13">
                  <c:v>-4.6563088435388589E-2</c:v>
                </c:pt>
                <c:pt idx="14">
                  <c:v>-4.4761077416416994E-2</c:v>
                </c:pt>
                <c:pt idx="15">
                  <c:v>-4.4372275861010557E-2</c:v>
                </c:pt>
                <c:pt idx="16">
                  <c:v>-4.2801547214106783E-2</c:v>
                </c:pt>
                <c:pt idx="17">
                  <c:v>-4.1237217442437912E-2</c:v>
                </c:pt>
                <c:pt idx="18">
                  <c:v>-3.6956632062409511E-2</c:v>
                </c:pt>
                <c:pt idx="19">
                  <c:v>-3.668854917695652E-2</c:v>
                </c:pt>
                <c:pt idx="20">
                  <c:v>-3.4883679960709624E-2</c:v>
                </c:pt>
                <c:pt idx="21">
                  <c:v>-3.3073911789790023E-2</c:v>
                </c:pt>
                <c:pt idx="22">
                  <c:v>-2.2222337254608759E-2</c:v>
                </c:pt>
                <c:pt idx="23">
                  <c:v>-1.9841279569397963E-2</c:v>
                </c:pt>
                <c:pt idx="24">
                  <c:v>-1.8955997942479041E-2</c:v>
                </c:pt>
                <c:pt idx="25">
                  <c:v>-1.5662574335652324E-2</c:v>
                </c:pt>
                <c:pt idx="26">
                  <c:v>-1.3590128750499253E-2</c:v>
                </c:pt>
                <c:pt idx="27">
                  <c:v>-1.2631477453109996E-2</c:v>
                </c:pt>
                <c:pt idx="28">
                  <c:v>-1.2077345254498772E-2</c:v>
                </c:pt>
                <c:pt idx="29">
                  <c:v>-1.1652011923160233E-2</c:v>
                </c:pt>
                <c:pt idx="30">
                  <c:v>-6.7567327299279389E-3</c:v>
                </c:pt>
                <c:pt idx="31">
                  <c:v>-3.6478501389759499E-3</c:v>
                </c:pt>
                <c:pt idx="32">
                  <c:v>-2.3836082729181696E-3</c:v>
                </c:pt>
                <c:pt idx="33">
                  <c:v>9.0991562191033992E-4</c:v>
                </c:pt>
                <c:pt idx="34">
                  <c:v>2.1904843822193598E-3</c:v>
                </c:pt>
                <c:pt idx="35">
                  <c:v>1.9650665626504304E-2</c:v>
                </c:pt>
                <c:pt idx="36">
                  <c:v>2.702696319289144E-2</c:v>
                </c:pt>
                <c:pt idx="37">
                  <c:v>3.7500047354833699E-2</c:v>
                </c:pt>
                <c:pt idx="38">
                  <c:v>4.5188784493200185E-2</c:v>
                </c:pt>
                <c:pt idx="39">
                  <c:v>5.2325623324334103E-2</c:v>
                </c:pt>
                <c:pt idx="40">
                  <c:v>5.6433471759512299E-2</c:v>
                </c:pt>
                <c:pt idx="41">
                  <c:v>6.2355702750549247E-2</c:v>
                </c:pt>
                <c:pt idx="42">
                  <c:v>6.2753078793837735E-2</c:v>
                </c:pt>
                <c:pt idx="43">
                  <c:v>6.5088832330501223E-2</c:v>
                </c:pt>
                <c:pt idx="44">
                  <c:v>6.9727793922897519E-2</c:v>
                </c:pt>
                <c:pt idx="45">
                  <c:v>7.3242136228529153E-2</c:v>
                </c:pt>
                <c:pt idx="46">
                  <c:v>8.1383459127483793E-2</c:v>
                </c:pt>
                <c:pt idx="47">
                  <c:v>9.0239369726484053E-2</c:v>
                </c:pt>
                <c:pt idx="48">
                  <c:v>9.2009490969366947E-2</c:v>
                </c:pt>
                <c:pt idx="49">
                  <c:v>9.3298816132658891E-2</c:v>
                </c:pt>
                <c:pt idx="50">
                  <c:v>9.4087222322381869E-2</c:v>
                </c:pt>
                <c:pt idx="51">
                  <c:v>0.10192122717777852</c:v>
                </c:pt>
                <c:pt idx="52">
                  <c:v>0.12958430435239388</c:v>
                </c:pt>
                <c:pt idx="53">
                  <c:v>0.15129439061572558</c:v>
                </c:pt>
                <c:pt idx="54">
                  <c:v>0.15645380832025579</c:v>
                </c:pt>
                <c:pt idx="55">
                  <c:v>0.17486343729931941</c:v>
                </c:pt>
                <c:pt idx="56">
                  <c:v>0.18349683226625602</c:v>
                </c:pt>
                <c:pt idx="57">
                  <c:v>0.18473300101898271</c:v>
                </c:pt>
                <c:pt idx="58">
                  <c:v>0.24714259520181425</c:v>
                </c:pt>
                <c:pt idx="59">
                  <c:v>0.28440363440741634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E-4D7E-9045-6D0EA329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631632"/>
        <c:axId val="581632464"/>
      </c:scatterChart>
      <c:valAx>
        <c:axId val="58163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632464"/>
        <c:crosses val="autoZero"/>
        <c:crossBetween val="midCat"/>
      </c:valAx>
      <c:valAx>
        <c:axId val="581632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 NCC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631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185737</xdr:colOff>
      <xdr:row>51</xdr:row>
      <xdr:rowOff>4762</xdr:rowOff>
    </xdr:from>
    <xdr:to>
      <xdr:col>15</xdr:col>
      <xdr:colOff>176212</xdr:colOff>
      <xdr:row>65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C2784D-713C-195C-7220-4F7962AA5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110</xdr:row>
      <xdr:rowOff>114300</xdr:rowOff>
    </xdr:from>
    <xdr:to>
      <xdr:col>22</xdr:col>
      <xdr:colOff>333375</xdr:colOff>
      <xdr:row>120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2C5EF-6D6A-43E4-8DB6-A84B427AF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122</xdr:row>
      <xdr:rowOff>9525</xdr:rowOff>
    </xdr:from>
    <xdr:to>
      <xdr:col>22</xdr:col>
      <xdr:colOff>390525</xdr:colOff>
      <xdr:row>132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8E9A41-691D-408B-9A22-C4BD78EA9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25</xdr:row>
      <xdr:rowOff>0</xdr:rowOff>
    </xdr:from>
    <xdr:to>
      <xdr:col>17</xdr:col>
      <xdr:colOff>22225</xdr:colOff>
      <xdr:row>27</xdr:row>
      <xdr:rowOff>169095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1">
              <a:extLst>
                <a:ext uri="{FF2B5EF4-FFF2-40B4-BE49-F238E27FC236}">
                  <a16:creationId xmlns:a16="http://schemas.microsoft.com/office/drawing/2014/main" id="{EB144EC5-D802-C140-A03F-BF96660C642C}"/>
                </a:ext>
              </a:extLst>
            </xdr:cNvPr>
            <xdr:cNvSpPr txBox="1"/>
          </xdr:nvSpPr>
          <xdr:spPr>
            <a:xfrm>
              <a:off x="11645900" y="4292600"/>
              <a:ext cx="3387725" cy="5246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Continuing</m:t>
                    </m:r>
                    <m:r>
                      <a:rPr lang="en-US" sz="1100" b="0" i="0">
                        <a:latin typeface="Cambria Math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Value</m:t>
                    </m:r>
                    <m:r>
                      <a:rPr lang="en-US" sz="1100" b="0" i="0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NOPLAT</m:t>
                        </m:r>
                        <m:r>
                          <m:rPr>
                            <m:nor/>
                          </m:rPr>
                          <a:rPr lang="en-US" sz="1100" i="1" baseline="-25000"/>
                          <m:t>t</m:t>
                        </m:r>
                        <m:r>
                          <m:rPr>
                            <m:nor/>
                          </m:rPr>
                          <a:rPr lang="en-US" sz="1100" i="1" baseline="-25000"/>
                          <m:t>+1</m:t>
                        </m:r>
                        <m:r>
                          <a:rPr lang="en-US" sz="1100" b="0" i="0">
                            <a:latin typeface="Cambria Math"/>
                          </a:rPr>
                          <m:t>(1−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</a:rPr>
                              <m:t>g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</a:rPr>
                              <m:t>RONIC</m:t>
                            </m:r>
                          </m:den>
                        </m:f>
                        <m:r>
                          <a:rPr lang="en-US" sz="1100" b="0" i="0">
                            <a:latin typeface="Cambria Math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WACC</m:t>
                        </m:r>
                        <m:r>
                          <a:rPr lang="en-US" sz="1100" b="0" i="0">
                            <a:latin typeface="Cambria Math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g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1">
              <a:extLst>
                <a:ext uri="{FF2B5EF4-FFF2-40B4-BE49-F238E27FC236}">
                  <a16:creationId xmlns:a16="http://schemas.microsoft.com/office/drawing/2014/main" id="{EB144EC5-D802-C140-A03F-BF96660C642C}"/>
                </a:ext>
              </a:extLst>
            </xdr:cNvPr>
            <xdr:cNvSpPr txBox="1"/>
          </xdr:nvSpPr>
          <xdr:spPr>
            <a:xfrm>
              <a:off x="11645900" y="4292600"/>
              <a:ext cx="3387725" cy="5246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/>
                </a:rPr>
                <a:t>Continuing Value=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NOPLAT</a:t>
              </a:r>
              <a:r>
                <a:rPr lang="en-US" sz="1100" b="0" i="0" baseline="-25000">
                  <a:latin typeface="Cambria Math"/>
                </a:rPr>
                <a:t>"</a:t>
              </a:r>
              <a:r>
                <a:rPr lang="en-US" sz="1100" i="0" baseline="-25000"/>
                <a:t>t+1</a:t>
              </a:r>
              <a:r>
                <a:rPr lang="en-US" sz="1100" b="0" i="0" baseline="-25000">
                  <a:latin typeface="Cambria Math"/>
                </a:rPr>
                <a:t>" </a:t>
              </a:r>
              <a:r>
                <a:rPr lang="en-US" sz="1100" b="0" i="0">
                  <a:latin typeface="Cambria Math"/>
                </a:rPr>
                <a:t>(1−g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/>
                </a:rPr>
                <a:t>RONIC)</a:t>
              </a:r>
              <a:r>
                <a:rPr lang="en-US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/>
                </a:rPr>
                <a:t>WACC−g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13</xdr:col>
      <xdr:colOff>0</xdr:colOff>
      <xdr:row>86</xdr:row>
      <xdr:rowOff>0</xdr:rowOff>
    </xdr:from>
    <xdr:to>
      <xdr:col>20</xdr:col>
      <xdr:colOff>317500</xdr:colOff>
      <xdr:row>89</xdr:row>
      <xdr:rowOff>101600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ct 18">
              <a:extLst>
                <a:ext uri="{FF2B5EF4-FFF2-40B4-BE49-F238E27FC236}">
                  <a16:creationId xmlns:a16="http://schemas.microsoft.com/office/drawing/2014/main" id="{E6458271-390A-4F4E-A7E2-4721391BBEAC}"/>
                </a:ext>
              </a:extLst>
            </xdr:cNvPr>
            <xdr:cNvSpPr txBox="1"/>
          </xdr:nvSpPr>
          <xdr:spPr>
            <a:xfrm>
              <a:off x="12471400" y="14681200"/>
              <a:ext cx="5029200" cy="635000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GB" i="0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PV</m:t>
                    </m:r>
                    <m:r>
                      <a:rPr lang="en-GB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nor/>
                      </m:rPr>
                      <a:rPr lang="en-GB" i="0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EconomicProfi</m:t>
                    </m:r>
                    <m:sSub>
                      <m:sSub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GB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t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GB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GB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NOPLA</m:t>
                        </m:r>
                        <m:sSub>
                          <m:sSubPr>
                            <m:ctrlP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GB" i="0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T</m:t>
                            </m:r>
                          </m:e>
                          <m:sub>
                            <m: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GB" i="0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d>
                          <m:dPr>
                            <m:ctrlP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n-GB" i="0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RONIC</m:t>
                                </m:r>
                              </m:den>
                            </m:f>
                          </m:e>
                        </m:d>
                        <m:d>
                          <m:dPr>
                            <m:ctrlP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nor/>
                              </m:rPr>
                              <a:rPr lang="en-GB" i="0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RONIC</m:t>
                            </m:r>
                            <m: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m:rPr>
                                <m:nor/>
                              </m:rPr>
                              <a:rPr lang="en-GB" i="0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WACC</m:t>
                            </m:r>
                          </m:e>
                        </m:d>
                      </m:num>
                      <m:den>
                        <m:r>
                          <m:rPr>
                            <m:nor/>
                          </m:rPr>
                          <a:rPr lang="en-GB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WACC</m:t>
                        </m:r>
                      </m:den>
                    </m:f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6" name="Object 18">
              <a:extLst>
                <a:ext uri="{FF2B5EF4-FFF2-40B4-BE49-F238E27FC236}">
                  <a16:creationId xmlns:a16="http://schemas.microsoft.com/office/drawing/2014/main" id="{E6458271-390A-4F4E-A7E2-4721391BBEAC}"/>
                </a:ext>
              </a:extLst>
            </xdr:cNvPr>
            <xdr:cNvSpPr txBox="1"/>
          </xdr:nvSpPr>
          <xdr:spPr>
            <a:xfrm>
              <a:off x="12471400" y="14681200"/>
              <a:ext cx="5029200" cy="635000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"PV"("EconomicProfi" "t" _(𝑡+2))=("NOPLA" "T" _(𝑡+1) (𝑔/"RONIC" )("RONIC" −"WACC" ))/"WACC" </a:t>
              </a:r>
              <a:endParaRPr lang="en-GB"/>
            </a:p>
          </xdr:txBody>
        </xdr:sp>
      </mc:Fallback>
    </mc:AlternateContent>
    <xdr:clientData/>
  </xdr:twoCellAnchor>
  <xdr:twoCellAnchor>
    <xdr:from>
      <xdr:col>13</xdr:col>
      <xdr:colOff>0</xdr:colOff>
      <xdr:row>79</xdr:row>
      <xdr:rowOff>0</xdr:rowOff>
    </xdr:from>
    <xdr:to>
      <xdr:col>18</xdr:col>
      <xdr:colOff>379165</xdr:colOff>
      <xdr:row>81</xdr:row>
      <xdr:rowOff>94908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19">
              <a:extLst>
                <a:ext uri="{FF2B5EF4-FFF2-40B4-BE49-F238E27FC236}">
                  <a16:creationId xmlns:a16="http://schemas.microsoft.com/office/drawing/2014/main" id="{658ABBC9-012A-EF48-A25F-FD6021B62313}"/>
                </a:ext>
              </a:extLst>
            </xdr:cNvPr>
            <xdr:cNvSpPr txBox="1"/>
          </xdr:nvSpPr>
          <xdr:spPr>
            <a:xfrm>
              <a:off x="12471400" y="13436600"/>
              <a:ext cx="3744665" cy="450508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GB" i="0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C</m:t>
                    </m:r>
                    <m:sSub>
                      <m:sSub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GB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GB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GB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I</m:t>
                        </m:r>
                        <m:sSub>
                          <m:sSubPr>
                            <m:ctrlP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GB" i="0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C</m:t>
                            </m:r>
                          </m:e>
                          <m:sub>
                            <m: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d>
                          <m:dPr>
                            <m:ctrlP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nor/>
                              </m:rPr>
                              <a:rPr lang="en-GB" i="0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ROI</m:t>
                            </m:r>
                            <m:sSub>
                              <m:sSubPr>
                                <m:ctrlPr>
                                  <a:rPr lang="en-GB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nor/>
                                  </m:rPr>
                                  <a:rPr lang="en-GB" i="0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C</m:t>
                                </m:r>
                              </m:e>
                              <m:sub>
                                <m:r>
                                  <a:rPr lang="en-GB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  <m:r>
                                  <a:rPr lang="en-GB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en-GB" i="0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GB" i="0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m:rPr>
                                <m:nor/>
                              </m:rPr>
                              <a:rPr lang="en-GB" i="0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GB" i="0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WACC</m:t>
                            </m:r>
                          </m:e>
                        </m:d>
                      </m:num>
                      <m:den>
                        <m:r>
                          <m:rPr>
                            <m:nor/>
                          </m:rPr>
                          <a:rPr lang="en-GB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WACC</m:t>
                        </m:r>
                      </m:den>
                    </m:f>
                    <m:r>
                      <a:rPr lang="en-GB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GB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PV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en-GB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Economic</m:t>
                        </m:r>
                        <m:r>
                          <m:rPr>
                            <m:nor/>
                          </m:rPr>
                          <a:rPr lang="en-GB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GB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Profi</m:t>
                        </m:r>
                        <m:sSub>
                          <m:sSubPr>
                            <m:ctrlP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GB" i="0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t</m:t>
                            </m:r>
                          </m:e>
                          <m:sub>
                            <m: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GB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GB" i="0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m:rPr>
                            <m:nor/>
                          </m:rPr>
                          <a:rPr lang="en-GB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WACC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</m:oMath>
                </m:oMathPara>
              </a14:m>
              <a:endParaRPr lang="en-GB"/>
            </a:p>
          </xdr:txBody>
        </xdr:sp>
      </mc:Choice>
      <mc:Fallback xmlns="">
        <xdr:sp macro="" textlink="">
          <xdr:nvSpPr>
            <xdr:cNvPr id="7" name="Object 19">
              <a:extLst>
                <a:ext uri="{FF2B5EF4-FFF2-40B4-BE49-F238E27FC236}">
                  <a16:creationId xmlns:a16="http://schemas.microsoft.com/office/drawing/2014/main" id="{658ABBC9-012A-EF48-A25F-FD6021B62313}"/>
                </a:ext>
              </a:extLst>
            </xdr:cNvPr>
            <xdr:cNvSpPr txBox="1"/>
          </xdr:nvSpPr>
          <xdr:spPr>
            <a:xfrm>
              <a:off x="12471400" y="13436600"/>
              <a:ext cx="3744665" cy="450508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GB" i="0">
                  <a:solidFill>
                    <a:srgbClr val="000000"/>
                  </a:solidFill>
                  <a:latin typeface="Cambria Math" panose="02040503050406030204" pitchFamily="18" charset="0"/>
                </a:rPr>
                <a:t>"C" "V" _𝑡=("I" "C" _𝑡 ("ROI" "C" _(𝑡+1)  −" WACC" ))/"WACC" +("PV" ("Economic Profi" "t" _(𝑡+2)))/("WACC" −𝑔)</a:t>
              </a:r>
              <a:endParaRPr lang="en-GB"/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st/Desktop/FinMgt/Corporate%20performance/DCF%20Valuation%20Model_20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bdullateefgrillo/Downloads/Maybaker%20Model_n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ullacuk-my.sharepoint.com/adir.hull.ac.uk/home/723/723133/Desktop/Damodaran%20rating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al Data"/>
      <sheetName val="Forecast Drivers"/>
      <sheetName val="Results"/>
      <sheetName val="Valuation Summary"/>
    </sheetNames>
    <sheetDataSet>
      <sheetData sheetId="0">
        <row r="84">
          <cell r="D84" t="str">
            <v>OK</v>
          </cell>
        </row>
      </sheetData>
      <sheetData sheetId="1">
        <row r="5">
          <cell r="A5" t="str">
            <v xml:space="preserve">EUR  </v>
          </cell>
        </row>
        <row r="9">
          <cell r="D9" t="str">
            <v>Base case</v>
          </cell>
        </row>
        <row r="10">
          <cell r="D10">
            <v>41639</v>
          </cell>
        </row>
        <row r="12">
          <cell r="D12">
            <v>46752</v>
          </cell>
        </row>
        <row r="13">
          <cell r="D13">
            <v>50770</v>
          </cell>
        </row>
        <row r="14">
          <cell r="D14" t="str">
            <v>EUR</v>
          </cell>
        </row>
        <row r="15">
          <cell r="D15">
            <v>1000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31"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6"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72"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8">
          <cell r="F78" t="str">
            <v>NA</v>
          </cell>
          <cell r="G78" t="str">
            <v>NA</v>
          </cell>
          <cell r="H78" t="str">
            <v>NA</v>
          </cell>
          <cell r="I78" t="str">
            <v>NA</v>
          </cell>
          <cell r="J78" t="str">
            <v>NA</v>
          </cell>
          <cell r="K78" t="str">
            <v>NA</v>
          </cell>
          <cell r="L78" t="str">
            <v>NA</v>
          </cell>
          <cell r="M78" t="str">
            <v>NA</v>
          </cell>
          <cell r="N78" t="str">
            <v>NA</v>
          </cell>
        </row>
        <row r="82"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D85">
            <v>0</v>
          </cell>
        </row>
        <row r="89"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D92">
            <v>0</v>
          </cell>
        </row>
        <row r="96">
          <cell r="F96" t="str">
            <v>NA</v>
          </cell>
          <cell r="G96" t="str">
            <v>NA</v>
          </cell>
          <cell r="H96" t="str">
            <v>NA</v>
          </cell>
          <cell r="I96" t="str">
            <v>NA</v>
          </cell>
          <cell r="J96" t="str">
            <v>NA</v>
          </cell>
          <cell r="K96" t="str">
            <v>NA</v>
          </cell>
          <cell r="L96" t="str">
            <v>NA</v>
          </cell>
          <cell r="M96" t="str">
            <v>NA</v>
          </cell>
          <cell r="N96" t="str">
            <v>NA</v>
          </cell>
        </row>
        <row r="97"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101">
          <cell r="F101" t="str">
            <v>NA</v>
          </cell>
          <cell r="G101" t="str">
            <v>NA</v>
          </cell>
          <cell r="H101" t="str">
            <v>NA</v>
          </cell>
          <cell r="I101" t="str">
            <v>NA</v>
          </cell>
          <cell r="J101" t="str">
            <v>NA</v>
          </cell>
          <cell r="K101" t="str">
            <v>NA</v>
          </cell>
          <cell r="L101" t="str">
            <v>NA</v>
          </cell>
          <cell r="M101" t="str">
            <v>NA</v>
          </cell>
          <cell r="N101" t="str">
            <v>NA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6">
          <cell r="F106" t="str">
            <v>NA</v>
          </cell>
          <cell r="G106" t="str">
            <v>NA</v>
          </cell>
          <cell r="H106" t="str">
            <v>NA</v>
          </cell>
          <cell r="I106" t="str">
            <v>NA</v>
          </cell>
          <cell r="J106" t="str">
            <v>NA</v>
          </cell>
          <cell r="K106" t="str">
            <v>NA</v>
          </cell>
          <cell r="L106" t="str">
            <v>NA</v>
          </cell>
          <cell r="M106" t="str">
            <v>NA</v>
          </cell>
          <cell r="N106" t="str">
            <v>NA</v>
          </cell>
        </row>
        <row r="107"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11">
          <cell r="F111" t="str">
            <v>NA</v>
          </cell>
          <cell r="G111" t="str">
            <v>NA</v>
          </cell>
          <cell r="H111" t="str">
            <v>NA</v>
          </cell>
          <cell r="I111" t="str">
            <v>NA</v>
          </cell>
          <cell r="J111" t="str">
            <v>NA</v>
          </cell>
          <cell r="K111" t="str">
            <v>NA</v>
          </cell>
          <cell r="L111" t="str">
            <v>NA</v>
          </cell>
          <cell r="M111" t="str">
            <v>NA</v>
          </cell>
          <cell r="N111" t="str">
            <v>NA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5"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</row>
        <row r="118"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22">
          <cell r="F122" t="str">
            <v>NA</v>
          </cell>
          <cell r="G122" t="str">
            <v>NA</v>
          </cell>
          <cell r="H122" t="str">
            <v>NA</v>
          </cell>
          <cell r="I122" t="str">
            <v>NA</v>
          </cell>
          <cell r="J122" t="str">
            <v>NA</v>
          </cell>
          <cell r="K122" t="str">
            <v>NA</v>
          </cell>
          <cell r="L122" t="str">
            <v>NA</v>
          </cell>
          <cell r="M122" t="str">
            <v>NA</v>
          </cell>
          <cell r="N122" t="str">
            <v>NA</v>
          </cell>
        </row>
        <row r="123"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8"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F129" t="str">
            <v>NA</v>
          </cell>
          <cell r="G129" t="str">
            <v>NA</v>
          </cell>
          <cell r="H129" t="str">
            <v>NA</v>
          </cell>
          <cell r="I129" t="str">
            <v>NA</v>
          </cell>
          <cell r="J129" t="str">
            <v>NA</v>
          </cell>
          <cell r="K129" t="str">
            <v>NA</v>
          </cell>
          <cell r="L129" t="str">
            <v>NA</v>
          </cell>
          <cell r="M129" t="str">
            <v>NA</v>
          </cell>
          <cell r="N129" t="str">
            <v>NA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1"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53"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5"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7"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60"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5">
          <cell r="F165" t="str">
            <v>NA</v>
          </cell>
          <cell r="G165" t="str">
            <v>NA</v>
          </cell>
          <cell r="H165" t="str">
            <v>NA</v>
          </cell>
          <cell r="I165" t="str">
            <v>NA</v>
          </cell>
          <cell r="J165" t="str">
            <v>NA</v>
          </cell>
          <cell r="K165" t="str">
            <v>NA</v>
          </cell>
          <cell r="L165" t="str">
            <v>NA</v>
          </cell>
          <cell r="M165" t="str">
            <v>NA</v>
          </cell>
          <cell r="N165" t="str">
            <v>NA</v>
          </cell>
        </row>
        <row r="166"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70"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6"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9"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F180" t="str">
            <v>NA</v>
          </cell>
          <cell r="G180" t="str">
            <v>NA</v>
          </cell>
          <cell r="H180" t="str">
            <v>NA</v>
          </cell>
          <cell r="I180" t="str">
            <v>NA</v>
          </cell>
          <cell r="J180" t="str">
            <v>NA</v>
          </cell>
          <cell r="K180" t="str">
            <v>NA</v>
          </cell>
          <cell r="L180" t="str">
            <v>NA</v>
          </cell>
          <cell r="M180" t="str">
            <v>NA</v>
          </cell>
          <cell r="N180" t="str">
            <v>NA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</row>
        <row r="186"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99"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2"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5"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4"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9"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</row>
        <row r="233"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</row>
        <row r="238"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</row>
        <row r="241"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</row>
        <row r="250"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2">
          <cell r="N252">
            <v>0</v>
          </cell>
        </row>
        <row r="255"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</row>
        <row r="261"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9"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</row>
        <row r="273"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</row>
        <row r="275"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94"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</row>
        <row r="297"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</row>
        <row r="300"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</row>
        <row r="307"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</row>
        <row r="310"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</row>
        <row r="311"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</row>
        <row r="321">
          <cell r="D321">
            <v>0</v>
          </cell>
        </row>
        <row r="329">
          <cell r="D329">
            <v>12</v>
          </cell>
        </row>
        <row r="330">
          <cell r="D330">
            <v>1</v>
          </cell>
        </row>
        <row r="336">
          <cell r="E336">
            <v>41639</v>
          </cell>
          <cell r="F336">
            <v>42004</v>
          </cell>
          <cell r="G336">
            <v>42369</v>
          </cell>
          <cell r="H336">
            <v>42735</v>
          </cell>
          <cell r="I336">
            <v>43100</v>
          </cell>
          <cell r="J336">
            <v>43465</v>
          </cell>
          <cell r="K336">
            <v>43830</v>
          </cell>
          <cell r="L336">
            <v>44196</v>
          </cell>
          <cell r="M336">
            <v>44561</v>
          </cell>
          <cell r="N336">
            <v>44926</v>
          </cell>
          <cell r="O336">
            <v>45291</v>
          </cell>
          <cell r="P336">
            <v>45657</v>
          </cell>
          <cell r="Q336">
            <v>46022</v>
          </cell>
          <cell r="R336">
            <v>46387</v>
          </cell>
          <cell r="S336">
            <v>46752</v>
          </cell>
          <cell r="T336">
            <v>47118</v>
          </cell>
          <cell r="U336">
            <v>47483</v>
          </cell>
          <cell r="V336">
            <v>47848</v>
          </cell>
          <cell r="W336">
            <v>48213</v>
          </cell>
          <cell r="X336">
            <v>48579</v>
          </cell>
          <cell r="Y336">
            <v>48944</v>
          </cell>
          <cell r="Z336">
            <v>49309</v>
          </cell>
          <cell r="AA336">
            <v>49674</v>
          </cell>
          <cell r="AB336">
            <v>50040</v>
          </cell>
          <cell r="AC336">
            <v>50405</v>
          </cell>
          <cell r="AD336">
            <v>50770</v>
          </cell>
        </row>
        <row r="337">
          <cell r="F337">
            <v>1</v>
          </cell>
          <cell r="G337">
            <v>2</v>
          </cell>
          <cell r="H337">
            <v>3</v>
          </cell>
          <cell r="I337">
            <v>4</v>
          </cell>
          <cell r="J337">
            <v>5</v>
          </cell>
          <cell r="K337">
            <v>6</v>
          </cell>
          <cell r="L337">
            <v>7</v>
          </cell>
          <cell r="M337">
            <v>8</v>
          </cell>
          <cell r="N337">
            <v>9</v>
          </cell>
          <cell r="O337">
            <v>10</v>
          </cell>
          <cell r="P337">
            <v>11</v>
          </cell>
          <cell r="Q337">
            <v>12</v>
          </cell>
          <cell r="R337">
            <v>13</v>
          </cell>
          <cell r="S337">
            <v>14</v>
          </cell>
          <cell r="T337">
            <v>15</v>
          </cell>
          <cell r="U337">
            <v>16</v>
          </cell>
          <cell r="V337">
            <v>17</v>
          </cell>
          <cell r="W337">
            <v>18</v>
          </cell>
          <cell r="X337">
            <v>19</v>
          </cell>
          <cell r="Y337">
            <v>20</v>
          </cell>
          <cell r="Z337">
            <v>21</v>
          </cell>
          <cell r="AA337">
            <v>22</v>
          </cell>
          <cell r="AB337">
            <v>23</v>
          </cell>
          <cell r="AC337">
            <v>24</v>
          </cell>
          <cell r="AD337">
            <v>25</v>
          </cell>
        </row>
        <row r="338"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1</v>
          </cell>
        </row>
        <row r="340">
          <cell r="E340">
            <v>10</v>
          </cell>
        </row>
        <row r="341">
          <cell r="D341">
            <v>6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eneral Information"/>
      <sheetName val="Annual Historicals"/>
      <sheetName val="Projections"/>
      <sheetName val="Key ratios"/>
      <sheetName val="Calculations"/>
      <sheetName val="Rough work"/>
      <sheetName val="Income statements- Cand G"/>
      <sheetName val="Fin Position- Cand G (2)"/>
      <sheetName val="Earnings update sheet"/>
      <sheetName val="Template"/>
    </sheetNames>
    <sheetDataSet>
      <sheetData sheetId="0" refreshError="1"/>
      <sheetData sheetId="1" refreshError="1">
        <row r="10">
          <cell r="E10" t="str">
            <v>May and Baker Nigeria Plc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 Ratings sheet"/>
      <sheetName val="Operating Leases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29">
          <cell r="C29">
            <v>177.01444854799513</v>
          </cell>
        </row>
        <row r="32">
          <cell r="F32">
            <v>57.298555145200488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7DBC99-1D66-4884-A510-B669C50AB9D4}" name="Table1" displayName="Table1" ref="A458:M554" totalsRowShown="0" dataDxfId="14" tableBorderDxfId="13">
  <autoFilter ref="A458:M554" xr:uid="{D82C2EBC-460C-4C56-AF9E-8A66866F6454}"/>
  <tableColumns count="13">
    <tableColumn id="1" xr3:uid="{00000000-0010-0000-0100-000001000000}" name="Industry Name" dataDxfId="12"/>
    <tableColumn id="2" xr3:uid="{00000000-0010-0000-0100-000002000000}" name="Number of firms" dataDxfId="11"/>
    <tableColumn id="3" xr3:uid="{00000000-0010-0000-0100-000003000000}" name="Book Debt to Capital" dataDxfId="10"/>
    <tableColumn id="4" xr3:uid="{00000000-0010-0000-0100-000004000000}" name="Market Debt to Capital (Unadjusted)" dataDxfId="9"/>
    <tableColumn id="5" xr3:uid="{00000000-0010-0000-0100-000005000000}" name="Market D/E (unadjusted)" dataDxfId="8"/>
    <tableColumn id="6" xr3:uid="{00000000-0010-0000-0100-000006000000}" name="Market Debt to Capital (adjusted for leases)" dataDxfId="7"/>
    <tableColumn id="7" xr3:uid="{00000000-0010-0000-0100-000007000000}" name="Market D/E (adjusted for leases)" dataDxfId="6"/>
    <tableColumn id="8" xr3:uid="{00000000-0010-0000-0100-000008000000}" name="Effective tax rate" dataDxfId="5"/>
    <tableColumn id="9" xr3:uid="{00000000-0010-0000-0100-000009000000}" name="Institutional Holdings" dataDxfId="4"/>
    <tableColumn id="10" xr3:uid="{00000000-0010-0000-0100-00000A000000}" name="Std dev in Stock Prices" dataDxfId="3"/>
    <tableColumn id="11" xr3:uid="{00000000-0010-0000-0100-00000B000000}" name="EBITDA/EV" dataDxfId="2"/>
    <tableColumn id="12" xr3:uid="{00000000-0010-0000-0100-00000C000000}" name="Net PP&amp;E/Total Assets" dataDxfId="1"/>
    <tableColumn id="13" xr3:uid="{00000000-0010-0000-0100-00000D000000}" name="Capital Spending/Total Asse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tradingeconomics.com/united-kingdom/rating" TargetMode="External"/><Relationship Id="rId2" Type="http://schemas.openxmlformats.org/officeDocument/2006/relationships/hyperlink" Target="https://pages.stern.nyu.edu/~adamodar/New_Home_Page/dataarchived.html" TargetMode="External"/><Relationship Id="rId1" Type="http://schemas.openxmlformats.org/officeDocument/2006/relationships/hyperlink" Target="https://pages.stern.nyu.edu/~adamodar/New_Home_Page/datacurrent.html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pages.stern.nyu.edu/~adamodar/New_Home_Page/datafile/ctryprem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www.stern.nyu.edu/~adamodar/New_Home_Page/data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damodaran.com/" TargetMode="External"/><Relationship Id="rId1" Type="http://schemas.openxmlformats.org/officeDocument/2006/relationships/hyperlink" Target="mailto:adamodar@stern.nyu.edu?subject=Data%20on%20website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stern.nyu.edu/~adamodar/New_Home_Page/datafile/variable.htm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://www.stern.nyu.edu/~adamodar/pc/datasets/indname.xls" TargetMode="External"/><Relationship Id="rId9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4E06-4E29-4A0E-A6BA-24451F1B36B0}">
  <dimension ref="D3:M19"/>
  <sheetViews>
    <sheetView showGridLines="0" topLeftCell="A3" workbookViewId="0">
      <selection activeCell="M19" sqref="M19"/>
    </sheetView>
  </sheetViews>
  <sheetFormatPr baseColWidth="10" defaultColWidth="9.1640625" defaultRowHeight="16"/>
  <cols>
    <col min="1" max="2" width="9.1640625" style="539"/>
    <col min="3" max="3" width="15.5" style="539" customWidth="1"/>
    <col min="4" max="4" width="18.33203125" style="539" customWidth="1"/>
    <col min="5" max="12" width="9.1640625" style="539"/>
    <col min="13" max="13" width="44.1640625" style="539" bestFit="1" customWidth="1"/>
    <col min="14" max="16384" width="9.1640625" style="539"/>
  </cols>
  <sheetData>
    <row r="3" spans="4:13" ht="23">
      <c r="D3" s="540"/>
      <c r="E3" s="540"/>
      <c r="J3" s="540" t="s">
        <v>2666</v>
      </c>
    </row>
    <row r="5" spans="4:13" ht="18">
      <c r="F5" s="543"/>
      <c r="H5" s="541" t="s">
        <v>2667</v>
      </c>
      <c r="I5" s="542"/>
      <c r="M5" s="539" t="s">
        <v>2676</v>
      </c>
    </row>
    <row r="6" spans="4:13" ht="18">
      <c r="F6" s="543"/>
      <c r="H6" s="541"/>
      <c r="I6" s="543"/>
    </row>
    <row r="7" spans="4:13" ht="18">
      <c r="F7" s="543"/>
      <c r="H7" s="541" t="s">
        <v>2668</v>
      </c>
      <c r="I7" s="543"/>
      <c r="M7" s="544">
        <v>700836</v>
      </c>
    </row>
    <row r="8" spans="4:13" ht="18">
      <c r="F8" s="543"/>
      <c r="H8" s="541"/>
      <c r="I8" s="543"/>
    </row>
    <row r="9" spans="4:13" ht="18">
      <c r="F9" s="543"/>
      <c r="H9" s="541" t="s">
        <v>2669</v>
      </c>
      <c r="I9" s="543"/>
    </row>
    <row r="10" spans="4:13" ht="18">
      <c r="F10" s="543"/>
      <c r="H10" s="541"/>
      <c r="I10" s="543"/>
    </row>
    <row r="11" spans="4:13" ht="18">
      <c r="F11" s="543"/>
      <c r="H11" s="541" t="s">
        <v>2670</v>
      </c>
      <c r="I11" s="543"/>
      <c r="M11" s="539" t="s">
        <v>2677</v>
      </c>
    </row>
    <row r="12" spans="4:13" ht="18">
      <c r="F12" s="543"/>
      <c r="H12" s="541"/>
      <c r="I12" s="543"/>
    </row>
    <row r="13" spans="4:13" ht="18">
      <c r="F13" s="543"/>
      <c r="H13" s="541" t="s">
        <v>2671</v>
      </c>
      <c r="I13" s="543"/>
      <c r="M13" s="539" t="s">
        <v>2678</v>
      </c>
    </row>
    <row r="14" spans="4:13" ht="18">
      <c r="F14" s="543"/>
      <c r="H14" s="541"/>
      <c r="I14" s="543"/>
    </row>
    <row r="15" spans="4:13" ht="18">
      <c r="F15" s="543"/>
      <c r="H15" s="541" t="s">
        <v>2672</v>
      </c>
      <c r="I15" s="543"/>
      <c r="M15" s="539" t="s">
        <v>2679</v>
      </c>
    </row>
    <row r="16" spans="4:13" ht="18">
      <c r="F16" s="543"/>
      <c r="H16" s="541"/>
      <c r="I16" s="543"/>
    </row>
    <row r="17" spans="6:13" ht="18">
      <c r="F17" s="543"/>
      <c r="H17" s="541" t="s">
        <v>2673</v>
      </c>
      <c r="I17" s="543"/>
      <c r="M17" s="539" t="s">
        <v>2674</v>
      </c>
    </row>
    <row r="18" spans="6:13" ht="18">
      <c r="F18" s="543"/>
      <c r="H18" s="541"/>
      <c r="I18" s="543"/>
    </row>
    <row r="19" spans="6:13" ht="18">
      <c r="F19" s="543"/>
      <c r="H19" s="541" t="s">
        <v>2675</v>
      </c>
      <c r="I19" s="543"/>
      <c r="M19" s="545">
        <v>202224594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96C0-5872-44B7-9BB1-B0BC83DE2814}">
  <dimension ref="A1:N266"/>
  <sheetViews>
    <sheetView workbookViewId="0">
      <selection activeCell="L2" sqref="L2"/>
    </sheetView>
  </sheetViews>
  <sheetFormatPr baseColWidth="10" defaultColWidth="8.83203125" defaultRowHeight="15"/>
  <sheetData>
    <row r="1" spans="1:14">
      <c r="A1" s="507" t="s">
        <v>700</v>
      </c>
      <c r="B1" s="507" t="s">
        <v>849</v>
      </c>
      <c r="C1" s="507" t="s">
        <v>2655</v>
      </c>
      <c r="D1" s="507"/>
      <c r="E1" s="507">
        <v>100</v>
      </c>
      <c r="F1" s="507"/>
      <c r="G1" s="507"/>
      <c r="H1" s="507"/>
      <c r="I1" s="507"/>
      <c r="J1" s="507"/>
      <c r="K1" s="507" t="s">
        <v>2656</v>
      </c>
      <c r="L1" s="507"/>
      <c r="M1" s="507"/>
      <c r="N1" s="507"/>
    </row>
    <row r="2" spans="1:14">
      <c r="A2" s="309">
        <v>44713</v>
      </c>
      <c r="B2" s="310">
        <v>18666.78</v>
      </c>
      <c r="C2">
        <v>2.2400000000000002</v>
      </c>
      <c r="E2">
        <f t="shared" ref="E2:E65" si="0">B2/B3-1</f>
        <v>-8.5766200818397587E-2</v>
      </c>
      <c r="F2">
        <f t="shared" ref="F2:F65" si="1">E2*$E$1</f>
        <v>-8.5766200818397582</v>
      </c>
      <c r="H2">
        <f t="shared" ref="H2:H65" si="2">F2-C2</f>
        <v>-10.816620081839758</v>
      </c>
      <c r="K2">
        <v>1.3680000000000001</v>
      </c>
      <c r="L2" s="380">
        <f>K2/100</f>
        <v>1.3680000000000001E-2</v>
      </c>
      <c r="N2">
        <f>F2-K2</f>
        <v>-9.9446200818397585</v>
      </c>
    </row>
    <row r="3" spans="1:14">
      <c r="A3" s="309">
        <v>44682</v>
      </c>
      <c r="B3" s="310">
        <v>20417.95</v>
      </c>
      <c r="C3">
        <v>2.1</v>
      </c>
      <c r="E3">
        <f t="shared" si="0"/>
        <v>-1.4040468962093655E-2</v>
      </c>
      <c r="F3">
        <f t="shared" si="1"/>
        <v>-1.4040468962093655</v>
      </c>
      <c r="H3">
        <f t="shared" si="2"/>
        <v>-3.5040468962093656</v>
      </c>
      <c r="K3">
        <v>1.127</v>
      </c>
      <c r="L3" s="380">
        <f t="shared" ref="L3:L66" si="3">K3/100</f>
        <v>1.1270000000000001E-2</v>
      </c>
      <c r="N3">
        <f t="shared" ref="N3:N66" si="4">F3-K3</f>
        <v>-2.5310468962093653</v>
      </c>
    </row>
    <row r="4" spans="1:14">
      <c r="A4" s="309">
        <v>44652</v>
      </c>
      <c r="B4" s="310">
        <v>20708.71</v>
      </c>
      <c r="C4">
        <v>1.909</v>
      </c>
      <c r="E4">
        <f t="shared" si="0"/>
        <v>-2.1330742289604965E-2</v>
      </c>
      <c r="F4">
        <f t="shared" si="1"/>
        <v>-2.1330742289604965</v>
      </c>
      <c r="H4">
        <f t="shared" si="2"/>
        <v>-4.0420742289604963</v>
      </c>
      <c r="K4">
        <v>0.93500000000000005</v>
      </c>
      <c r="L4" s="380">
        <f t="shared" si="3"/>
        <v>9.3500000000000007E-3</v>
      </c>
      <c r="N4">
        <f t="shared" si="4"/>
        <v>-3.0680742289604965</v>
      </c>
    </row>
    <row r="5" spans="1:14">
      <c r="A5" s="309">
        <v>44621</v>
      </c>
      <c r="B5" s="310">
        <v>21160.07</v>
      </c>
      <c r="C5">
        <v>1.607</v>
      </c>
      <c r="E5">
        <f t="shared" si="0"/>
        <v>3.7483901418573495E-3</v>
      </c>
      <c r="F5">
        <f t="shared" si="1"/>
        <v>0.37483901418573495</v>
      </c>
      <c r="H5">
        <f t="shared" si="2"/>
        <v>-1.232160985814265</v>
      </c>
      <c r="K5">
        <v>0.54700000000000004</v>
      </c>
      <c r="L5" s="380">
        <f t="shared" si="3"/>
        <v>5.47E-3</v>
      </c>
      <c r="N5">
        <f t="shared" si="4"/>
        <v>-0.17216098581426509</v>
      </c>
    </row>
    <row r="6" spans="1:14">
      <c r="A6" s="309">
        <v>44593</v>
      </c>
      <c r="B6" s="310">
        <v>21081.05</v>
      </c>
      <c r="C6">
        <v>1.415</v>
      </c>
      <c r="E6">
        <f t="shared" si="0"/>
        <v>-3.8563627225719266E-2</v>
      </c>
      <c r="F6">
        <f t="shared" si="1"/>
        <v>-3.8563627225719266</v>
      </c>
      <c r="H6">
        <f t="shared" si="2"/>
        <v>-5.2713627225719266</v>
      </c>
      <c r="K6">
        <v>0.159</v>
      </c>
      <c r="L6" s="380">
        <f t="shared" si="3"/>
        <v>1.5900000000000001E-3</v>
      </c>
      <c r="N6">
        <f t="shared" si="4"/>
        <v>-4.0153627225719264</v>
      </c>
    </row>
    <row r="7" spans="1:14">
      <c r="A7" s="309">
        <v>44562</v>
      </c>
      <c r="B7" s="310">
        <v>21926.62</v>
      </c>
      <c r="C7">
        <v>1.3089999999999999</v>
      </c>
      <c r="E7">
        <f t="shared" si="0"/>
        <v>-6.6189794985777817E-2</v>
      </c>
      <c r="F7">
        <f t="shared" si="1"/>
        <v>-6.6189794985777812</v>
      </c>
      <c r="H7">
        <f t="shared" si="2"/>
        <v>-7.9279794985777814</v>
      </c>
      <c r="K7">
        <v>1.4E-2</v>
      </c>
      <c r="L7" s="380">
        <f t="shared" si="3"/>
        <v>1.4000000000000001E-4</v>
      </c>
      <c r="N7">
        <f t="shared" si="4"/>
        <v>-6.6329794985777815</v>
      </c>
    </row>
    <row r="8" spans="1:14">
      <c r="A8" s="309">
        <v>44531</v>
      </c>
      <c r="B8" s="310">
        <v>23480.81</v>
      </c>
      <c r="C8">
        <v>0.97199999999999998</v>
      </c>
      <c r="E8">
        <f t="shared" si="0"/>
        <v>4.267770647237179E-2</v>
      </c>
      <c r="F8">
        <f t="shared" si="1"/>
        <v>4.267770647237179</v>
      </c>
      <c r="H8">
        <f t="shared" si="2"/>
        <v>3.2957706472371791</v>
      </c>
      <c r="K8">
        <v>-0.17899999999999999</v>
      </c>
      <c r="L8" s="380">
        <f t="shared" si="3"/>
        <v>-1.7899999999999999E-3</v>
      </c>
      <c r="N8">
        <f t="shared" si="4"/>
        <v>4.4467706472371793</v>
      </c>
    </row>
    <row r="9" spans="1:14">
      <c r="A9" s="309">
        <v>44501</v>
      </c>
      <c r="B9" s="310">
        <v>22519.72</v>
      </c>
      <c r="C9">
        <v>0.81100000000000005</v>
      </c>
      <c r="E9">
        <f t="shared" si="0"/>
        <v>-2.5399225589560759E-2</v>
      </c>
      <c r="F9">
        <f t="shared" si="1"/>
        <v>-2.5399225589560759</v>
      </c>
      <c r="H9">
        <f t="shared" si="2"/>
        <v>-3.3509225589560758</v>
      </c>
      <c r="K9">
        <v>-0.34300000000000003</v>
      </c>
      <c r="L9" s="380">
        <f t="shared" si="3"/>
        <v>-3.4300000000000003E-3</v>
      </c>
      <c r="N9">
        <f t="shared" si="4"/>
        <v>-2.1969225589560759</v>
      </c>
    </row>
    <row r="10" spans="1:14">
      <c r="A10" s="309">
        <v>44470</v>
      </c>
      <c r="B10" s="310">
        <v>23106.61</v>
      </c>
      <c r="C10">
        <v>1.032</v>
      </c>
      <c r="E10">
        <f t="shared" si="0"/>
        <v>3.2703335332062711E-3</v>
      </c>
      <c r="F10">
        <f t="shared" si="1"/>
        <v>0.32703335332062711</v>
      </c>
      <c r="H10">
        <f t="shared" si="2"/>
        <v>-0.70496664667937292</v>
      </c>
      <c r="K10">
        <v>-9.4E-2</v>
      </c>
      <c r="L10" s="380">
        <f t="shared" si="3"/>
        <v>-9.3999999999999997E-4</v>
      </c>
      <c r="N10">
        <f t="shared" si="4"/>
        <v>0.42103335332062708</v>
      </c>
    </row>
    <row r="11" spans="1:14">
      <c r="A11" s="309">
        <v>44440</v>
      </c>
      <c r="B11" s="310">
        <v>23031.29</v>
      </c>
      <c r="C11">
        <v>1.022</v>
      </c>
      <c r="E11">
        <f t="shared" si="0"/>
        <v>-4.4431647082692427E-2</v>
      </c>
      <c r="F11">
        <f t="shared" si="1"/>
        <v>-4.4431647082692427</v>
      </c>
      <c r="H11">
        <f t="shared" si="2"/>
        <v>-5.4651647082692429</v>
      </c>
      <c r="K11">
        <v>-0.191</v>
      </c>
      <c r="L11" s="380">
        <f t="shared" si="3"/>
        <v>-1.91E-3</v>
      </c>
      <c r="N11">
        <f t="shared" si="4"/>
        <v>-4.2521647082692429</v>
      </c>
    </row>
    <row r="12" spans="1:14">
      <c r="A12" s="309">
        <v>44409</v>
      </c>
      <c r="B12" s="310">
        <v>24102.19</v>
      </c>
      <c r="C12">
        <v>0.622</v>
      </c>
      <c r="E12">
        <f t="shared" si="0"/>
        <v>5.0257899858075383E-2</v>
      </c>
      <c r="F12">
        <f t="shared" si="1"/>
        <v>5.0257899858075383</v>
      </c>
      <c r="H12">
        <f t="shared" si="2"/>
        <v>4.4037899858075384</v>
      </c>
      <c r="K12">
        <v>-0.38</v>
      </c>
      <c r="L12" s="380">
        <f t="shared" si="3"/>
        <v>-3.8E-3</v>
      </c>
      <c r="N12">
        <f t="shared" si="4"/>
        <v>5.4057899858075382</v>
      </c>
    </row>
    <row r="13" spans="1:14">
      <c r="A13" s="309">
        <v>44378</v>
      </c>
      <c r="B13" s="310">
        <v>22948.83</v>
      </c>
      <c r="C13">
        <v>0.56599999999999995</v>
      </c>
      <c r="E13">
        <f t="shared" si="0"/>
        <v>2.5599279943439468E-2</v>
      </c>
      <c r="F13">
        <f t="shared" si="1"/>
        <v>2.5599279943439468</v>
      </c>
      <c r="H13">
        <f t="shared" si="2"/>
        <v>1.993927994343947</v>
      </c>
      <c r="K13">
        <v>-0.45800000000000002</v>
      </c>
      <c r="L13" s="380">
        <f t="shared" si="3"/>
        <v>-4.5799999999999999E-3</v>
      </c>
      <c r="N13">
        <f t="shared" si="4"/>
        <v>3.017927994343947</v>
      </c>
    </row>
    <row r="14" spans="1:14">
      <c r="A14" s="309">
        <v>44348</v>
      </c>
      <c r="B14" s="310">
        <v>22376.02</v>
      </c>
      <c r="C14">
        <v>0.71799999999999997</v>
      </c>
      <c r="E14">
        <f t="shared" si="0"/>
        <v>-1.3574796276662582E-2</v>
      </c>
      <c r="F14">
        <f t="shared" si="1"/>
        <v>-1.3574796276662582</v>
      </c>
      <c r="H14">
        <f t="shared" si="2"/>
        <v>-2.0754796276662582</v>
      </c>
      <c r="K14">
        <v>-0.20300000000000001</v>
      </c>
      <c r="L14" s="380">
        <f t="shared" si="3"/>
        <v>-2.0300000000000001E-3</v>
      </c>
      <c r="N14">
        <f t="shared" si="4"/>
        <v>-1.1544796276662581</v>
      </c>
    </row>
    <row r="15" spans="1:14">
      <c r="A15" s="309">
        <v>44317</v>
      </c>
      <c r="B15" s="310">
        <v>22683.95</v>
      </c>
      <c r="C15">
        <v>0.79600000000000004</v>
      </c>
      <c r="E15">
        <f t="shared" si="0"/>
        <v>8.2934138523749201E-3</v>
      </c>
      <c r="F15">
        <f t="shared" si="1"/>
        <v>0.82934138523749201</v>
      </c>
      <c r="H15">
        <f t="shared" si="2"/>
        <v>3.3341385237491972E-2</v>
      </c>
      <c r="K15">
        <v>-0.183</v>
      </c>
      <c r="L15" s="380">
        <f t="shared" si="3"/>
        <v>-1.83E-3</v>
      </c>
      <c r="N15">
        <f t="shared" si="4"/>
        <v>1.0123413852374921</v>
      </c>
    </row>
    <row r="16" spans="1:14">
      <c r="A16" s="309">
        <v>44287</v>
      </c>
      <c r="B16" s="310">
        <v>22497.37</v>
      </c>
      <c r="C16">
        <v>0.84299999999999997</v>
      </c>
      <c r="E16">
        <f t="shared" si="0"/>
        <v>4.547949203274726E-2</v>
      </c>
      <c r="F16">
        <f t="shared" si="1"/>
        <v>4.547949203274726</v>
      </c>
      <c r="H16">
        <f t="shared" si="2"/>
        <v>3.704949203274726</v>
      </c>
      <c r="K16">
        <v>-0.2</v>
      </c>
      <c r="L16" s="380">
        <f t="shared" si="3"/>
        <v>-2E-3</v>
      </c>
      <c r="N16">
        <f t="shared" si="4"/>
        <v>4.7479492032747261</v>
      </c>
    </row>
    <row r="17" spans="1:14">
      <c r="A17" s="309">
        <v>44256</v>
      </c>
      <c r="B17" s="310">
        <v>21518.71</v>
      </c>
      <c r="C17">
        <v>0.84599999999999997</v>
      </c>
      <c r="E17">
        <f t="shared" si="0"/>
        <v>2.9092742022259754E-2</v>
      </c>
      <c r="F17">
        <f t="shared" si="1"/>
        <v>2.9092742022259754</v>
      </c>
      <c r="H17">
        <f t="shared" si="2"/>
        <v>2.0632742022259754</v>
      </c>
      <c r="K17">
        <v>-0.29199999999999998</v>
      </c>
      <c r="L17" s="380">
        <f t="shared" si="3"/>
        <v>-2.9199999999999999E-3</v>
      </c>
      <c r="N17">
        <f t="shared" si="4"/>
        <v>3.2012742022259753</v>
      </c>
    </row>
    <row r="18" spans="1:14">
      <c r="A18" s="309">
        <v>44228</v>
      </c>
      <c r="B18" s="310">
        <v>20910.37</v>
      </c>
      <c r="C18">
        <v>0.82299999999999995</v>
      </c>
      <c r="E18">
        <f t="shared" si="0"/>
        <v>3.3704293628123994E-2</v>
      </c>
      <c r="F18">
        <f t="shared" si="1"/>
        <v>3.3704293628123994</v>
      </c>
      <c r="H18">
        <f t="shared" si="2"/>
        <v>2.5474293628123994</v>
      </c>
      <c r="K18">
        <v>-0.25700000000000001</v>
      </c>
      <c r="L18" s="380">
        <f t="shared" si="3"/>
        <v>-2.5700000000000002E-3</v>
      </c>
      <c r="N18">
        <f t="shared" si="4"/>
        <v>3.6274293628123995</v>
      </c>
    </row>
    <row r="19" spans="1:14">
      <c r="A19" s="309">
        <v>44197</v>
      </c>
      <c r="B19" s="310">
        <v>20228.580000000002</v>
      </c>
      <c r="C19">
        <v>0.32900000000000001</v>
      </c>
      <c r="E19">
        <f t="shared" si="0"/>
        <v>-1.2676503174982701E-2</v>
      </c>
      <c r="F19">
        <f t="shared" si="1"/>
        <v>-1.2676503174982701</v>
      </c>
      <c r="H19">
        <f t="shared" si="2"/>
        <v>-1.59665031749827</v>
      </c>
      <c r="K19">
        <v>-0.52</v>
      </c>
      <c r="L19" s="380">
        <f t="shared" si="3"/>
        <v>-5.1999999999999998E-3</v>
      </c>
      <c r="N19">
        <f t="shared" si="4"/>
        <v>-0.74765031749827005</v>
      </c>
    </row>
    <row r="20" spans="1:14">
      <c r="A20" s="309">
        <v>44166</v>
      </c>
      <c r="B20" s="310">
        <v>20488.3</v>
      </c>
      <c r="C20">
        <v>0.19600000000000001</v>
      </c>
      <c r="E20">
        <f t="shared" si="0"/>
        <v>5.9575968953761604E-2</v>
      </c>
      <c r="F20">
        <f t="shared" si="1"/>
        <v>5.9575968953761604</v>
      </c>
      <c r="H20">
        <f t="shared" si="2"/>
        <v>5.7615968953761607</v>
      </c>
      <c r="K20">
        <v>-0.57499999999999996</v>
      </c>
      <c r="L20" s="380">
        <f t="shared" si="3"/>
        <v>-5.7499999999999999E-3</v>
      </c>
      <c r="N20">
        <f t="shared" si="4"/>
        <v>6.5325968953761606</v>
      </c>
    </row>
    <row r="21" spans="1:14">
      <c r="A21" s="309">
        <v>44136</v>
      </c>
      <c r="B21" s="310">
        <v>19336.32</v>
      </c>
      <c r="C21">
        <v>0.30599999999999999</v>
      </c>
      <c r="E21">
        <f t="shared" si="0"/>
        <v>0.12326554891898511</v>
      </c>
      <c r="F21">
        <f t="shared" si="1"/>
        <v>12.32655489189851</v>
      </c>
      <c r="H21">
        <f t="shared" si="2"/>
        <v>12.020554891898511</v>
      </c>
      <c r="K21">
        <v>-0.57099999999999995</v>
      </c>
      <c r="L21" s="380">
        <f t="shared" si="3"/>
        <v>-5.7099999999999998E-3</v>
      </c>
      <c r="N21">
        <f t="shared" si="4"/>
        <v>12.89755489189851</v>
      </c>
    </row>
    <row r="22" spans="1:14">
      <c r="A22" s="309">
        <v>44105</v>
      </c>
      <c r="B22" s="310">
        <v>17214.38</v>
      </c>
      <c r="C22">
        <v>0.26300000000000001</v>
      </c>
      <c r="E22">
        <f t="shared" si="0"/>
        <v>-5.8283714402868059E-3</v>
      </c>
      <c r="F22">
        <f t="shared" si="1"/>
        <v>-0.58283714402868059</v>
      </c>
      <c r="H22">
        <f t="shared" si="2"/>
        <v>-0.8458371440286806</v>
      </c>
      <c r="K22">
        <v>-0.625</v>
      </c>
      <c r="L22" s="380">
        <f t="shared" si="3"/>
        <v>-6.2500000000000003E-3</v>
      </c>
      <c r="N22">
        <f t="shared" si="4"/>
        <v>4.2162855971319413E-2</v>
      </c>
    </row>
    <row r="23" spans="1:14">
      <c r="A23" s="309">
        <v>44075</v>
      </c>
      <c r="B23" s="310">
        <v>17315.3</v>
      </c>
      <c r="C23">
        <v>0.23200000000000001</v>
      </c>
      <c r="E23">
        <f t="shared" si="0"/>
        <v>-2.6592153394950691E-2</v>
      </c>
      <c r="F23">
        <f t="shared" si="1"/>
        <v>-2.6592153394950691</v>
      </c>
      <c r="H23">
        <f t="shared" si="2"/>
        <v>-2.8912153394950693</v>
      </c>
      <c r="K23">
        <v>-0.52100000000000002</v>
      </c>
      <c r="L23" s="380">
        <f t="shared" si="3"/>
        <v>-5.2100000000000002E-3</v>
      </c>
      <c r="N23">
        <f t="shared" si="4"/>
        <v>-2.1382153394950691</v>
      </c>
    </row>
    <row r="24" spans="1:14">
      <c r="A24" s="309">
        <v>44044</v>
      </c>
      <c r="B24" s="310">
        <v>17788.330000000002</v>
      </c>
      <c r="C24">
        <v>0.313</v>
      </c>
      <c r="E24">
        <f t="shared" si="0"/>
        <v>5.0534322743339022E-2</v>
      </c>
      <c r="F24">
        <f t="shared" si="1"/>
        <v>5.0534322743339022</v>
      </c>
      <c r="H24">
        <f t="shared" si="2"/>
        <v>4.7404322743339025</v>
      </c>
      <c r="K24">
        <v>-0.39800000000000002</v>
      </c>
      <c r="L24" s="380">
        <f t="shared" si="3"/>
        <v>-3.98E-3</v>
      </c>
      <c r="N24">
        <f t="shared" si="4"/>
        <v>5.4514322743339019</v>
      </c>
    </row>
    <row r="25" spans="1:14">
      <c r="A25" s="309">
        <v>44013</v>
      </c>
      <c r="B25" s="310">
        <v>16932.650000000001</v>
      </c>
      <c r="C25">
        <v>0.105</v>
      </c>
      <c r="E25">
        <f t="shared" si="0"/>
        <v>-1.0894810259381771E-2</v>
      </c>
      <c r="F25">
        <f t="shared" si="1"/>
        <v>-1.0894810259381771</v>
      </c>
      <c r="H25">
        <f t="shared" si="2"/>
        <v>-1.1944810259381771</v>
      </c>
      <c r="K25">
        <v>-0.53100000000000003</v>
      </c>
      <c r="L25" s="380">
        <f t="shared" si="3"/>
        <v>-5.3100000000000005E-3</v>
      </c>
      <c r="N25">
        <f t="shared" si="4"/>
        <v>-0.55848102593817706</v>
      </c>
    </row>
    <row r="26" spans="1:14">
      <c r="A26" s="309">
        <v>43983</v>
      </c>
      <c r="B26" s="310">
        <v>17119.16</v>
      </c>
      <c r="C26">
        <v>0.17199999999999999</v>
      </c>
      <c r="E26">
        <f t="shared" si="0"/>
        <v>4.4710543238968281E-3</v>
      </c>
      <c r="F26">
        <f t="shared" si="1"/>
        <v>0.44710543238968281</v>
      </c>
      <c r="H26">
        <f t="shared" si="2"/>
        <v>0.27510543238968282</v>
      </c>
      <c r="K26">
        <v>-0.45300000000000001</v>
      </c>
      <c r="L26" s="380">
        <f t="shared" si="3"/>
        <v>-4.5300000000000002E-3</v>
      </c>
      <c r="N26">
        <f t="shared" si="4"/>
        <v>0.90010543238968288</v>
      </c>
    </row>
    <row r="27" spans="1:14">
      <c r="A27" s="309">
        <v>43952</v>
      </c>
      <c r="B27" s="310">
        <v>17042.96</v>
      </c>
      <c r="C27">
        <v>0.185</v>
      </c>
      <c r="E27">
        <f t="shared" si="0"/>
        <v>3.5765379113018581E-2</v>
      </c>
      <c r="F27">
        <f t="shared" si="1"/>
        <v>3.5765379113018581</v>
      </c>
      <c r="H27">
        <f t="shared" si="2"/>
        <v>3.391537911301858</v>
      </c>
      <c r="K27">
        <v>-0.44800000000000001</v>
      </c>
      <c r="L27" s="380">
        <f t="shared" si="3"/>
        <v>-4.4800000000000005E-3</v>
      </c>
      <c r="N27">
        <f t="shared" si="4"/>
        <v>4.0245379113018585</v>
      </c>
    </row>
    <row r="28" spans="1:14">
      <c r="A28" s="309">
        <v>43922</v>
      </c>
      <c r="B28" s="310">
        <v>16454.46</v>
      </c>
      <c r="C28">
        <v>0.22700000000000001</v>
      </c>
      <c r="E28">
        <f t="shared" si="0"/>
        <v>8.9617796813880712E-2</v>
      </c>
      <c r="F28">
        <f t="shared" si="1"/>
        <v>8.9617796813880712</v>
      </c>
      <c r="H28">
        <f t="shared" si="2"/>
        <v>8.7347796813880709</v>
      </c>
      <c r="K28">
        <v>-0.58899999999999997</v>
      </c>
      <c r="L28" s="380">
        <f t="shared" si="3"/>
        <v>-5.8899999999999994E-3</v>
      </c>
      <c r="N28">
        <f t="shared" si="4"/>
        <v>9.5507796813880717</v>
      </c>
    </row>
    <row r="29" spans="1:14">
      <c r="A29" s="309">
        <v>43891</v>
      </c>
      <c r="B29" s="310">
        <v>15101.13</v>
      </c>
      <c r="C29">
        <v>0.35499999999999998</v>
      </c>
      <c r="E29">
        <f t="shared" si="0"/>
        <v>-0.218809554847881</v>
      </c>
      <c r="F29">
        <f t="shared" si="1"/>
        <v>-21.8809554847881</v>
      </c>
      <c r="H29">
        <f t="shared" si="2"/>
        <v>-22.2359554847881</v>
      </c>
      <c r="K29">
        <v>-0.46899999999999997</v>
      </c>
      <c r="L29" s="380">
        <f t="shared" si="3"/>
        <v>-4.6899999999999997E-3</v>
      </c>
      <c r="N29">
        <f t="shared" si="4"/>
        <v>-21.411955484788098</v>
      </c>
    </row>
    <row r="30" spans="1:14">
      <c r="A30" s="309">
        <v>43862</v>
      </c>
      <c r="B30" s="310">
        <v>19330.919999999998</v>
      </c>
      <c r="C30">
        <v>0.44</v>
      </c>
      <c r="E30">
        <f t="shared" si="0"/>
        <v>-8.5727096141649417E-2</v>
      </c>
      <c r="F30">
        <f t="shared" si="1"/>
        <v>-8.5727096141649426</v>
      </c>
      <c r="H30">
        <f t="shared" si="2"/>
        <v>-9.0127096141649421</v>
      </c>
      <c r="K30">
        <v>-0.60799999999999998</v>
      </c>
      <c r="L30" s="380">
        <f t="shared" si="3"/>
        <v>-6.0799999999999995E-3</v>
      </c>
      <c r="N30">
        <f t="shared" si="4"/>
        <v>-7.9647096141649429</v>
      </c>
    </row>
    <row r="31" spans="1:14">
      <c r="A31" s="309">
        <v>43831</v>
      </c>
      <c r="B31" s="310">
        <v>21143.49</v>
      </c>
      <c r="C31">
        <v>0.52600000000000002</v>
      </c>
      <c r="E31">
        <f t="shared" si="0"/>
        <v>-3.3812356569493995E-2</v>
      </c>
      <c r="F31">
        <f t="shared" si="1"/>
        <v>-3.3812356569493995</v>
      </c>
      <c r="H31">
        <f t="shared" si="2"/>
        <v>-3.9072356569493998</v>
      </c>
      <c r="K31">
        <v>-0.434</v>
      </c>
      <c r="L31" s="380">
        <f t="shared" si="3"/>
        <v>-4.3400000000000001E-3</v>
      </c>
      <c r="N31">
        <f t="shared" si="4"/>
        <v>-2.9472356569493994</v>
      </c>
    </row>
    <row r="32" spans="1:14">
      <c r="A32" s="309">
        <v>43800</v>
      </c>
      <c r="B32" s="310">
        <v>21883.42</v>
      </c>
      <c r="C32">
        <v>0.82499999999999996</v>
      </c>
      <c r="E32">
        <f t="shared" si="0"/>
        <v>5.1450563600895505E-2</v>
      </c>
      <c r="F32">
        <f t="shared" si="1"/>
        <v>5.1450563600895505</v>
      </c>
      <c r="H32">
        <f t="shared" si="2"/>
        <v>4.3200563600895503</v>
      </c>
      <c r="K32">
        <v>-0.187</v>
      </c>
      <c r="L32" s="380">
        <f t="shared" si="3"/>
        <v>-1.8699999999999999E-3</v>
      </c>
      <c r="N32">
        <f t="shared" si="4"/>
        <v>5.3320563600895508</v>
      </c>
    </row>
    <row r="33" spans="1:14">
      <c r="A33" s="309">
        <v>43770</v>
      </c>
      <c r="B33" s="310">
        <v>20812.599999999999</v>
      </c>
      <c r="C33">
        <v>0.7</v>
      </c>
      <c r="E33">
        <f t="shared" si="0"/>
        <v>3.9512524036660501E-2</v>
      </c>
      <c r="F33">
        <f t="shared" si="1"/>
        <v>3.9512524036660501</v>
      </c>
      <c r="H33">
        <f t="shared" si="2"/>
        <v>3.25125240366605</v>
      </c>
      <c r="K33">
        <v>-0.36</v>
      </c>
      <c r="L33" s="380">
        <f t="shared" si="3"/>
        <v>-3.5999999999999999E-3</v>
      </c>
      <c r="N33">
        <f t="shared" si="4"/>
        <v>4.3112524036660504</v>
      </c>
    </row>
    <row r="34" spans="1:14">
      <c r="A34" s="309">
        <v>43739</v>
      </c>
      <c r="B34" s="310">
        <v>20021.5</v>
      </c>
      <c r="C34">
        <v>0.63100000000000001</v>
      </c>
      <c r="E34">
        <f t="shared" si="0"/>
        <v>4.2549733731862549E-3</v>
      </c>
      <c r="F34">
        <f t="shared" si="1"/>
        <v>0.42549733731862549</v>
      </c>
      <c r="H34">
        <f t="shared" si="2"/>
        <v>-0.20550266268137451</v>
      </c>
      <c r="K34">
        <v>-0.40300000000000002</v>
      </c>
      <c r="L34" s="380">
        <f t="shared" si="3"/>
        <v>-4.0300000000000006E-3</v>
      </c>
      <c r="N34">
        <f t="shared" si="4"/>
        <v>0.82849733731862552</v>
      </c>
    </row>
    <row r="35" spans="1:14">
      <c r="A35" s="309">
        <v>43709</v>
      </c>
      <c r="B35" s="310">
        <v>19936.669999999998</v>
      </c>
      <c r="C35">
        <v>0.48599999999999999</v>
      </c>
      <c r="E35">
        <f t="shared" si="0"/>
        <v>2.800094670260278E-2</v>
      </c>
      <c r="F35">
        <f t="shared" si="1"/>
        <v>2.800094670260278</v>
      </c>
      <c r="H35">
        <f t="shared" si="2"/>
        <v>2.3140946702602783</v>
      </c>
      <c r="K35">
        <v>-0.57199999999999995</v>
      </c>
      <c r="L35" s="380">
        <f t="shared" si="3"/>
        <v>-5.7199999999999994E-3</v>
      </c>
      <c r="N35">
        <f t="shared" si="4"/>
        <v>3.3720946702602781</v>
      </c>
    </row>
    <row r="36" spans="1:14">
      <c r="A36" s="309">
        <v>43678</v>
      </c>
      <c r="B36" s="310">
        <v>19393.63</v>
      </c>
      <c r="C36">
        <v>0.47899999999999998</v>
      </c>
      <c r="E36">
        <f t="shared" si="0"/>
        <v>-1.3875866192900377E-2</v>
      </c>
      <c r="F36">
        <f t="shared" si="1"/>
        <v>-1.3875866192900377</v>
      </c>
      <c r="H36">
        <f t="shared" si="2"/>
        <v>-1.8665866192900378</v>
      </c>
      <c r="K36">
        <v>-0.70299999999999996</v>
      </c>
      <c r="L36" s="380">
        <f t="shared" si="3"/>
        <v>-7.0299999999999998E-3</v>
      </c>
      <c r="N36">
        <f t="shared" si="4"/>
        <v>-0.68458661929003772</v>
      </c>
    </row>
    <row r="37" spans="1:14">
      <c r="A37" s="309">
        <v>43647</v>
      </c>
      <c r="B37" s="310">
        <v>19666.52</v>
      </c>
      <c r="C37">
        <v>0.60899999999999999</v>
      </c>
      <c r="E37">
        <f t="shared" si="0"/>
        <v>1.0503491401236298E-2</v>
      </c>
      <c r="F37">
        <f t="shared" si="1"/>
        <v>1.0503491401236298</v>
      </c>
      <c r="H37">
        <f t="shared" si="2"/>
        <v>0.4413491401236298</v>
      </c>
      <c r="K37">
        <v>-0.442</v>
      </c>
      <c r="L37" s="380">
        <f t="shared" si="3"/>
        <v>-4.4200000000000003E-3</v>
      </c>
      <c r="N37">
        <f t="shared" si="4"/>
        <v>1.4923491401236297</v>
      </c>
    </row>
    <row r="38" spans="1:14">
      <c r="A38" s="309">
        <v>43617</v>
      </c>
      <c r="B38" s="310">
        <v>19462.099999999999</v>
      </c>
      <c r="C38">
        <v>0.83199999999999996</v>
      </c>
      <c r="E38">
        <f t="shared" si="0"/>
        <v>2.5927439016354414E-2</v>
      </c>
      <c r="F38">
        <f t="shared" si="1"/>
        <v>2.5927439016354414</v>
      </c>
      <c r="H38">
        <f t="shared" si="2"/>
        <v>1.7607439016354416</v>
      </c>
      <c r="K38">
        <v>-0.32800000000000001</v>
      </c>
      <c r="L38" s="380">
        <f t="shared" si="3"/>
        <v>-3.2799999999999999E-3</v>
      </c>
      <c r="N38">
        <f t="shared" si="4"/>
        <v>2.9207439016354413</v>
      </c>
    </row>
    <row r="39" spans="1:14">
      <c r="A39" s="309">
        <v>43586</v>
      </c>
      <c r="B39" s="310">
        <v>18970.25</v>
      </c>
      <c r="C39">
        <v>0.88800000000000001</v>
      </c>
      <c r="E39">
        <f t="shared" si="0"/>
        <v>-4.310558335741943E-2</v>
      </c>
      <c r="F39">
        <f t="shared" si="1"/>
        <v>-4.310558335741943</v>
      </c>
      <c r="H39">
        <f t="shared" si="2"/>
        <v>-5.1985583357419429</v>
      </c>
      <c r="K39">
        <v>-0.20300000000000001</v>
      </c>
      <c r="L39" s="380">
        <f t="shared" si="3"/>
        <v>-2.0300000000000001E-3</v>
      </c>
      <c r="N39">
        <f t="shared" si="4"/>
        <v>-4.1075583357419427</v>
      </c>
    </row>
    <row r="40" spans="1:14">
      <c r="A40" s="309">
        <v>43556</v>
      </c>
      <c r="B40" s="310">
        <v>19824.810000000001</v>
      </c>
      <c r="C40">
        <v>1.1859999999999999</v>
      </c>
      <c r="E40">
        <f t="shared" si="0"/>
        <v>3.6998580880649001E-2</v>
      </c>
      <c r="F40">
        <f t="shared" si="1"/>
        <v>3.6998580880649001</v>
      </c>
      <c r="H40">
        <f t="shared" si="2"/>
        <v>2.5138580880649002</v>
      </c>
      <c r="K40">
        <v>1.2999999999999999E-2</v>
      </c>
      <c r="L40" s="380">
        <f t="shared" si="3"/>
        <v>1.2999999999999999E-4</v>
      </c>
      <c r="N40">
        <f t="shared" si="4"/>
        <v>3.6868580880649002</v>
      </c>
    </row>
    <row r="41" spans="1:14">
      <c r="A41" s="309">
        <v>43525</v>
      </c>
      <c r="B41" s="310">
        <v>19117.490000000002</v>
      </c>
      <c r="C41">
        <v>0.996</v>
      </c>
      <c r="E41">
        <f t="shared" si="0"/>
        <v>-3.3292755723657308E-3</v>
      </c>
      <c r="F41">
        <f t="shared" si="1"/>
        <v>-0.33292755723657308</v>
      </c>
      <c r="H41">
        <f t="shared" si="2"/>
        <v>-1.3289275572365731</v>
      </c>
      <c r="K41">
        <v>-7.0999999999999994E-2</v>
      </c>
      <c r="L41" s="380">
        <f t="shared" si="3"/>
        <v>-7.0999999999999991E-4</v>
      </c>
      <c r="N41">
        <f t="shared" si="4"/>
        <v>-0.26192755723657307</v>
      </c>
    </row>
    <row r="42" spans="1:14">
      <c r="A42" s="309">
        <v>43497</v>
      </c>
      <c r="B42" s="310">
        <v>19181.349999999999</v>
      </c>
      <c r="C42">
        <v>1.3029999999999999</v>
      </c>
      <c r="E42">
        <f t="shared" si="0"/>
        <v>2.5096530255053651E-2</v>
      </c>
      <c r="F42">
        <f t="shared" si="1"/>
        <v>2.5096530255053651</v>
      </c>
      <c r="H42">
        <f t="shared" si="2"/>
        <v>1.2066530255053651</v>
      </c>
      <c r="K42">
        <v>0.182</v>
      </c>
      <c r="L42" s="380">
        <f t="shared" si="3"/>
        <v>1.82E-3</v>
      </c>
      <c r="N42">
        <f t="shared" si="4"/>
        <v>2.3276530255053651</v>
      </c>
    </row>
    <row r="43" spans="1:14">
      <c r="A43" s="309">
        <v>43466</v>
      </c>
      <c r="B43" s="310">
        <v>18711.75</v>
      </c>
      <c r="C43">
        <v>1.22</v>
      </c>
      <c r="E43">
        <f t="shared" si="0"/>
        <v>6.9117617650503949E-2</v>
      </c>
      <c r="F43">
        <f t="shared" si="1"/>
        <v>6.9117617650503949</v>
      </c>
      <c r="H43">
        <f t="shared" si="2"/>
        <v>5.6917617650503951</v>
      </c>
      <c r="K43">
        <v>0.14899999999999999</v>
      </c>
      <c r="L43" s="380">
        <f t="shared" si="3"/>
        <v>1.49E-3</v>
      </c>
      <c r="N43">
        <f t="shared" si="4"/>
        <v>6.7627617650503948</v>
      </c>
    </row>
    <row r="44" spans="1:14">
      <c r="A44" s="309">
        <v>43435</v>
      </c>
      <c r="B44" s="310">
        <v>17502.05</v>
      </c>
      <c r="C44">
        <v>1.2689999999999999</v>
      </c>
      <c r="E44">
        <f t="shared" si="0"/>
        <v>-5.2961907013916676E-2</v>
      </c>
      <c r="F44">
        <f t="shared" si="1"/>
        <v>-5.2961907013916676</v>
      </c>
      <c r="H44">
        <f t="shared" si="2"/>
        <v>-6.5651907013916677</v>
      </c>
      <c r="K44">
        <v>0.246</v>
      </c>
      <c r="L44" s="380">
        <f t="shared" si="3"/>
        <v>2.4599999999999999E-3</v>
      </c>
      <c r="N44">
        <f t="shared" si="4"/>
        <v>-5.542190701391668</v>
      </c>
    </row>
    <row r="45" spans="1:14">
      <c r="A45" s="309">
        <v>43405</v>
      </c>
      <c r="B45" s="310">
        <v>18480.830000000002</v>
      </c>
      <c r="C45">
        <v>1.3640000000000001</v>
      </c>
      <c r="E45">
        <f t="shared" si="0"/>
        <v>-2.3092155063411557E-2</v>
      </c>
      <c r="F45">
        <f t="shared" si="1"/>
        <v>-2.3092155063411557</v>
      </c>
      <c r="H45">
        <f t="shared" si="2"/>
        <v>-3.6732155063411556</v>
      </c>
      <c r="K45">
        <v>0.315</v>
      </c>
      <c r="L45" s="380">
        <f t="shared" si="3"/>
        <v>3.15E-3</v>
      </c>
      <c r="N45">
        <f t="shared" si="4"/>
        <v>-2.6242155063411556</v>
      </c>
    </row>
    <row r="46" spans="1:14">
      <c r="A46" s="309">
        <v>43374</v>
      </c>
      <c r="B46" s="310">
        <v>18917.68</v>
      </c>
      <c r="C46">
        <v>1.4370000000000001</v>
      </c>
      <c r="E46">
        <f t="shared" si="0"/>
        <v>-6.8417652203373813E-2</v>
      </c>
      <c r="F46">
        <f t="shared" si="1"/>
        <v>-6.8417652203373809</v>
      </c>
      <c r="H46">
        <f t="shared" si="2"/>
        <v>-8.2787652203373803</v>
      </c>
      <c r="K46">
        <v>0.38600000000000001</v>
      </c>
      <c r="L46" s="380">
        <f t="shared" si="3"/>
        <v>3.8600000000000001E-3</v>
      </c>
      <c r="N46">
        <f t="shared" si="4"/>
        <v>-7.227765220337381</v>
      </c>
    </row>
    <row r="47" spans="1:14">
      <c r="A47" s="309">
        <v>43344</v>
      </c>
      <c r="B47" s="310">
        <v>20307.04</v>
      </c>
      <c r="C47">
        <v>1.5740000000000001</v>
      </c>
      <c r="E47">
        <f t="shared" si="0"/>
        <v>-1.8461984629513206E-2</v>
      </c>
      <c r="F47">
        <f t="shared" si="1"/>
        <v>-1.8461984629513206</v>
      </c>
      <c r="H47">
        <f t="shared" si="2"/>
        <v>-3.4201984629513209</v>
      </c>
      <c r="K47">
        <v>0.47199999999999998</v>
      </c>
      <c r="L47" s="380">
        <f t="shared" si="3"/>
        <v>4.7199999999999994E-3</v>
      </c>
      <c r="N47">
        <f t="shared" si="4"/>
        <v>-2.3181984629513206</v>
      </c>
    </row>
    <row r="48" spans="1:14">
      <c r="A48" s="309">
        <v>43313</v>
      </c>
      <c r="B48" s="310">
        <v>20689</v>
      </c>
      <c r="C48">
        <v>1.429</v>
      </c>
      <c r="E48">
        <f t="shared" si="0"/>
        <v>-9.0464209232071768E-3</v>
      </c>
      <c r="F48">
        <f t="shared" si="1"/>
        <v>-0.90464209232071768</v>
      </c>
      <c r="H48">
        <f t="shared" si="2"/>
        <v>-2.3336420923207175</v>
      </c>
      <c r="K48">
        <v>0.33100000000000002</v>
      </c>
      <c r="L48" s="380">
        <f t="shared" si="3"/>
        <v>3.31E-3</v>
      </c>
      <c r="N48">
        <f t="shared" si="4"/>
        <v>-1.2356420923207176</v>
      </c>
    </row>
    <row r="49" spans="1:14">
      <c r="A49" s="309">
        <v>43282</v>
      </c>
      <c r="B49" s="310">
        <v>20877.87</v>
      </c>
      <c r="C49">
        <v>1.331</v>
      </c>
      <c r="E49">
        <f t="shared" si="0"/>
        <v>2.2514554051009661E-3</v>
      </c>
      <c r="F49">
        <f t="shared" si="1"/>
        <v>0.22514554051009661</v>
      </c>
      <c r="H49">
        <f t="shared" si="2"/>
        <v>-1.1058544594899034</v>
      </c>
      <c r="K49">
        <v>0.44500000000000001</v>
      </c>
      <c r="L49" s="380">
        <f t="shared" si="3"/>
        <v>4.45E-3</v>
      </c>
      <c r="N49">
        <f t="shared" si="4"/>
        <v>-0.2198544594899034</v>
      </c>
    </row>
    <row r="50" spans="1:14">
      <c r="A50" s="309">
        <v>43252</v>
      </c>
      <c r="B50" s="310">
        <v>20830.97</v>
      </c>
      <c r="C50">
        <v>1.278</v>
      </c>
      <c r="E50">
        <f t="shared" si="0"/>
        <v>-7.3346489969894346E-4</v>
      </c>
      <c r="F50">
        <f t="shared" si="1"/>
        <v>-7.3346489969894346E-2</v>
      </c>
      <c r="H50">
        <f t="shared" si="2"/>
        <v>-1.3513464899698944</v>
      </c>
      <c r="K50">
        <v>0.30299999999999999</v>
      </c>
      <c r="L50" s="380">
        <f t="shared" si="3"/>
        <v>3.0299999999999997E-3</v>
      </c>
      <c r="N50">
        <f t="shared" si="4"/>
        <v>-0.37634648996989434</v>
      </c>
    </row>
    <row r="51" spans="1:14">
      <c r="A51" s="309">
        <v>43221</v>
      </c>
      <c r="B51" s="310">
        <v>20846.259999999998</v>
      </c>
      <c r="C51">
        <v>1.2290000000000001</v>
      </c>
      <c r="E51">
        <f t="shared" si="0"/>
        <v>2.7666187660370545E-2</v>
      </c>
      <c r="F51">
        <f t="shared" si="1"/>
        <v>2.7666187660370545</v>
      </c>
      <c r="H51">
        <f t="shared" si="2"/>
        <v>1.5376187660370544</v>
      </c>
      <c r="K51">
        <v>0.34</v>
      </c>
      <c r="L51" s="380">
        <f t="shared" si="3"/>
        <v>3.4000000000000002E-3</v>
      </c>
      <c r="N51">
        <f t="shared" si="4"/>
        <v>2.4266187660370546</v>
      </c>
    </row>
    <row r="52" spans="1:14">
      <c r="A52" s="309">
        <v>43191</v>
      </c>
      <c r="B52" s="310">
        <v>20285.05</v>
      </c>
      <c r="C52">
        <v>1.4179999999999999</v>
      </c>
      <c r="E52">
        <f t="shared" si="0"/>
        <v>4.2372049595924333E-2</v>
      </c>
      <c r="F52">
        <f t="shared" si="1"/>
        <v>4.2372049595924333</v>
      </c>
      <c r="H52">
        <f t="shared" si="2"/>
        <v>2.8192049595924331</v>
      </c>
      <c r="K52">
        <v>0.56200000000000006</v>
      </c>
      <c r="L52" s="380">
        <f t="shared" si="3"/>
        <v>5.6200000000000009E-3</v>
      </c>
      <c r="N52">
        <f t="shared" si="4"/>
        <v>3.675204959592433</v>
      </c>
    </row>
    <row r="53" spans="1:14">
      <c r="A53" s="309">
        <v>43160</v>
      </c>
      <c r="B53" s="310">
        <v>19460.47</v>
      </c>
      <c r="C53">
        <v>1.35</v>
      </c>
      <c r="E53">
        <f t="shared" si="0"/>
        <v>-1.1520134584429353E-2</v>
      </c>
      <c r="F53">
        <f t="shared" si="1"/>
        <v>-1.1520134584429353</v>
      </c>
      <c r="H53">
        <f t="shared" si="2"/>
        <v>-2.5020134584429354</v>
      </c>
      <c r="K53">
        <v>0.49299999999999999</v>
      </c>
      <c r="L53" s="380">
        <f t="shared" si="3"/>
        <v>4.9300000000000004E-3</v>
      </c>
      <c r="N53">
        <f t="shared" si="4"/>
        <v>-1.6450134584429352</v>
      </c>
    </row>
    <row r="54" spans="1:14">
      <c r="A54" s="309">
        <v>43132</v>
      </c>
      <c r="B54" s="310">
        <v>19687.27</v>
      </c>
      <c r="C54">
        <v>1.502</v>
      </c>
      <c r="E54">
        <f t="shared" si="0"/>
        <v>-2.7481772016834882E-2</v>
      </c>
      <c r="F54">
        <f t="shared" si="1"/>
        <v>-2.7481772016834882</v>
      </c>
      <c r="H54">
        <f t="shared" si="2"/>
        <v>-4.2501772016834884</v>
      </c>
      <c r="K54">
        <v>0.65400000000000003</v>
      </c>
      <c r="L54" s="380">
        <f t="shared" si="3"/>
        <v>6.5400000000000007E-3</v>
      </c>
      <c r="N54">
        <f t="shared" si="4"/>
        <v>-3.4021772016834881</v>
      </c>
    </row>
    <row r="55" spans="1:14">
      <c r="A55" s="309">
        <v>43101</v>
      </c>
      <c r="B55" s="310">
        <v>20243.599999999999</v>
      </c>
      <c r="C55">
        <v>1.512</v>
      </c>
      <c r="E55">
        <f t="shared" si="0"/>
        <v>-2.3287365882701416E-2</v>
      </c>
      <c r="F55">
        <f t="shared" si="1"/>
        <v>-2.3287365882701416</v>
      </c>
      <c r="H55">
        <f t="shared" si="2"/>
        <v>-3.8407365882701416</v>
      </c>
      <c r="K55">
        <v>0.69699999999999995</v>
      </c>
      <c r="L55" s="380">
        <f t="shared" si="3"/>
        <v>6.9699999999999996E-3</v>
      </c>
      <c r="N55">
        <f t="shared" si="4"/>
        <v>-3.0257365882701417</v>
      </c>
    </row>
    <row r="56" spans="1:14">
      <c r="A56" s="309">
        <v>43070</v>
      </c>
      <c r="B56" s="310">
        <v>20726.259999999998</v>
      </c>
      <c r="C56">
        <v>1.1879999999999999</v>
      </c>
      <c r="E56">
        <f t="shared" si="0"/>
        <v>3.8759798705851667E-2</v>
      </c>
      <c r="F56">
        <f t="shared" si="1"/>
        <v>3.8759798705851667</v>
      </c>
      <c r="H56">
        <f t="shared" si="2"/>
        <v>2.687979870585167</v>
      </c>
      <c r="K56">
        <v>0.42699999999999999</v>
      </c>
      <c r="L56" s="380">
        <f t="shared" si="3"/>
        <v>4.2699999999999995E-3</v>
      </c>
      <c r="N56">
        <f t="shared" si="4"/>
        <v>3.4489798705851666</v>
      </c>
    </row>
    <row r="57" spans="1:14">
      <c r="A57" s="309">
        <v>43040</v>
      </c>
      <c r="B57" s="310">
        <v>19952.89</v>
      </c>
      <c r="C57">
        <v>1.331</v>
      </c>
      <c r="E57">
        <f t="shared" si="0"/>
        <v>-1.3593627798491825E-2</v>
      </c>
      <c r="F57">
        <f t="shared" si="1"/>
        <v>-1.3593627798491825</v>
      </c>
      <c r="H57">
        <f t="shared" si="2"/>
        <v>-2.6903627798491825</v>
      </c>
      <c r="K57">
        <v>0.36699999999999999</v>
      </c>
      <c r="L57" s="380">
        <f t="shared" si="3"/>
        <v>3.6700000000000001E-3</v>
      </c>
      <c r="N57">
        <f t="shared" si="4"/>
        <v>-1.7263627798491825</v>
      </c>
    </row>
    <row r="58" spans="1:14">
      <c r="A58" s="309">
        <v>43009</v>
      </c>
      <c r="B58" s="310">
        <v>20227.86</v>
      </c>
      <c r="C58">
        <v>1.333</v>
      </c>
      <c r="E58">
        <f t="shared" si="0"/>
        <v>1.7763179742005253E-2</v>
      </c>
      <c r="F58">
        <f t="shared" si="1"/>
        <v>1.7763179742005253</v>
      </c>
      <c r="H58">
        <f t="shared" si="2"/>
        <v>0.44331797420052532</v>
      </c>
      <c r="K58">
        <v>0.36399999999999999</v>
      </c>
      <c r="L58" s="380">
        <f t="shared" si="3"/>
        <v>3.64E-3</v>
      </c>
      <c r="N58">
        <f t="shared" si="4"/>
        <v>1.4123179742005254</v>
      </c>
    </row>
    <row r="59" spans="1:14">
      <c r="A59" s="309">
        <v>42979</v>
      </c>
      <c r="B59" s="310">
        <v>19874.82</v>
      </c>
      <c r="C59">
        <v>1.3660000000000001</v>
      </c>
      <c r="E59">
        <f t="shared" si="0"/>
        <v>3.5968225963070033E-3</v>
      </c>
      <c r="F59">
        <f t="shared" si="1"/>
        <v>0.35968225963070033</v>
      </c>
      <c r="H59">
        <f t="shared" si="2"/>
        <v>-1.0063177403692998</v>
      </c>
      <c r="K59">
        <v>0.46400000000000002</v>
      </c>
      <c r="L59" s="380">
        <f t="shared" si="3"/>
        <v>4.64E-3</v>
      </c>
      <c r="N59">
        <f t="shared" si="4"/>
        <v>-0.10431774036929969</v>
      </c>
    </row>
    <row r="60" spans="1:14">
      <c r="A60" s="309">
        <v>42948</v>
      </c>
      <c r="B60" s="310">
        <v>19803.59</v>
      </c>
      <c r="C60">
        <v>1.036</v>
      </c>
      <c r="E60">
        <f t="shared" si="0"/>
        <v>1.1349194232486148E-3</v>
      </c>
      <c r="F60">
        <f t="shared" si="1"/>
        <v>0.11349194232486148</v>
      </c>
      <c r="H60">
        <f t="shared" si="2"/>
        <v>-0.92250805767513855</v>
      </c>
      <c r="K60">
        <v>0.35899999999999999</v>
      </c>
      <c r="L60" s="380">
        <f t="shared" si="3"/>
        <v>3.5899999999999999E-3</v>
      </c>
      <c r="N60">
        <f t="shared" si="4"/>
        <v>-0.2455080576751385</v>
      </c>
    </row>
    <row r="61" spans="1:14">
      <c r="A61" s="309">
        <v>42917</v>
      </c>
      <c r="B61" s="310">
        <v>19781.14</v>
      </c>
      <c r="C61">
        <v>1.2310000000000001</v>
      </c>
      <c r="E61">
        <f t="shared" si="0"/>
        <v>2.2801787990268885E-2</v>
      </c>
      <c r="F61">
        <f t="shared" si="1"/>
        <v>2.2801787990268885</v>
      </c>
      <c r="H61">
        <f t="shared" si="2"/>
        <v>1.0491787990268884</v>
      </c>
      <c r="K61">
        <v>0.53300000000000003</v>
      </c>
      <c r="L61" s="380">
        <f t="shared" si="3"/>
        <v>5.3300000000000005E-3</v>
      </c>
      <c r="N61">
        <f t="shared" si="4"/>
        <v>1.7471787990268886</v>
      </c>
    </row>
    <row r="62" spans="1:14">
      <c r="A62" s="309">
        <v>42887</v>
      </c>
      <c r="B62" s="310">
        <v>19340.150000000001</v>
      </c>
      <c r="C62">
        <v>1.2589999999999999</v>
      </c>
      <c r="E62">
        <f t="shared" si="0"/>
        <v>-3.1645034064901156E-2</v>
      </c>
      <c r="F62">
        <f t="shared" si="1"/>
        <v>-3.1645034064901156</v>
      </c>
      <c r="H62">
        <f t="shared" si="2"/>
        <v>-4.4235034064901155</v>
      </c>
      <c r="K62">
        <v>0.46500000000000002</v>
      </c>
      <c r="L62" s="380">
        <f t="shared" si="3"/>
        <v>4.6500000000000005E-3</v>
      </c>
      <c r="N62">
        <f t="shared" si="4"/>
        <v>-3.6295034064901155</v>
      </c>
    </row>
    <row r="63" spans="1:14">
      <c r="A63" s="309">
        <v>42856</v>
      </c>
      <c r="B63" s="310">
        <v>19972.169999999998</v>
      </c>
      <c r="C63">
        <v>1.0489999999999999</v>
      </c>
      <c r="E63">
        <f t="shared" si="0"/>
        <v>1.8190336552579067E-2</v>
      </c>
      <c r="F63">
        <f t="shared" si="1"/>
        <v>1.8190336552579067</v>
      </c>
      <c r="H63">
        <f t="shared" si="2"/>
        <v>0.77003365525790679</v>
      </c>
      <c r="K63">
        <v>0.311</v>
      </c>
      <c r="L63" s="380">
        <f t="shared" si="3"/>
        <v>3.1099999999999999E-3</v>
      </c>
      <c r="N63">
        <f t="shared" si="4"/>
        <v>1.5080336552579068</v>
      </c>
    </row>
    <row r="64" spans="1:14">
      <c r="A64" s="309">
        <v>42826</v>
      </c>
      <c r="B64" s="310">
        <v>19615.36</v>
      </c>
      <c r="C64">
        <v>1.087</v>
      </c>
      <c r="E64">
        <f t="shared" si="0"/>
        <v>3.3920291295041149E-2</v>
      </c>
      <c r="F64">
        <f t="shared" si="1"/>
        <v>3.3920291295041149</v>
      </c>
      <c r="H64">
        <f t="shared" si="2"/>
        <v>2.3050291295041152</v>
      </c>
      <c r="K64">
        <v>0.32400000000000001</v>
      </c>
      <c r="L64" s="380">
        <f t="shared" si="3"/>
        <v>3.2400000000000003E-3</v>
      </c>
      <c r="N64">
        <f t="shared" si="4"/>
        <v>3.0680291295041151</v>
      </c>
    </row>
    <row r="65" spans="1:14">
      <c r="A65" s="309">
        <v>42795</v>
      </c>
      <c r="B65" s="310">
        <v>18971.830000000002</v>
      </c>
      <c r="C65">
        <v>1.1399999999999999</v>
      </c>
      <c r="E65">
        <f t="shared" si="0"/>
        <v>1.0714565405357757E-2</v>
      </c>
      <c r="F65">
        <f t="shared" si="1"/>
        <v>1.0714565405357757</v>
      </c>
      <c r="H65">
        <f t="shared" si="2"/>
        <v>-6.8543459464224243E-2</v>
      </c>
      <c r="K65">
        <v>0.33100000000000002</v>
      </c>
      <c r="L65" s="380">
        <f t="shared" si="3"/>
        <v>3.31E-3</v>
      </c>
      <c r="N65">
        <f t="shared" si="4"/>
        <v>0.7404565405357757</v>
      </c>
    </row>
    <row r="66" spans="1:14">
      <c r="A66" s="309">
        <v>42767</v>
      </c>
      <c r="B66" s="310">
        <v>18770.71</v>
      </c>
      <c r="C66">
        <v>1.151</v>
      </c>
      <c r="E66">
        <f t="shared" ref="E66:E129" si="5">B66/B67-1</f>
        <v>3.4325980547472046E-2</v>
      </c>
      <c r="F66">
        <f t="shared" ref="F66:F129" si="6">E66*$E$1</f>
        <v>3.4325980547472046</v>
      </c>
      <c r="H66">
        <f t="shared" ref="H66:H129" si="7">F66-C66</f>
        <v>2.2815980547472048</v>
      </c>
      <c r="K66">
        <v>0.20799999999999999</v>
      </c>
      <c r="L66" s="380">
        <f t="shared" si="3"/>
        <v>2.0799999999999998E-3</v>
      </c>
      <c r="N66">
        <f t="shared" si="4"/>
        <v>3.2245980547472044</v>
      </c>
    </row>
    <row r="67" spans="1:14">
      <c r="A67" s="309">
        <v>42736</v>
      </c>
      <c r="B67" s="310">
        <v>18147.77</v>
      </c>
      <c r="C67">
        <v>1.4179999999999999</v>
      </c>
      <c r="E67">
        <f t="shared" si="5"/>
        <v>3.8999251546278924E-3</v>
      </c>
      <c r="F67">
        <f t="shared" si="6"/>
        <v>0.38999251546278924</v>
      </c>
      <c r="H67">
        <f t="shared" si="7"/>
        <v>-1.0280074845372107</v>
      </c>
      <c r="K67">
        <v>0.437</v>
      </c>
      <c r="L67" s="380">
        <f t="shared" ref="L67:L130" si="8">K67/100</f>
        <v>4.3699999999999998E-3</v>
      </c>
      <c r="N67">
        <f t="shared" ref="N67:N130" si="9">F67-K67</f>
        <v>-4.7007484537210764E-2</v>
      </c>
    </row>
    <row r="68" spans="1:14">
      <c r="A68" s="309">
        <v>42705</v>
      </c>
      <c r="B68" s="310">
        <v>18077.27</v>
      </c>
      <c r="C68">
        <v>1.24</v>
      </c>
      <c r="E68">
        <f t="shared" si="5"/>
        <v>3.0293375888748031E-2</v>
      </c>
      <c r="F68">
        <f t="shared" si="6"/>
        <v>3.0293375888748031</v>
      </c>
      <c r="H68">
        <f t="shared" si="7"/>
        <v>1.7893375888748031</v>
      </c>
      <c r="K68">
        <v>0.20799999999999999</v>
      </c>
      <c r="L68" s="380">
        <f t="shared" si="8"/>
        <v>2.0799999999999998E-3</v>
      </c>
      <c r="N68">
        <f t="shared" si="9"/>
        <v>2.8213375888748029</v>
      </c>
    </row>
    <row r="69" spans="1:14">
      <c r="A69" s="309">
        <v>42675</v>
      </c>
      <c r="B69" s="310">
        <v>17545.75</v>
      </c>
      <c r="C69">
        <v>1.4179999999999999</v>
      </c>
      <c r="E69">
        <f t="shared" si="5"/>
        <v>8.606813404266056E-5</v>
      </c>
      <c r="F69">
        <f t="shared" si="6"/>
        <v>8.606813404266056E-3</v>
      </c>
      <c r="H69">
        <f t="shared" si="7"/>
        <v>-1.4093931865957339</v>
      </c>
      <c r="K69">
        <v>0.27400000000000002</v>
      </c>
      <c r="L69" s="380">
        <f t="shared" si="8"/>
        <v>2.7400000000000002E-3</v>
      </c>
      <c r="N69">
        <f t="shared" si="9"/>
        <v>-0.26539318659573397</v>
      </c>
    </row>
    <row r="70" spans="1:14">
      <c r="A70" s="309">
        <v>42644</v>
      </c>
      <c r="B70" s="310">
        <v>17544.240000000002</v>
      </c>
      <c r="C70">
        <v>1.246</v>
      </c>
      <c r="E70">
        <f t="shared" si="5"/>
        <v>-1.8307442833305765E-2</v>
      </c>
      <c r="F70">
        <f t="shared" si="6"/>
        <v>-1.8307442833305765</v>
      </c>
      <c r="H70">
        <f t="shared" si="7"/>
        <v>-3.0767442833305765</v>
      </c>
      <c r="K70">
        <v>0.16300000000000001</v>
      </c>
      <c r="L70" s="380">
        <f t="shared" si="8"/>
        <v>1.6300000000000002E-3</v>
      </c>
      <c r="N70">
        <f t="shared" si="9"/>
        <v>-1.9937442833305765</v>
      </c>
    </row>
    <row r="71" spans="1:14">
      <c r="A71" s="309">
        <v>42614</v>
      </c>
      <c r="B71" s="310">
        <v>17871.419999999998</v>
      </c>
      <c r="C71">
        <v>0.748</v>
      </c>
      <c r="E71">
        <f t="shared" si="5"/>
        <v>7.8188574035527036E-3</v>
      </c>
      <c r="F71">
        <f t="shared" si="6"/>
        <v>0.78188574035527036</v>
      </c>
      <c r="H71">
        <f t="shared" si="7"/>
        <v>3.3885740355270366E-2</v>
      </c>
      <c r="K71">
        <v>-0.12</v>
      </c>
      <c r="L71" s="380">
        <f t="shared" si="8"/>
        <v>-1.1999999999999999E-3</v>
      </c>
      <c r="N71">
        <f t="shared" si="9"/>
        <v>0.90188574035527036</v>
      </c>
    </row>
    <row r="72" spans="1:14">
      <c r="A72" s="309">
        <v>42583</v>
      </c>
      <c r="B72" s="310">
        <v>17732.77</v>
      </c>
      <c r="C72">
        <v>0.64200000000000002</v>
      </c>
      <c r="E72">
        <f t="shared" si="5"/>
        <v>2.6030962432187277E-2</v>
      </c>
      <c r="F72">
        <f t="shared" si="6"/>
        <v>2.6030962432187277</v>
      </c>
      <c r="H72">
        <f t="shared" si="7"/>
        <v>1.9610962432187278</v>
      </c>
      <c r="K72">
        <v>-6.5000000000000002E-2</v>
      </c>
      <c r="L72" s="380">
        <f t="shared" si="8"/>
        <v>-6.4999999999999997E-4</v>
      </c>
      <c r="N72">
        <f t="shared" si="9"/>
        <v>2.6680962432187276</v>
      </c>
    </row>
    <row r="73" spans="1:14">
      <c r="A73" s="309">
        <v>42552</v>
      </c>
      <c r="B73" s="310">
        <v>17282.88</v>
      </c>
      <c r="C73">
        <v>0.68600000000000005</v>
      </c>
      <c r="E73">
        <f t="shared" si="5"/>
        <v>6.2184601258552741E-2</v>
      </c>
      <c r="F73">
        <f t="shared" si="6"/>
        <v>6.2184601258552741</v>
      </c>
      <c r="H73">
        <f t="shared" si="7"/>
        <v>5.5324601258552741</v>
      </c>
      <c r="K73">
        <v>-0.12</v>
      </c>
      <c r="L73" s="380">
        <f t="shared" si="8"/>
        <v>-1.1999999999999999E-3</v>
      </c>
      <c r="N73">
        <f t="shared" si="9"/>
        <v>6.3384601258552742</v>
      </c>
    </row>
    <row r="74" spans="1:14">
      <c r="A74" s="309">
        <v>42522</v>
      </c>
      <c r="B74" s="310">
        <v>16271.07</v>
      </c>
      <c r="C74">
        <v>0.871</v>
      </c>
      <c r="E74">
        <f t="shared" si="5"/>
        <v>-5.3166968581991103E-2</v>
      </c>
      <c r="F74">
        <f t="shared" si="6"/>
        <v>-5.3166968581991103</v>
      </c>
      <c r="H74">
        <f t="shared" si="7"/>
        <v>-6.1876968581991107</v>
      </c>
      <c r="K74">
        <v>-0.12659999999999999</v>
      </c>
      <c r="L74" s="380">
        <f t="shared" si="8"/>
        <v>-1.266E-3</v>
      </c>
      <c r="N74">
        <f t="shared" si="9"/>
        <v>-5.1900968581991105</v>
      </c>
    </row>
    <row r="75" spans="1:14">
      <c r="A75" s="309">
        <v>42491</v>
      </c>
      <c r="B75" s="310">
        <v>17184.73</v>
      </c>
      <c r="C75">
        <v>1.431</v>
      </c>
      <c r="E75">
        <f t="shared" si="5"/>
        <v>2.2806229187187999E-2</v>
      </c>
      <c r="F75">
        <f t="shared" si="6"/>
        <v>2.2806229187187999</v>
      </c>
      <c r="H75">
        <f t="shared" si="7"/>
        <v>0.8496229187187998</v>
      </c>
      <c r="K75">
        <v>0.14699999999999999</v>
      </c>
      <c r="L75" s="380">
        <f t="shared" si="8"/>
        <v>1.47E-3</v>
      </c>
      <c r="N75">
        <f t="shared" si="9"/>
        <v>2.1336229187188001</v>
      </c>
    </row>
    <row r="76" spans="1:14">
      <c r="A76" s="309">
        <v>42461</v>
      </c>
      <c r="B76" s="310">
        <v>16801.55</v>
      </c>
      <c r="C76">
        <v>1.5980000000000001</v>
      </c>
      <c r="E76">
        <f t="shared" si="5"/>
        <v>-7.3596311499622979E-3</v>
      </c>
      <c r="F76">
        <f t="shared" si="6"/>
        <v>-0.73596311499622979</v>
      </c>
      <c r="H76">
        <f t="shared" si="7"/>
        <v>-2.3339631149962301</v>
      </c>
      <c r="K76">
        <v>0.28199999999999997</v>
      </c>
      <c r="L76" s="380">
        <f t="shared" si="8"/>
        <v>2.8199999999999996E-3</v>
      </c>
      <c r="N76">
        <f t="shared" si="9"/>
        <v>-1.0179631149962298</v>
      </c>
    </row>
    <row r="77" spans="1:14">
      <c r="A77" s="309">
        <v>42430</v>
      </c>
      <c r="B77" s="310">
        <v>16926.12</v>
      </c>
      <c r="C77">
        <v>1.4179999999999999</v>
      </c>
      <c r="E77">
        <f t="shared" si="5"/>
        <v>1.9456630938355923E-2</v>
      </c>
      <c r="F77">
        <f t="shared" si="6"/>
        <v>1.9456630938355923</v>
      </c>
      <c r="H77">
        <f t="shared" si="7"/>
        <v>0.5276630938355924</v>
      </c>
      <c r="K77">
        <v>0.156</v>
      </c>
      <c r="L77" s="380">
        <f t="shared" si="8"/>
        <v>1.56E-3</v>
      </c>
      <c r="N77">
        <f t="shared" si="9"/>
        <v>1.7896630938355924</v>
      </c>
    </row>
    <row r="78" spans="1:14">
      <c r="A78" s="309">
        <v>42401</v>
      </c>
      <c r="B78" s="310">
        <v>16603.080000000002</v>
      </c>
      <c r="C78">
        <v>1.337</v>
      </c>
      <c r="E78">
        <f t="shared" si="5"/>
        <v>6.9967224091627145E-3</v>
      </c>
      <c r="F78">
        <f t="shared" si="6"/>
        <v>0.69967224091627145</v>
      </c>
      <c r="H78">
        <f t="shared" si="7"/>
        <v>-0.63732775908372852</v>
      </c>
      <c r="K78">
        <v>0.108</v>
      </c>
      <c r="L78" s="380">
        <f t="shared" si="8"/>
        <v>1.08E-3</v>
      </c>
      <c r="N78">
        <f t="shared" si="9"/>
        <v>0.59167224091627146</v>
      </c>
    </row>
    <row r="79" spans="1:14">
      <c r="A79" s="309">
        <v>42370</v>
      </c>
      <c r="B79" s="310">
        <v>16487.72</v>
      </c>
      <c r="C79">
        <v>1.5609999999999999</v>
      </c>
      <c r="E79">
        <f t="shared" si="5"/>
        <v>-5.4051045851305379E-2</v>
      </c>
      <c r="F79">
        <f t="shared" si="6"/>
        <v>-5.4051045851305375</v>
      </c>
      <c r="H79">
        <f t="shared" si="7"/>
        <v>-6.9661045851305374</v>
      </c>
      <c r="K79">
        <v>0.33400000000000002</v>
      </c>
      <c r="L79" s="380">
        <f t="shared" si="8"/>
        <v>3.3400000000000001E-3</v>
      </c>
      <c r="N79">
        <f t="shared" si="9"/>
        <v>-5.7391045851305371</v>
      </c>
    </row>
    <row r="80" spans="1:14">
      <c r="A80" s="309">
        <v>42339</v>
      </c>
      <c r="B80" s="310">
        <v>17429.82</v>
      </c>
      <c r="C80">
        <v>1.9610000000000001</v>
      </c>
      <c r="E80">
        <f t="shared" si="5"/>
        <v>5.2351512855386417E-4</v>
      </c>
      <c r="F80">
        <f t="shared" si="6"/>
        <v>5.2351512855386417E-2</v>
      </c>
      <c r="H80">
        <f t="shared" si="7"/>
        <v>-1.9086484871446137</v>
      </c>
      <c r="K80">
        <v>0.63460000000000005</v>
      </c>
      <c r="L80" s="380">
        <f t="shared" si="8"/>
        <v>6.3460000000000009E-3</v>
      </c>
      <c r="N80">
        <f t="shared" si="9"/>
        <v>-0.58224848714461364</v>
      </c>
    </row>
    <row r="81" spans="1:14">
      <c r="A81" s="309">
        <v>42309</v>
      </c>
      <c r="B81" s="310">
        <v>17420.7</v>
      </c>
      <c r="C81">
        <v>1.83</v>
      </c>
      <c r="E81">
        <f t="shared" si="5"/>
        <v>1.7730109053987197E-2</v>
      </c>
      <c r="F81">
        <f t="shared" si="6"/>
        <v>1.7730109053987197</v>
      </c>
      <c r="H81">
        <f t="shared" si="7"/>
        <v>-5.6989094601280321E-2</v>
      </c>
      <c r="K81">
        <v>0.47549999999999998</v>
      </c>
      <c r="L81" s="380">
        <f t="shared" si="8"/>
        <v>4.7549999999999997E-3</v>
      </c>
      <c r="N81">
        <f t="shared" si="9"/>
        <v>1.2975109053987197</v>
      </c>
    </row>
    <row r="82" spans="1:14">
      <c r="A82" s="309">
        <v>42278</v>
      </c>
      <c r="B82" s="310">
        <v>17117.21</v>
      </c>
      <c r="C82">
        <v>1.9259999999999999</v>
      </c>
      <c r="E82">
        <f t="shared" si="5"/>
        <v>2.6025863422809437E-2</v>
      </c>
      <c r="F82">
        <f t="shared" si="6"/>
        <v>2.6025863422809437</v>
      </c>
      <c r="H82">
        <f t="shared" si="7"/>
        <v>0.67658634228094372</v>
      </c>
      <c r="K82">
        <v>0.52300000000000002</v>
      </c>
      <c r="L82" s="380">
        <f t="shared" si="8"/>
        <v>5.2300000000000003E-3</v>
      </c>
      <c r="N82">
        <f t="shared" si="9"/>
        <v>2.0795863422809435</v>
      </c>
    </row>
    <row r="83" spans="1:14">
      <c r="A83" s="309">
        <v>42248</v>
      </c>
      <c r="B83" s="310">
        <v>16683.02</v>
      </c>
      <c r="C83">
        <v>1.7649999999999999</v>
      </c>
      <c r="E83">
        <f t="shared" si="5"/>
        <v>-2.4747520805127432E-2</v>
      </c>
      <c r="F83">
        <f t="shared" si="6"/>
        <v>-2.4747520805127432</v>
      </c>
      <c r="H83">
        <f t="shared" si="7"/>
        <v>-4.2397520805127433</v>
      </c>
      <c r="K83">
        <v>0.59</v>
      </c>
      <c r="L83" s="380">
        <f t="shared" si="8"/>
        <v>5.8999999999999999E-3</v>
      </c>
      <c r="N83">
        <f t="shared" si="9"/>
        <v>-3.0647520805127431</v>
      </c>
    </row>
    <row r="84" spans="1:14">
      <c r="A84" s="309">
        <v>42217</v>
      </c>
      <c r="B84" s="310">
        <v>17106.36</v>
      </c>
      <c r="C84">
        <v>1.95</v>
      </c>
      <c r="E84">
        <f t="shared" si="5"/>
        <v>-3.2303393032912076E-2</v>
      </c>
      <c r="F84">
        <f t="shared" si="6"/>
        <v>-3.2303393032912076</v>
      </c>
      <c r="H84">
        <f t="shared" si="7"/>
        <v>-5.1803393032912073</v>
      </c>
      <c r="K84">
        <v>0.79500000000000004</v>
      </c>
      <c r="L84" s="380">
        <f t="shared" si="8"/>
        <v>7.9500000000000005E-3</v>
      </c>
      <c r="N84">
        <f t="shared" si="9"/>
        <v>-4.0253393032912079</v>
      </c>
    </row>
    <row r="85" spans="1:14">
      <c r="A85" s="309">
        <v>42186</v>
      </c>
      <c r="B85" s="310">
        <v>17677.400000000001</v>
      </c>
      <c r="C85">
        <v>1.8819999999999999</v>
      </c>
      <c r="E85">
        <f t="shared" si="5"/>
        <v>8.3221629638081662E-3</v>
      </c>
      <c r="F85">
        <f t="shared" si="6"/>
        <v>0.83221629638081662</v>
      </c>
      <c r="H85">
        <f t="shared" si="7"/>
        <v>-1.0497837036191833</v>
      </c>
      <c r="K85">
        <v>0.64800000000000002</v>
      </c>
      <c r="L85" s="380">
        <f t="shared" si="8"/>
        <v>6.4800000000000005E-3</v>
      </c>
      <c r="N85">
        <f t="shared" si="9"/>
        <v>0.1842162963808166</v>
      </c>
    </row>
    <row r="86" spans="1:14">
      <c r="A86" s="309">
        <v>42156</v>
      </c>
      <c r="B86" s="310">
        <v>17531.5</v>
      </c>
      <c r="C86">
        <v>2.0299999999999998</v>
      </c>
      <c r="E86">
        <f t="shared" si="5"/>
        <v>-3.4312305212724992E-2</v>
      </c>
      <c r="F86">
        <f t="shared" si="6"/>
        <v>-3.4312305212724992</v>
      </c>
      <c r="H86">
        <f t="shared" si="7"/>
        <v>-5.4612305212724994</v>
      </c>
      <c r="K86">
        <v>0.77</v>
      </c>
      <c r="L86" s="380">
        <f t="shared" si="8"/>
        <v>7.7000000000000002E-3</v>
      </c>
      <c r="N86">
        <f t="shared" si="9"/>
        <v>-4.2012305212724996</v>
      </c>
    </row>
    <row r="87" spans="1:14">
      <c r="A87" s="309">
        <v>42125</v>
      </c>
      <c r="B87" s="310">
        <v>18154.419999999998</v>
      </c>
      <c r="C87">
        <v>1.804</v>
      </c>
      <c r="E87">
        <f t="shared" si="5"/>
        <v>3.8901538973929561E-2</v>
      </c>
      <c r="F87">
        <f t="shared" si="6"/>
        <v>3.8901538973929561</v>
      </c>
      <c r="H87">
        <f t="shared" si="7"/>
        <v>2.0861538973929559</v>
      </c>
      <c r="K87">
        <v>0.48599999999999999</v>
      </c>
      <c r="L87" s="380">
        <f t="shared" si="8"/>
        <v>4.8599999999999997E-3</v>
      </c>
      <c r="N87">
        <f t="shared" si="9"/>
        <v>3.4041538973929564</v>
      </c>
    </row>
    <row r="88" spans="1:14">
      <c r="A88" s="309">
        <v>42095</v>
      </c>
      <c r="B88" s="310">
        <v>17474.63</v>
      </c>
      <c r="C88">
        <v>1.835</v>
      </c>
      <c r="E88">
        <f t="shared" si="5"/>
        <v>2.2467853749186695E-2</v>
      </c>
      <c r="F88">
        <f t="shared" si="6"/>
        <v>2.2467853749186695</v>
      </c>
      <c r="H88">
        <f t="shared" si="7"/>
        <v>0.41178537491866951</v>
      </c>
      <c r="K88">
        <v>0.36399999999999999</v>
      </c>
      <c r="L88" s="380">
        <f t="shared" si="8"/>
        <v>3.64E-3</v>
      </c>
      <c r="N88">
        <f t="shared" si="9"/>
        <v>1.8827853749186696</v>
      </c>
    </row>
    <row r="89" spans="1:14">
      <c r="A89" s="309">
        <v>42064</v>
      </c>
      <c r="B89" s="310">
        <v>17090.64</v>
      </c>
      <c r="C89">
        <v>1.579</v>
      </c>
      <c r="E89">
        <f t="shared" si="5"/>
        <v>-1.0604487021400044E-2</v>
      </c>
      <c r="F89">
        <f t="shared" si="6"/>
        <v>-1.0604487021400044</v>
      </c>
      <c r="H89">
        <f t="shared" si="7"/>
        <v>-2.6394487021400046</v>
      </c>
      <c r="K89">
        <v>0.185</v>
      </c>
      <c r="L89" s="380">
        <f t="shared" si="8"/>
        <v>1.8500000000000001E-3</v>
      </c>
      <c r="N89">
        <f t="shared" si="9"/>
        <v>-1.2454487021400045</v>
      </c>
    </row>
    <row r="90" spans="1:14">
      <c r="A90" s="309">
        <v>42036</v>
      </c>
      <c r="B90" s="310">
        <v>17273.82</v>
      </c>
      <c r="C90">
        <v>1.7889999999999999</v>
      </c>
      <c r="E90">
        <f t="shared" si="5"/>
        <v>5.9368554812192276E-2</v>
      </c>
      <c r="F90">
        <f t="shared" si="6"/>
        <v>5.9368554812192276</v>
      </c>
      <c r="H90">
        <f t="shared" si="7"/>
        <v>4.1478554812192279</v>
      </c>
      <c r="K90">
        <v>0.32400000000000001</v>
      </c>
      <c r="L90" s="380">
        <f t="shared" si="8"/>
        <v>3.2400000000000003E-3</v>
      </c>
      <c r="N90">
        <f t="shared" si="9"/>
        <v>5.6128554812192277</v>
      </c>
    </row>
    <row r="91" spans="1:14">
      <c r="A91" s="309">
        <v>42005</v>
      </c>
      <c r="B91" s="310">
        <v>16305.77</v>
      </c>
      <c r="C91">
        <v>1.341</v>
      </c>
      <c r="E91">
        <f t="shared" si="5"/>
        <v>1.3697480454373689E-2</v>
      </c>
      <c r="F91">
        <f t="shared" si="6"/>
        <v>1.3697480454373689</v>
      </c>
      <c r="H91">
        <f t="shared" si="7"/>
        <v>2.8748045437368974E-2</v>
      </c>
      <c r="K91">
        <v>0.313</v>
      </c>
      <c r="L91" s="380">
        <f t="shared" si="8"/>
        <v>3.13E-3</v>
      </c>
      <c r="N91">
        <f t="shared" si="9"/>
        <v>1.056748045437369</v>
      </c>
    </row>
    <row r="92" spans="1:14">
      <c r="A92" s="309">
        <v>41974</v>
      </c>
      <c r="B92" s="310">
        <v>16085.44</v>
      </c>
      <c r="C92">
        <v>1.756</v>
      </c>
      <c r="E92">
        <f t="shared" si="5"/>
        <v>1.4741580745608163E-2</v>
      </c>
      <c r="F92">
        <f t="shared" si="6"/>
        <v>1.4741580745608163</v>
      </c>
      <c r="H92">
        <f t="shared" si="7"/>
        <v>-0.28184192543918374</v>
      </c>
      <c r="K92">
        <v>0.54</v>
      </c>
      <c r="L92" s="380">
        <f t="shared" si="8"/>
        <v>5.4000000000000003E-3</v>
      </c>
      <c r="N92">
        <f t="shared" si="9"/>
        <v>0.93415807456081623</v>
      </c>
    </row>
    <row r="93" spans="1:14">
      <c r="A93" s="309">
        <v>41944</v>
      </c>
      <c r="B93" s="310">
        <v>15851.76</v>
      </c>
      <c r="C93">
        <v>1.927</v>
      </c>
      <c r="E93">
        <f t="shared" si="5"/>
        <v>2.2603808566597605E-2</v>
      </c>
      <c r="F93">
        <f t="shared" si="6"/>
        <v>2.2603808566597605</v>
      </c>
      <c r="H93">
        <f t="shared" si="7"/>
        <v>0.33338085665976047</v>
      </c>
      <c r="K93">
        <v>0.70199999999999996</v>
      </c>
      <c r="L93" s="380">
        <f t="shared" si="8"/>
        <v>7.0199999999999993E-3</v>
      </c>
      <c r="N93">
        <f t="shared" si="9"/>
        <v>1.5583808566597606</v>
      </c>
    </row>
    <row r="94" spans="1:14">
      <c r="A94" s="309">
        <v>41913</v>
      </c>
      <c r="B94" s="310">
        <v>15501.37</v>
      </c>
      <c r="C94">
        <v>2.25</v>
      </c>
      <c r="E94">
        <f t="shared" si="5"/>
        <v>7.9097668878238547E-3</v>
      </c>
      <c r="F94">
        <f t="shared" si="6"/>
        <v>0.79097668878238547</v>
      </c>
      <c r="H94">
        <f t="shared" si="7"/>
        <v>-1.4590233112176145</v>
      </c>
      <c r="K94">
        <v>0.84099999999999997</v>
      </c>
      <c r="L94" s="380">
        <f t="shared" si="8"/>
        <v>8.4099999999999991E-3</v>
      </c>
      <c r="N94">
        <f t="shared" si="9"/>
        <v>-5.0023311217614497E-2</v>
      </c>
    </row>
    <row r="95" spans="1:14">
      <c r="A95" s="309">
        <v>41883</v>
      </c>
      <c r="B95" s="310">
        <v>15379.72</v>
      </c>
      <c r="C95">
        <v>2.4260000000000002</v>
      </c>
      <c r="E95">
        <f t="shared" si="5"/>
        <v>-3.1852506527875302E-2</v>
      </c>
      <c r="F95">
        <f t="shared" si="6"/>
        <v>-3.1852506527875302</v>
      </c>
      <c r="H95">
        <f t="shared" si="7"/>
        <v>-5.6112506527875308</v>
      </c>
      <c r="K95">
        <v>0.94599999999999995</v>
      </c>
      <c r="L95" s="380">
        <f t="shared" si="8"/>
        <v>9.4599999999999997E-3</v>
      </c>
      <c r="N95">
        <f t="shared" si="9"/>
        <v>-4.1312506527875303</v>
      </c>
    </row>
    <row r="96" spans="1:14">
      <c r="A96" s="309">
        <v>41852</v>
      </c>
      <c r="B96" s="310">
        <v>15885.72</v>
      </c>
      <c r="C96">
        <v>2.3690000000000002</v>
      </c>
      <c r="E96">
        <f t="shared" si="5"/>
        <v>2.5173532684032329E-2</v>
      </c>
      <c r="F96">
        <f t="shared" si="6"/>
        <v>2.5173532684032329</v>
      </c>
      <c r="H96">
        <f t="shared" si="7"/>
        <v>0.14835326840323271</v>
      </c>
      <c r="K96">
        <v>0.88800000000000001</v>
      </c>
      <c r="L96" s="380">
        <f t="shared" si="8"/>
        <v>8.8800000000000007E-3</v>
      </c>
      <c r="N96">
        <f t="shared" si="9"/>
        <v>1.629353268403233</v>
      </c>
    </row>
    <row r="97" spans="1:14">
      <c r="A97" s="309">
        <v>41821</v>
      </c>
      <c r="B97" s="310">
        <v>15495.64</v>
      </c>
      <c r="C97">
        <v>2.6160000000000001</v>
      </c>
      <c r="E97">
        <f t="shared" si="5"/>
        <v>-1.4495445051883937E-2</v>
      </c>
      <c r="F97">
        <f t="shared" si="6"/>
        <v>-1.4495445051883937</v>
      </c>
      <c r="H97">
        <f t="shared" si="7"/>
        <v>-4.0655445051883934</v>
      </c>
      <c r="K97">
        <v>1.17</v>
      </c>
      <c r="L97" s="380">
        <f t="shared" si="8"/>
        <v>1.1699999999999999E-2</v>
      </c>
      <c r="N97">
        <f t="shared" si="9"/>
        <v>-2.6195445051883937</v>
      </c>
    </row>
    <row r="98" spans="1:14">
      <c r="A98" s="309">
        <v>41791</v>
      </c>
      <c r="B98" s="310">
        <v>15723.56</v>
      </c>
      <c r="C98">
        <v>2.6709999999999998</v>
      </c>
      <c r="E98">
        <f t="shared" si="5"/>
        <v>-1.7906653550069485E-2</v>
      </c>
      <c r="F98">
        <f t="shared" si="6"/>
        <v>-1.7906653550069485</v>
      </c>
      <c r="H98">
        <f t="shared" si="7"/>
        <v>-4.4616653550069483</v>
      </c>
      <c r="K98">
        <v>1.2509999999999999</v>
      </c>
      <c r="L98" s="380">
        <f t="shared" si="8"/>
        <v>1.2509999999999999E-2</v>
      </c>
      <c r="N98">
        <f t="shared" si="9"/>
        <v>-3.0416653550069483</v>
      </c>
    </row>
    <row r="99" spans="1:14">
      <c r="A99" s="309">
        <v>41760</v>
      </c>
      <c r="B99" s="310">
        <v>16010.25</v>
      </c>
      <c r="C99">
        <v>2.5670000000000002</v>
      </c>
      <c r="E99">
        <f t="shared" si="5"/>
        <v>1.2205067900766142E-2</v>
      </c>
      <c r="F99">
        <f t="shared" si="6"/>
        <v>1.2205067900766142</v>
      </c>
      <c r="H99">
        <f t="shared" si="7"/>
        <v>-1.3464932099233859</v>
      </c>
      <c r="K99">
        <v>1.357</v>
      </c>
      <c r="L99" s="380">
        <f t="shared" si="8"/>
        <v>1.357E-2</v>
      </c>
      <c r="N99">
        <f t="shared" si="9"/>
        <v>-0.13649320992338576</v>
      </c>
    </row>
    <row r="100" spans="1:14">
      <c r="A100" s="309">
        <v>41730</v>
      </c>
      <c r="B100" s="310">
        <v>15817.2</v>
      </c>
      <c r="C100">
        <v>2.669</v>
      </c>
      <c r="E100">
        <f t="shared" si="5"/>
        <v>-2.8052590311250181E-2</v>
      </c>
      <c r="F100">
        <f t="shared" si="6"/>
        <v>-2.8052590311250181</v>
      </c>
      <c r="H100">
        <f t="shared" si="7"/>
        <v>-5.4742590311250181</v>
      </c>
      <c r="K100">
        <v>1.47</v>
      </c>
      <c r="L100" s="380">
        <f t="shared" si="8"/>
        <v>1.47E-2</v>
      </c>
      <c r="N100">
        <f t="shared" si="9"/>
        <v>-4.2752590311250183</v>
      </c>
    </row>
    <row r="101" spans="1:14">
      <c r="A101" s="309">
        <v>41699</v>
      </c>
      <c r="B101" s="310">
        <v>16273.72</v>
      </c>
      <c r="C101">
        <v>2.7389999999999999</v>
      </c>
      <c r="E101">
        <f t="shared" si="5"/>
        <v>-2.7040535692933187E-2</v>
      </c>
      <c r="F101">
        <f t="shared" si="6"/>
        <v>-2.7040535692933187</v>
      </c>
      <c r="H101">
        <f t="shared" si="7"/>
        <v>-5.4430535692933191</v>
      </c>
      <c r="K101">
        <v>1.57</v>
      </c>
      <c r="L101" s="380">
        <f t="shared" si="8"/>
        <v>1.5700000000000002E-2</v>
      </c>
      <c r="N101">
        <f t="shared" si="9"/>
        <v>-4.2740535692933186</v>
      </c>
    </row>
    <row r="102" spans="1:14">
      <c r="A102" s="309">
        <v>41671</v>
      </c>
      <c r="B102" s="310">
        <v>16726</v>
      </c>
      <c r="C102">
        <v>2.7229999999999999</v>
      </c>
      <c r="E102">
        <f t="shared" si="5"/>
        <v>6.7092329707669318E-2</v>
      </c>
      <c r="F102">
        <f t="shared" si="6"/>
        <v>6.7092329707669318</v>
      </c>
      <c r="H102">
        <f t="shared" si="7"/>
        <v>3.9862329707669319</v>
      </c>
      <c r="K102">
        <v>1.627</v>
      </c>
      <c r="L102" s="380">
        <f t="shared" si="8"/>
        <v>1.627E-2</v>
      </c>
      <c r="N102">
        <f t="shared" si="9"/>
        <v>5.082232970766932</v>
      </c>
    </row>
    <row r="103" spans="1:14">
      <c r="A103" s="309">
        <v>41640</v>
      </c>
      <c r="B103" s="310">
        <v>15674.37</v>
      </c>
      <c r="C103">
        <v>2.7109999999999999</v>
      </c>
      <c r="E103">
        <f t="shared" si="5"/>
        <v>-1.6377425033024084E-2</v>
      </c>
      <c r="F103">
        <f t="shared" si="6"/>
        <v>-1.6377425033024084</v>
      </c>
      <c r="H103">
        <f t="shared" si="7"/>
        <v>-4.3487425033024083</v>
      </c>
      <c r="K103">
        <v>1.659</v>
      </c>
      <c r="L103" s="380">
        <f t="shared" si="8"/>
        <v>1.6590000000000001E-2</v>
      </c>
      <c r="N103">
        <f t="shared" si="9"/>
        <v>-3.2967425033024087</v>
      </c>
    </row>
    <row r="104" spans="1:14">
      <c r="A104" s="309">
        <v>41609</v>
      </c>
      <c r="B104" s="310">
        <v>15935.35</v>
      </c>
      <c r="C104">
        <v>3.032</v>
      </c>
      <c r="E104">
        <f t="shared" si="5"/>
        <v>3.030990730970573E-2</v>
      </c>
      <c r="F104">
        <f t="shared" si="6"/>
        <v>3.030990730970573</v>
      </c>
      <c r="H104">
        <f t="shared" si="7"/>
        <v>-1.0092690294269957E-3</v>
      </c>
      <c r="K104">
        <v>1.9410000000000001</v>
      </c>
      <c r="L104" s="380">
        <f t="shared" si="8"/>
        <v>1.941E-2</v>
      </c>
      <c r="N104">
        <f t="shared" si="9"/>
        <v>1.089990730970573</v>
      </c>
    </row>
    <row r="105" spans="1:14">
      <c r="A105" s="309">
        <v>41579</v>
      </c>
      <c r="B105" s="310">
        <v>15466.56</v>
      </c>
      <c r="C105">
        <v>2.77</v>
      </c>
      <c r="E105">
        <f t="shared" si="5"/>
        <v>-8.6498987399841187E-4</v>
      </c>
      <c r="F105">
        <f t="shared" si="6"/>
        <v>-8.6498987399841187E-2</v>
      </c>
      <c r="H105">
        <f t="shared" si="7"/>
        <v>-2.8564989873998412</v>
      </c>
      <c r="K105">
        <v>1.69</v>
      </c>
      <c r="L105" s="380">
        <f t="shared" si="8"/>
        <v>1.6899999999999998E-2</v>
      </c>
      <c r="N105">
        <f t="shared" si="9"/>
        <v>-1.7764989873998411</v>
      </c>
    </row>
    <row r="106" spans="1:14">
      <c r="A106" s="309">
        <v>41548</v>
      </c>
      <c r="B106" s="310">
        <v>15479.95</v>
      </c>
      <c r="C106">
        <v>2.6230000000000002</v>
      </c>
      <c r="E106">
        <f t="shared" si="5"/>
        <v>3.8352770089977506E-2</v>
      </c>
      <c r="F106">
        <f t="shared" si="6"/>
        <v>3.8352770089977506</v>
      </c>
      <c r="H106">
        <f t="shared" si="7"/>
        <v>1.2122770089977504</v>
      </c>
      <c r="K106">
        <v>1.679</v>
      </c>
      <c r="L106" s="380">
        <f t="shared" si="8"/>
        <v>1.6789999999999999E-2</v>
      </c>
      <c r="N106">
        <f t="shared" si="9"/>
        <v>2.1562770089977503</v>
      </c>
    </row>
    <row r="107" spans="1:14">
      <c r="A107" s="309">
        <v>41518</v>
      </c>
      <c r="B107" s="310">
        <v>14908.18</v>
      </c>
      <c r="C107">
        <v>2.7189999999999999</v>
      </c>
      <c r="E107">
        <f t="shared" si="5"/>
        <v>1.9350189194252687E-2</v>
      </c>
      <c r="F107">
        <f t="shared" si="6"/>
        <v>1.9350189194252687</v>
      </c>
      <c r="H107">
        <f t="shared" si="7"/>
        <v>-0.78398108057473115</v>
      </c>
      <c r="K107">
        <v>1.78</v>
      </c>
      <c r="L107" s="380">
        <f t="shared" si="8"/>
        <v>1.78E-2</v>
      </c>
      <c r="N107">
        <f t="shared" si="9"/>
        <v>0.15501891942526869</v>
      </c>
    </row>
    <row r="108" spans="1:14">
      <c r="A108" s="309">
        <v>41487</v>
      </c>
      <c r="B108" s="310">
        <v>14625.18</v>
      </c>
      <c r="C108">
        <v>2.7770000000000001</v>
      </c>
      <c r="E108">
        <f t="shared" si="5"/>
        <v>-1.6653152117346637E-2</v>
      </c>
      <c r="F108">
        <f t="shared" si="6"/>
        <v>-1.6653152117346637</v>
      </c>
      <c r="H108">
        <f t="shared" si="7"/>
        <v>-4.4423152117346643</v>
      </c>
      <c r="K108">
        <v>1.855</v>
      </c>
      <c r="L108" s="380">
        <f t="shared" si="8"/>
        <v>1.8550000000000001E-2</v>
      </c>
      <c r="N108">
        <f t="shared" si="9"/>
        <v>-3.5203152117346637</v>
      </c>
    </row>
    <row r="109" spans="1:14">
      <c r="A109" s="309">
        <v>41456</v>
      </c>
      <c r="B109" s="310">
        <v>14872.86</v>
      </c>
      <c r="C109">
        <v>2.3570000000000002</v>
      </c>
      <c r="E109">
        <f t="shared" si="5"/>
        <v>7.7882509483107265E-2</v>
      </c>
      <c r="F109">
        <f t="shared" si="6"/>
        <v>7.7882509483107265</v>
      </c>
      <c r="H109">
        <f t="shared" si="7"/>
        <v>5.4312509483107263</v>
      </c>
      <c r="K109">
        <v>1.6759999999999999</v>
      </c>
      <c r="L109" s="380">
        <f t="shared" si="8"/>
        <v>1.6760000000000001E-2</v>
      </c>
      <c r="N109">
        <f t="shared" si="9"/>
        <v>6.1122509483107264</v>
      </c>
    </row>
    <row r="110" spans="1:14">
      <c r="A110" s="309">
        <v>41426</v>
      </c>
      <c r="B110" s="310">
        <v>13798.22</v>
      </c>
      <c r="C110">
        <v>2.4380000000000002</v>
      </c>
      <c r="E110">
        <f t="shared" si="5"/>
        <v>-3.8513210302893564E-2</v>
      </c>
      <c r="F110">
        <f t="shared" si="6"/>
        <v>-3.8513210302893564</v>
      </c>
      <c r="H110">
        <f t="shared" si="7"/>
        <v>-6.2893210302893561</v>
      </c>
      <c r="K110">
        <v>1.73</v>
      </c>
      <c r="L110" s="380">
        <f t="shared" si="8"/>
        <v>1.7299999999999999E-2</v>
      </c>
      <c r="N110">
        <f t="shared" si="9"/>
        <v>-5.5813210302893559</v>
      </c>
    </row>
    <row r="111" spans="1:14">
      <c r="A111" s="309">
        <v>41395</v>
      </c>
      <c r="B111" s="310">
        <v>14350.92</v>
      </c>
      <c r="C111">
        <v>2.0070000000000001</v>
      </c>
      <c r="E111">
        <f t="shared" si="5"/>
        <v>2.8749371857945683E-2</v>
      </c>
      <c r="F111">
        <f t="shared" si="6"/>
        <v>2.8749371857945683</v>
      </c>
      <c r="H111">
        <f t="shared" si="7"/>
        <v>0.86793718579456813</v>
      </c>
      <c r="K111">
        <v>1.5109999999999999</v>
      </c>
      <c r="L111" s="380">
        <f t="shared" si="8"/>
        <v>1.5109999999999998E-2</v>
      </c>
      <c r="N111">
        <f t="shared" si="9"/>
        <v>1.3639371857945684</v>
      </c>
    </row>
    <row r="112" spans="1:14">
      <c r="A112" s="309">
        <v>41365</v>
      </c>
      <c r="B112" s="310">
        <v>13949.87</v>
      </c>
      <c r="C112">
        <v>1.6739999999999999</v>
      </c>
      <c r="E112">
        <f t="shared" si="5"/>
        <v>1.9270216849194277E-3</v>
      </c>
      <c r="F112">
        <f t="shared" si="6"/>
        <v>0.19270216849194277</v>
      </c>
      <c r="H112">
        <f t="shared" si="7"/>
        <v>-1.4812978315080572</v>
      </c>
      <c r="K112">
        <v>1.2110000000000001</v>
      </c>
      <c r="L112" s="380">
        <f t="shared" si="8"/>
        <v>1.2110000000000001E-2</v>
      </c>
      <c r="N112">
        <f t="shared" si="9"/>
        <v>-1.0182978315080573</v>
      </c>
    </row>
    <row r="113" spans="1:14">
      <c r="A113" s="309">
        <v>41334</v>
      </c>
      <c r="B113" s="310">
        <v>13923.04</v>
      </c>
      <c r="C113">
        <v>1.762</v>
      </c>
      <c r="E113">
        <f t="shared" si="5"/>
        <v>1.5982171654740807E-2</v>
      </c>
      <c r="F113">
        <f t="shared" si="6"/>
        <v>1.5982171654740807</v>
      </c>
      <c r="H113">
        <f t="shared" si="7"/>
        <v>-0.16378283452591935</v>
      </c>
      <c r="K113">
        <v>1.282</v>
      </c>
      <c r="L113" s="380">
        <f t="shared" si="8"/>
        <v>1.282E-2</v>
      </c>
      <c r="N113">
        <f t="shared" si="9"/>
        <v>0.31621716547408063</v>
      </c>
    </row>
    <row r="114" spans="1:14">
      <c r="A114" s="309">
        <v>41306</v>
      </c>
      <c r="B114" s="310">
        <v>13704.02</v>
      </c>
      <c r="C114">
        <v>1.972</v>
      </c>
      <c r="E114">
        <f t="shared" si="5"/>
        <v>5.1688769954161495E-2</v>
      </c>
      <c r="F114">
        <f t="shared" si="6"/>
        <v>5.1688769954161495</v>
      </c>
      <c r="H114">
        <f t="shared" si="7"/>
        <v>3.1968769954161496</v>
      </c>
      <c r="K114">
        <v>1.458</v>
      </c>
      <c r="L114" s="380">
        <f t="shared" si="8"/>
        <v>1.4579999999999999E-2</v>
      </c>
      <c r="N114">
        <f t="shared" si="9"/>
        <v>3.7108769954161493</v>
      </c>
    </row>
    <row r="115" spans="1:14">
      <c r="A115" s="309">
        <v>41275</v>
      </c>
      <c r="B115" s="310">
        <v>13030.49</v>
      </c>
      <c r="C115">
        <v>2.0950000000000002</v>
      </c>
      <c r="E115">
        <f t="shared" si="5"/>
        <v>5.2971441546929121E-2</v>
      </c>
      <c r="F115">
        <f t="shared" si="6"/>
        <v>5.2971441546929121</v>
      </c>
      <c r="H115">
        <f t="shared" si="7"/>
        <v>3.2021441546929119</v>
      </c>
      <c r="K115">
        <v>1.677</v>
      </c>
      <c r="L115" s="380">
        <f t="shared" si="8"/>
        <v>1.677E-2</v>
      </c>
      <c r="N115">
        <f t="shared" si="9"/>
        <v>3.6201441546929121</v>
      </c>
    </row>
    <row r="116" spans="1:14">
      <c r="A116" s="309">
        <v>41244</v>
      </c>
      <c r="B116" s="310">
        <v>12374.97</v>
      </c>
      <c r="C116">
        <v>1.8360000000000001</v>
      </c>
      <c r="E116">
        <f t="shared" si="5"/>
        <v>2.83150881403198E-2</v>
      </c>
      <c r="F116">
        <f t="shared" si="6"/>
        <v>2.83150881403198</v>
      </c>
      <c r="H116">
        <f t="shared" si="7"/>
        <v>0.99550881403197988</v>
      </c>
      <c r="K116">
        <v>1.306</v>
      </c>
      <c r="L116" s="380">
        <f t="shared" si="8"/>
        <v>1.306E-2</v>
      </c>
      <c r="N116">
        <f t="shared" si="9"/>
        <v>1.5255088140319799</v>
      </c>
    </row>
    <row r="117" spans="1:14">
      <c r="A117" s="309">
        <v>41214</v>
      </c>
      <c r="B117" s="310">
        <v>12034.22</v>
      </c>
      <c r="C117">
        <v>1.7729999999999999</v>
      </c>
      <c r="E117">
        <f t="shared" si="5"/>
        <v>8.3175882596908668E-3</v>
      </c>
      <c r="F117">
        <f t="shared" si="6"/>
        <v>0.83175882596908668</v>
      </c>
      <c r="H117">
        <f t="shared" si="7"/>
        <v>-0.94124117403091323</v>
      </c>
      <c r="K117">
        <v>1.383</v>
      </c>
      <c r="L117" s="380">
        <f t="shared" si="8"/>
        <v>1.383E-2</v>
      </c>
      <c r="N117">
        <f t="shared" si="9"/>
        <v>-0.55124117403091333</v>
      </c>
    </row>
    <row r="118" spans="1:14">
      <c r="A118" s="309">
        <v>41183</v>
      </c>
      <c r="B118" s="310">
        <v>11934.95</v>
      </c>
      <c r="C118">
        <v>1.8460000000000001</v>
      </c>
      <c r="E118">
        <f t="shared" si="5"/>
        <v>1.7116779301352469E-2</v>
      </c>
      <c r="F118">
        <f t="shared" si="6"/>
        <v>1.7116779301352469</v>
      </c>
      <c r="H118">
        <f t="shared" si="7"/>
        <v>-0.13432206986475315</v>
      </c>
      <c r="K118">
        <v>1.4590000000000001</v>
      </c>
      <c r="L118" s="380">
        <f t="shared" si="8"/>
        <v>1.4590000000000001E-2</v>
      </c>
      <c r="N118">
        <f t="shared" si="9"/>
        <v>0.25267793013524686</v>
      </c>
    </row>
    <row r="119" spans="1:14">
      <c r="A119" s="309">
        <v>41153</v>
      </c>
      <c r="B119" s="310">
        <v>11734.1</v>
      </c>
      <c r="C119">
        <v>1.7150000000000001</v>
      </c>
      <c r="E119">
        <f t="shared" si="5"/>
        <v>2.8387783200805483E-2</v>
      </c>
      <c r="F119">
        <f t="shared" si="6"/>
        <v>2.8387783200805483</v>
      </c>
      <c r="H119">
        <f t="shared" si="7"/>
        <v>1.1237783200805482</v>
      </c>
      <c r="K119">
        <v>1.4339999999999999</v>
      </c>
      <c r="L119" s="380">
        <f t="shared" si="8"/>
        <v>1.4339999999999999E-2</v>
      </c>
      <c r="N119">
        <f t="shared" si="9"/>
        <v>1.4047783200805484</v>
      </c>
    </row>
    <row r="120" spans="1:14">
      <c r="A120" s="309">
        <v>41122</v>
      </c>
      <c r="B120" s="310">
        <v>11410.19</v>
      </c>
      <c r="C120">
        <v>1.474</v>
      </c>
      <c r="E120">
        <f t="shared" si="5"/>
        <v>2.4558463960117516E-2</v>
      </c>
      <c r="F120">
        <f t="shared" si="6"/>
        <v>2.4558463960117516</v>
      </c>
      <c r="H120">
        <f t="shared" si="7"/>
        <v>0.98184639601175161</v>
      </c>
      <c r="K120">
        <v>1.34</v>
      </c>
      <c r="L120" s="380">
        <f t="shared" si="8"/>
        <v>1.34E-2</v>
      </c>
      <c r="N120">
        <f t="shared" si="9"/>
        <v>1.1158463960117515</v>
      </c>
    </row>
    <row r="121" spans="1:14">
      <c r="A121" s="309">
        <v>41091</v>
      </c>
      <c r="B121" s="310">
        <v>11136.69</v>
      </c>
      <c r="C121">
        <v>1.4710000000000001</v>
      </c>
      <c r="E121">
        <f t="shared" si="5"/>
        <v>1.8711815538234644E-2</v>
      </c>
      <c r="F121">
        <f t="shared" si="6"/>
        <v>1.8711815538234644</v>
      </c>
      <c r="H121">
        <f t="shared" si="7"/>
        <v>0.40018155382346432</v>
      </c>
      <c r="K121">
        <v>1.2829999999999999</v>
      </c>
      <c r="L121" s="380">
        <f t="shared" si="8"/>
        <v>1.2829999999999999E-2</v>
      </c>
      <c r="N121">
        <f t="shared" si="9"/>
        <v>0.58818155382346449</v>
      </c>
    </row>
    <row r="122" spans="1:14">
      <c r="A122" s="309">
        <v>41061</v>
      </c>
      <c r="B122" s="310">
        <v>10932.13</v>
      </c>
      <c r="C122">
        <v>1.7310000000000001</v>
      </c>
      <c r="E122">
        <f t="shared" si="5"/>
        <v>3.5414113363805733E-2</v>
      </c>
      <c r="F122">
        <f t="shared" si="6"/>
        <v>3.5414113363805733</v>
      </c>
      <c r="H122">
        <f t="shared" si="7"/>
        <v>1.8104113363805732</v>
      </c>
      <c r="K122">
        <v>1.579</v>
      </c>
      <c r="L122" s="380">
        <f t="shared" si="8"/>
        <v>1.5789999999999998E-2</v>
      </c>
      <c r="N122">
        <f t="shared" si="9"/>
        <v>1.9624113363805733</v>
      </c>
    </row>
    <row r="123" spans="1:14">
      <c r="A123" s="309">
        <v>41030</v>
      </c>
      <c r="B123" s="310">
        <v>10558.22</v>
      </c>
      <c r="C123">
        <v>1.5680000000000001</v>
      </c>
      <c r="E123">
        <f t="shared" si="5"/>
        <v>-7.5267197368271255E-2</v>
      </c>
      <c r="F123">
        <f t="shared" si="6"/>
        <v>-7.5267197368271255</v>
      </c>
      <c r="H123">
        <f t="shared" si="7"/>
        <v>-9.0947197368271251</v>
      </c>
      <c r="K123">
        <v>1.2110000000000001</v>
      </c>
      <c r="L123" s="380">
        <f t="shared" si="8"/>
        <v>1.2110000000000001E-2</v>
      </c>
      <c r="N123">
        <f t="shared" si="9"/>
        <v>-8.7377197368271258</v>
      </c>
    </row>
    <row r="124" spans="1:14">
      <c r="A124" s="309">
        <v>41000</v>
      </c>
      <c r="B124" s="310">
        <v>11417.59</v>
      </c>
      <c r="C124">
        <v>2.11</v>
      </c>
      <c r="E124">
        <f t="shared" si="5"/>
        <v>-1.0511418785878579E-2</v>
      </c>
      <c r="F124">
        <f t="shared" si="6"/>
        <v>-1.0511418785878579</v>
      </c>
      <c r="H124">
        <f t="shared" si="7"/>
        <v>-3.1611418785878578</v>
      </c>
      <c r="K124">
        <v>1.663</v>
      </c>
      <c r="L124" s="380">
        <f t="shared" si="8"/>
        <v>1.6629999999999999E-2</v>
      </c>
      <c r="N124">
        <f t="shared" si="9"/>
        <v>-2.7141418785878582</v>
      </c>
    </row>
    <row r="125" spans="1:14">
      <c r="A125" s="309">
        <v>40969</v>
      </c>
      <c r="B125" s="310">
        <v>11538.88</v>
      </c>
      <c r="C125">
        <v>2.202</v>
      </c>
      <c r="E125">
        <f t="shared" si="5"/>
        <v>7.8046939959053319E-3</v>
      </c>
      <c r="F125">
        <f t="shared" si="6"/>
        <v>0.78046939959053319</v>
      </c>
      <c r="H125">
        <f t="shared" si="7"/>
        <v>-1.4215306004094668</v>
      </c>
      <c r="K125">
        <v>1.798</v>
      </c>
      <c r="L125" s="380">
        <f t="shared" si="8"/>
        <v>1.7979999999999999E-2</v>
      </c>
      <c r="N125">
        <f t="shared" si="9"/>
        <v>-1.0175306004094669</v>
      </c>
    </row>
    <row r="126" spans="1:14">
      <c r="A126" s="309">
        <v>40940</v>
      </c>
      <c r="B126" s="310">
        <v>11449.52</v>
      </c>
      <c r="C126">
        <v>2.1480000000000001</v>
      </c>
      <c r="E126">
        <f t="shared" si="5"/>
        <v>6.3157943608481482E-2</v>
      </c>
      <c r="F126">
        <f t="shared" si="6"/>
        <v>6.3157943608481482</v>
      </c>
      <c r="H126">
        <f t="shared" si="7"/>
        <v>4.1677943608481485</v>
      </c>
      <c r="K126">
        <v>1.8109999999999999</v>
      </c>
      <c r="L126" s="380">
        <f t="shared" si="8"/>
        <v>1.8110000000000001E-2</v>
      </c>
      <c r="N126">
        <f t="shared" si="9"/>
        <v>4.5047943608481482</v>
      </c>
    </row>
    <row r="127" spans="1:14">
      <c r="A127" s="309">
        <v>40909</v>
      </c>
      <c r="B127" s="310">
        <v>10769.35</v>
      </c>
      <c r="C127">
        <v>1.9690000000000001</v>
      </c>
      <c r="E127">
        <f t="shared" si="5"/>
        <v>6.5966207722535142E-2</v>
      </c>
      <c r="F127">
        <f t="shared" si="6"/>
        <v>6.5966207722535142</v>
      </c>
      <c r="H127">
        <f t="shared" si="7"/>
        <v>4.6276207722535139</v>
      </c>
      <c r="K127">
        <v>1.7929999999999999</v>
      </c>
      <c r="L127" s="380">
        <f t="shared" si="8"/>
        <v>1.7929999999999998E-2</v>
      </c>
      <c r="N127">
        <f t="shared" si="9"/>
        <v>4.803620772253514</v>
      </c>
    </row>
    <row r="128" spans="1:14">
      <c r="A128" s="309">
        <v>40878</v>
      </c>
      <c r="B128" s="310">
        <v>10102.9</v>
      </c>
      <c r="C128">
        <v>1.9770000000000001</v>
      </c>
      <c r="E128">
        <f t="shared" si="5"/>
        <v>-2.0589823456248046E-2</v>
      </c>
      <c r="F128">
        <f t="shared" si="6"/>
        <v>-2.0589823456248046</v>
      </c>
      <c r="H128">
        <f t="shared" si="7"/>
        <v>-4.035982345624805</v>
      </c>
      <c r="K128">
        <v>1.825</v>
      </c>
      <c r="L128" s="380">
        <f t="shared" si="8"/>
        <v>1.8249999999999999E-2</v>
      </c>
      <c r="N128">
        <f t="shared" si="9"/>
        <v>-3.8839823456248048</v>
      </c>
    </row>
    <row r="129" spans="1:14">
      <c r="A129" s="309">
        <v>40848</v>
      </c>
      <c r="B129" s="310">
        <v>10315.290000000001</v>
      </c>
      <c r="C129">
        <v>2.3170000000000002</v>
      </c>
      <c r="E129">
        <f t="shared" si="5"/>
        <v>-1.569218320301824E-2</v>
      </c>
      <c r="F129">
        <f t="shared" si="6"/>
        <v>-1.569218320301824</v>
      </c>
      <c r="H129">
        <f t="shared" si="7"/>
        <v>-3.8862183203018241</v>
      </c>
      <c r="K129">
        <v>2.2810000000000001</v>
      </c>
      <c r="L129" s="380">
        <f t="shared" si="8"/>
        <v>2.281E-2</v>
      </c>
      <c r="N129">
        <f t="shared" si="9"/>
        <v>-3.8502183203018241</v>
      </c>
    </row>
    <row r="130" spans="1:14">
      <c r="A130" s="309">
        <v>40817</v>
      </c>
      <c r="B130" s="310">
        <v>10479.74</v>
      </c>
      <c r="C130">
        <v>2.4420000000000002</v>
      </c>
      <c r="E130">
        <f t="shared" ref="E130:E193" si="10">B130/B131-1</f>
        <v>6.7250681814941649E-2</v>
      </c>
      <c r="F130">
        <f t="shared" ref="F130:F193" si="11">E130*$E$1</f>
        <v>6.7250681814941649</v>
      </c>
      <c r="H130">
        <f t="shared" ref="H130:H193" si="12">F130-C130</f>
        <v>4.2830681814941647</v>
      </c>
      <c r="K130">
        <v>2.0249999999999999</v>
      </c>
      <c r="L130" s="380">
        <f t="shared" si="8"/>
        <v>2.0250000000000001E-2</v>
      </c>
      <c r="N130">
        <f t="shared" si="9"/>
        <v>4.7000681814941654</v>
      </c>
    </row>
    <row r="131" spans="1:14">
      <c r="A131" s="309">
        <v>40787</v>
      </c>
      <c r="B131" s="310">
        <v>9819.3799999999992</v>
      </c>
      <c r="C131">
        <v>2.42</v>
      </c>
      <c r="E131">
        <f t="shared" si="10"/>
        <v>-6.7124710120626041E-2</v>
      </c>
      <c r="F131">
        <f t="shared" si="11"/>
        <v>-6.7124710120626041</v>
      </c>
      <c r="H131">
        <f t="shared" si="12"/>
        <v>-9.132471012062604</v>
      </c>
      <c r="K131">
        <v>1.8879999999999999</v>
      </c>
      <c r="L131" s="380">
        <f t="shared" ref="L131:L194" si="13">K131/100</f>
        <v>1.8879999999999997E-2</v>
      </c>
      <c r="N131">
        <f t="shared" ref="N131:N194" si="14">F131-K131</f>
        <v>-8.600471012062604</v>
      </c>
    </row>
    <row r="132" spans="1:14">
      <c r="A132" s="309">
        <v>40756</v>
      </c>
      <c r="B132" s="310">
        <v>10525.93</v>
      </c>
      <c r="C132">
        <v>2.605</v>
      </c>
      <c r="E132">
        <f t="shared" si="10"/>
        <v>-8.8826581579389274E-2</v>
      </c>
      <c r="F132">
        <f t="shared" si="11"/>
        <v>-8.882658157938927</v>
      </c>
      <c r="H132">
        <f t="shared" si="12"/>
        <v>-11.487658157938927</v>
      </c>
      <c r="K132">
        <v>2.222</v>
      </c>
      <c r="L132" s="380">
        <f t="shared" si="13"/>
        <v>2.222E-2</v>
      </c>
      <c r="N132">
        <f t="shared" si="14"/>
        <v>-11.104658157938927</v>
      </c>
    </row>
    <row r="133" spans="1:14">
      <c r="A133" s="309">
        <v>40725</v>
      </c>
      <c r="B133" s="310">
        <v>11552.06</v>
      </c>
      <c r="C133">
        <v>2.8660000000000001</v>
      </c>
      <c r="E133">
        <f t="shared" si="10"/>
        <v>-3.2007601784475481E-2</v>
      </c>
      <c r="F133">
        <f t="shared" si="11"/>
        <v>-3.2007601784475481</v>
      </c>
      <c r="H133">
        <f t="shared" si="12"/>
        <v>-6.0667601784475487</v>
      </c>
      <c r="K133">
        <v>2.5449999999999999</v>
      </c>
      <c r="L133" s="380">
        <f t="shared" si="13"/>
        <v>2.545E-2</v>
      </c>
      <c r="N133">
        <f t="shared" si="14"/>
        <v>-5.745760178447548</v>
      </c>
    </row>
    <row r="134" spans="1:14">
      <c r="A134" s="309">
        <v>40695</v>
      </c>
      <c r="B134" s="310">
        <v>11934.04</v>
      </c>
      <c r="C134">
        <v>3.39</v>
      </c>
      <c r="E134">
        <f t="shared" si="10"/>
        <v>-1.0509261831107231E-2</v>
      </c>
      <c r="F134">
        <f t="shared" si="11"/>
        <v>-1.0509261831107231</v>
      </c>
      <c r="H134">
        <f t="shared" si="12"/>
        <v>-4.4409261831107232</v>
      </c>
      <c r="K134">
        <v>3.028</v>
      </c>
      <c r="L134" s="380">
        <f t="shared" si="13"/>
        <v>3.0280000000000001E-2</v>
      </c>
      <c r="N134">
        <f t="shared" si="14"/>
        <v>-4.0789261831107231</v>
      </c>
    </row>
    <row r="135" spans="1:14">
      <c r="A135" s="309">
        <v>40664</v>
      </c>
      <c r="B135" s="310">
        <v>12060.79</v>
      </c>
      <c r="C135">
        <v>3.2989999999999999</v>
      </c>
      <c r="E135">
        <f t="shared" si="10"/>
        <v>3.9046502878339329E-3</v>
      </c>
      <c r="F135">
        <f t="shared" si="11"/>
        <v>0.39046502878339329</v>
      </c>
      <c r="H135">
        <f t="shared" si="12"/>
        <v>-2.9085349712166066</v>
      </c>
      <c r="K135">
        <v>3.0209999999999999</v>
      </c>
      <c r="L135" s="380">
        <f t="shared" si="13"/>
        <v>3.0210000000000001E-2</v>
      </c>
      <c r="N135">
        <f t="shared" si="14"/>
        <v>-2.6305349712166066</v>
      </c>
    </row>
    <row r="136" spans="1:14">
      <c r="A136" s="309">
        <v>40634</v>
      </c>
      <c r="B136" s="310">
        <v>12013.88</v>
      </c>
      <c r="C136">
        <v>3.484</v>
      </c>
      <c r="E136">
        <f t="shared" si="10"/>
        <v>3.6395852994915323E-2</v>
      </c>
      <c r="F136">
        <f t="shared" si="11"/>
        <v>3.6395852994915323</v>
      </c>
      <c r="H136">
        <f t="shared" si="12"/>
        <v>0.15558529949153233</v>
      </c>
      <c r="K136">
        <v>3.2360000000000002</v>
      </c>
      <c r="L136" s="380">
        <f t="shared" si="13"/>
        <v>3.236E-2</v>
      </c>
      <c r="N136">
        <f t="shared" si="14"/>
        <v>0.4035852994915321</v>
      </c>
    </row>
    <row r="137" spans="1:14">
      <c r="A137" s="309">
        <v>40603</v>
      </c>
      <c r="B137" s="310">
        <v>11591.98</v>
      </c>
      <c r="C137">
        <v>3.6909999999999998</v>
      </c>
      <c r="E137">
        <f t="shared" si="10"/>
        <v>-2.5220952235079919E-3</v>
      </c>
      <c r="F137">
        <f t="shared" si="11"/>
        <v>-0.25220952235079919</v>
      </c>
      <c r="H137">
        <f t="shared" si="12"/>
        <v>-3.943209522350799</v>
      </c>
      <c r="K137">
        <v>3.3580000000000001</v>
      </c>
      <c r="L137" s="380">
        <f t="shared" si="13"/>
        <v>3.3579999999999999E-2</v>
      </c>
      <c r="N137">
        <f t="shared" si="14"/>
        <v>-3.6102095223507993</v>
      </c>
    </row>
    <row r="138" spans="1:14">
      <c r="A138" s="309">
        <v>40575</v>
      </c>
      <c r="B138" s="310">
        <v>11621.29</v>
      </c>
      <c r="C138">
        <v>3.6890000000000001</v>
      </c>
      <c r="E138">
        <f t="shared" si="10"/>
        <v>1.3056694367175714E-2</v>
      </c>
      <c r="F138">
        <f t="shared" si="11"/>
        <v>1.3056694367175714</v>
      </c>
      <c r="H138">
        <f t="shared" si="12"/>
        <v>-2.3833305632824286</v>
      </c>
      <c r="K138">
        <v>3.1709999999999998</v>
      </c>
      <c r="L138" s="380">
        <f t="shared" si="13"/>
        <v>3.1709999999999995E-2</v>
      </c>
      <c r="N138">
        <f t="shared" si="14"/>
        <v>-1.8653305632824284</v>
      </c>
    </row>
    <row r="139" spans="1:14">
      <c r="A139" s="309">
        <v>40544</v>
      </c>
      <c r="B139" s="310">
        <v>11471.51</v>
      </c>
      <c r="C139">
        <v>3.6589999999999998</v>
      </c>
      <c r="E139">
        <f t="shared" si="10"/>
        <v>-7.5518219884416204E-3</v>
      </c>
      <c r="F139">
        <f t="shared" si="11"/>
        <v>-0.75518219884416204</v>
      </c>
      <c r="H139">
        <f t="shared" si="12"/>
        <v>-4.4141821988441619</v>
      </c>
      <c r="K139">
        <v>3.1629999999999998</v>
      </c>
      <c r="L139" s="380">
        <f t="shared" si="13"/>
        <v>3.1629999999999998E-2</v>
      </c>
      <c r="N139">
        <f t="shared" si="14"/>
        <v>-3.9181821988441619</v>
      </c>
    </row>
    <row r="140" spans="1:14">
      <c r="A140" s="309">
        <v>40513</v>
      </c>
      <c r="B140" s="310">
        <v>11558.8</v>
      </c>
      <c r="C140">
        <v>3.395</v>
      </c>
      <c r="E140">
        <f t="shared" si="10"/>
        <v>8.9656147627913407E-2</v>
      </c>
      <c r="F140">
        <f t="shared" si="11"/>
        <v>8.9656147627913398</v>
      </c>
      <c r="H140">
        <f t="shared" si="12"/>
        <v>5.5706147627913403</v>
      </c>
      <c r="K140">
        <v>2.9489999999999998</v>
      </c>
      <c r="L140" s="380">
        <f t="shared" si="13"/>
        <v>2.9489999999999999E-2</v>
      </c>
      <c r="N140">
        <f t="shared" si="14"/>
        <v>6.01661476279134</v>
      </c>
    </row>
    <row r="141" spans="1:14">
      <c r="A141" s="309">
        <v>40483</v>
      </c>
      <c r="B141" s="310">
        <v>10607.75</v>
      </c>
      <c r="C141">
        <v>3.222</v>
      </c>
      <c r="E141">
        <f t="shared" si="10"/>
        <v>-2.1741135242311027E-2</v>
      </c>
      <c r="F141">
        <f t="shared" si="11"/>
        <v>-2.1741135242311027</v>
      </c>
      <c r="H141">
        <f t="shared" si="12"/>
        <v>-5.3961135242311027</v>
      </c>
      <c r="K141">
        <v>2.6669999999999998</v>
      </c>
      <c r="L141" s="380">
        <f t="shared" si="13"/>
        <v>2.6669999999999999E-2</v>
      </c>
      <c r="N141">
        <f t="shared" si="14"/>
        <v>-4.841113524231103</v>
      </c>
    </row>
    <row r="142" spans="1:14">
      <c r="A142" s="309">
        <v>40452</v>
      </c>
      <c r="B142" s="310">
        <v>10843.5</v>
      </c>
      <c r="C142">
        <v>3.0720000000000001</v>
      </c>
      <c r="E142">
        <f t="shared" si="10"/>
        <v>2.9596080442089834E-2</v>
      </c>
      <c r="F142">
        <f t="shared" si="11"/>
        <v>2.9596080442089834</v>
      </c>
      <c r="H142">
        <f t="shared" si="12"/>
        <v>-0.11239195579101668</v>
      </c>
      <c r="K142">
        <v>2.524</v>
      </c>
      <c r="L142" s="380">
        <f t="shared" si="13"/>
        <v>2.5239999999999999E-2</v>
      </c>
      <c r="N142">
        <f t="shared" si="14"/>
        <v>0.43560804420898336</v>
      </c>
    </row>
    <row r="143" spans="1:14">
      <c r="A143" s="309">
        <v>40422</v>
      </c>
      <c r="B143" s="310">
        <v>10531.8</v>
      </c>
      <c r="C143">
        <v>2.9460000000000002</v>
      </c>
      <c r="E143">
        <f t="shared" si="10"/>
        <v>7.1923657067481939E-2</v>
      </c>
      <c r="F143">
        <f t="shared" si="11"/>
        <v>7.1923657067481939</v>
      </c>
      <c r="H143">
        <f t="shared" si="12"/>
        <v>4.2463657067481932</v>
      </c>
      <c r="K143">
        <v>2.2850000000000001</v>
      </c>
      <c r="L143" s="380">
        <f t="shared" si="13"/>
        <v>2.2850000000000002E-2</v>
      </c>
      <c r="N143">
        <f t="shared" si="14"/>
        <v>4.9073657067481937</v>
      </c>
    </row>
    <row r="144" spans="1:14">
      <c r="A144" s="309">
        <v>40391</v>
      </c>
      <c r="B144" s="310">
        <v>9825.14</v>
      </c>
      <c r="C144">
        <v>2.8340000000000001</v>
      </c>
      <c r="E144">
        <f t="shared" si="10"/>
        <v>-1.242169846975294E-2</v>
      </c>
      <c r="F144">
        <f t="shared" si="11"/>
        <v>-1.242169846975294</v>
      </c>
      <c r="H144">
        <f t="shared" si="12"/>
        <v>-4.0761698469752936</v>
      </c>
      <c r="K144">
        <v>2.1120000000000001</v>
      </c>
      <c r="L144" s="380">
        <f t="shared" si="13"/>
        <v>2.112E-2</v>
      </c>
      <c r="N144">
        <f t="shared" si="14"/>
        <v>-3.3541698469752941</v>
      </c>
    </row>
    <row r="145" spans="1:14">
      <c r="A145" s="309">
        <v>40360</v>
      </c>
      <c r="B145" s="310">
        <v>9948.7199999999993</v>
      </c>
      <c r="C145">
        <v>3.3319999999999999</v>
      </c>
      <c r="E145">
        <f t="shared" si="10"/>
        <v>6.2202918604502111E-2</v>
      </c>
      <c r="F145">
        <f t="shared" si="11"/>
        <v>6.2202918604502111</v>
      </c>
      <c r="H145">
        <f t="shared" si="12"/>
        <v>2.8882918604502112</v>
      </c>
      <c r="K145">
        <v>2.6720000000000002</v>
      </c>
      <c r="L145" s="380">
        <f t="shared" si="13"/>
        <v>2.6720000000000001E-2</v>
      </c>
      <c r="N145">
        <f t="shared" si="14"/>
        <v>3.5482918604502109</v>
      </c>
    </row>
    <row r="146" spans="1:14">
      <c r="A146" s="309">
        <v>40330</v>
      </c>
      <c r="B146" s="310">
        <v>9366.1200000000008</v>
      </c>
      <c r="C146">
        <v>3.3580000000000001</v>
      </c>
      <c r="E146">
        <f t="shared" si="10"/>
        <v>-2.8122451266661908E-2</v>
      </c>
      <c r="F146">
        <f t="shared" si="11"/>
        <v>-2.8122451266661908</v>
      </c>
      <c r="H146">
        <f t="shared" si="12"/>
        <v>-6.1702451266661908</v>
      </c>
      <c r="K146">
        <v>2.552</v>
      </c>
      <c r="L146" s="380">
        <f t="shared" si="13"/>
        <v>2.5520000000000001E-2</v>
      </c>
      <c r="N146">
        <f t="shared" si="14"/>
        <v>-5.3642451266661908</v>
      </c>
    </row>
    <row r="147" spans="1:14">
      <c r="A147" s="309">
        <v>40299</v>
      </c>
      <c r="B147" s="310">
        <v>9637.14</v>
      </c>
      <c r="C147">
        <v>3.5880000000000001</v>
      </c>
      <c r="E147">
        <f t="shared" si="10"/>
        <v>-7.0312560293266491E-2</v>
      </c>
      <c r="F147">
        <f t="shared" si="11"/>
        <v>-7.0312560293266486</v>
      </c>
      <c r="H147">
        <f t="shared" si="12"/>
        <v>-10.61925602932665</v>
      </c>
      <c r="K147">
        <v>2.653</v>
      </c>
      <c r="L147" s="380">
        <f t="shared" si="13"/>
        <v>2.6530000000000001E-2</v>
      </c>
      <c r="N147">
        <f t="shared" si="14"/>
        <v>-9.6842560293266491</v>
      </c>
    </row>
    <row r="148" spans="1:14">
      <c r="A148" s="309">
        <v>40269</v>
      </c>
      <c r="B148" s="310">
        <v>10366</v>
      </c>
      <c r="C148">
        <v>3.9140000000000001</v>
      </c>
      <c r="E148">
        <f t="shared" si="10"/>
        <v>1.9745643996033513E-2</v>
      </c>
      <c r="F148">
        <f t="shared" si="11"/>
        <v>1.9745643996033513</v>
      </c>
      <c r="H148">
        <f t="shared" si="12"/>
        <v>-1.9394356003966489</v>
      </c>
      <c r="K148">
        <v>2.9649999999999999</v>
      </c>
      <c r="L148" s="380">
        <f t="shared" si="13"/>
        <v>2.9649999999999999E-2</v>
      </c>
      <c r="N148">
        <f t="shared" si="14"/>
        <v>-0.99043560039664857</v>
      </c>
    </row>
    <row r="149" spans="1:14">
      <c r="A149" s="309">
        <v>40238</v>
      </c>
      <c r="B149" s="310">
        <v>10165.280000000001</v>
      </c>
      <c r="C149">
        <v>3.9449999999999998</v>
      </c>
      <c r="E149">
        <f t="shared" si="10"/>
        <v>8.7848430983723969E-2</v>
      </c>
      <c r="F149">
        <f t="shared" si="11"/>
        <v>8.7848430983723969</v>
      </c>
      <c r="H149">
        <f t="shared" si="12"/>
        <v>4.8398430983723966</v>
      </c>
      <c r="K149">
        <v>3.1019999999999999</v>
      </c>
      <c r="L149" s="380">
        <f t="shared" si="13"/>
        <v>3.1019999999999999E-2</v>
      </c>
      <c r="N149">
        <f t="shared" si="14"/>
        <v>5.6828430983723965</v>
      </c>
    </row>
    <row r="150" spans="1:14">
      <c r="A150" s="309">
        <v>40210</v>
      </c>
      <c r="B150" s="310">
        <v>9344.39</v>
      </c>
      <c r="C150">
        <v>4.032</v>
      </c>
      <c r="E150">
        <f t="shared" si="10"/>
        <v>1.159321446743089E-2</v>
      </c>
      <c r="F150">
        <f t="shared" si="11"/>
        <v>1.159321446743089</v>
      </c>
      <c r="H150">
        <f t="shared" si="12"/>
        <v>-2.872678553256911</v>
      </c>
      <c r="K150">
        <v>3.1070000000000002</v>
      </c>
      <c r="L150" s="380">
        <f t="shared" si="13"/>
        <v>3.107E-2</v>
      </c>
      <c r="N150">
        <f t="shared" si="14"/>
        <v>-1.9476785532569112</v>
      </c>
    </row>
    <row r="151" spans="1:14">
      <c r="A151" s="309">
        <v>40179</v>
      </c>
      <c r="B151" s="310">
        <v>9237.2999999999993</v>
      </c>
      <c r="C151">
        <v>3.9</v>
      </c>
      <c r="E151">
        <f t="shared" si="10"/>
        <v>-7.477256097364493E-3</v>
      </c>
      <c r="F151">
        <f t="shared" si="11"/>
        <v>-0.7477256097364493</v>
      </c>
      <c r="H151">
        <f t="shared" si="12"/>
        <v>-4.6477256097364492</v>
      </c>
      <c r="K151">
        <v>3.2</v>
      </c>
      <c r="L151" s="380">
        <f t="shared" si="13"/>
        <v>3.2000000000000001E-2</v>
      </c>
      <c r="N151">
        <f t="shared" si="14"/>
        <v>-3.9477256097364495</v>
      </c>
    </row>
    <row r="152" spans="1:14">
      <c r="A152" s="309">
        <v>40148</v>
      </c>
      <c r="B152" s="310">
        <v>9306.89</v>
      </c>
      <c r="C152">
        <v>4.0119999999999996</v>
      </c>
      <c r="E152">
        <f t="shared" si="10"/>
        <v>4.3555823664228166E-2</v>
      </c>
      <c r="F152">
        <f t="shared" si="11"/>
        <v>4.3555823664228166</v>
      </c>
      <c r="H152">
        <f t="shared" si="12"/>
        <v>0.34358236642281703</v>
      </c>
      <c r="K152">
        <v>3.4009999999999998</v>
      </c>
      <c r="L152" s="380">
        <f t="shared" si="13"/>
        <v>3.4009999999999999E-2</v>
      </c>
      <c r="N152">
        <f t="shared" si="14"/>
        <v>0.9545823664228168</v>
      </c>
    </row>
    <row r="153" spans="1:14">
      <c r="A153" s="309">
        <v>40118</v>
      </c>
      <c r="B153" s="310">
        <v>8918.44</v>
      </c>
      <c r="C153">
        <v>3.5249999999999999</v>
      </c>
      <c r="E153">
        <f t="shared" si="10"/>
        <v>3.6766650498494258E-3</v>
      </c>
      <c r="F153">
        <f t="shared" si="11"/>
        <v>0.36766650498494258</v>
      </c>
      <c r="H153">
        <f t="shared" si="12"/>
        <v>-3.1573334950150573</v>
      </c>
      <c r="K153">
        <v>3.16</v>
      </c>
      <c r="L153" s="380">
        <f t="shared" si="13"/>
        <v>3.1600000000000003E-2</v>
      </c>
      <c r="N153">
        <f t="shared" si="14"/>
        <v>-2.7923334950150576</v>
      </c>
    </row>
    <row r="154" spans="1:14">
      <c r="A154" s="309">
        <v>40087</v>
      </c>
      <c r="B154" s="310">
        <v>8885.77</v>
      </c>
      <c r="C154">
        <v>3.6120000000000001</v>
      </c>
      <c r="E154">
        <f t="shared" si="10"/>
        <v>-2.8060741760014607E-2</v>
      </c>
      <c r="F154">
        <f t="shared" si="11"/>
        <v>-2.8060741760014607</v>
      </c>
      <c r="H154">
        <f t="shared" si="12"/>
        <v>-6.4180741760014612</v>
      </c>
      <c r="K154">
        <v>3.2410000000000001</v>
      </c>
      <c r="L154" s="380">
        <f t="shared" si="13"/>
        <v>3.2410000000000001E-2</v>
      </c>
      <c r="N154">
        <f t="shared" si="14"/>
        <v>-6.0470741760014608</v>
      </c>
    </row>
    <row r="155" spans="1:14">
      <c r="A155" s="309">
        <v>40057</v>
      </c>
      <c r="B155" s="310">
        <v>9142.31</v>
      </c>
      <c r="C155">
        <v>3.5920000000000001</v>
      </c>
      <c r="E155">
        <f t="shared" si="10"/>
        <v>3.6835796046729596E-2</v>
      </c>
      <c r="F155">
        <f t="shared" si="11"/>
        <v>3.6835796046729596</v>
      </c>
      <c r="H155">
        <f t="shared" si="12"/>
        <v>9.1579604672959558E-2</v>
      </c>
      <c r="K155">
        <v>3.206</v>
      </c>
      <c r="L155" s="380">
        <f t="shared" si="13"/>
        <v>3.2059999999999998E-2</v>
      </c>
      <c r="N155">
        <f t="shared" si="14"/>
        <v>0.47757960467295968</v>
      </c>
    </row>
    <row r="156" spans="1:14">
      <c r="A156" s="309">
        <v>40026</v>
      </c>
      <c r="B156" s="310">
        <v>8817.51</v>
      </c>
      <c r="C156">
        <v>3.5449999999999999</v>
      </c>
      <c r="E156">
        <f t="shared" si="10"/>
        <v>0.10219426097130491</v>
      </c>
      <c r="F156">
        <f t="shared" si="11"/>
        <v>10.219426097130491</v>
      </c>
      <c r="H156">
        <f t="shared" si="12"/>
        <v>6.6744260971304907</v>
      </c>
      <c r="K156">
        <v>3.2679999999999998</v>
      </c>
      <c r="L156" s="380">
        <f t="shared" si="13"/>
        <v>3.2680000000000001E-2</v>
      </c>
      <c r="N156">
        <f t="shared" si="14"/>
        <v>6.9514260971304909</v>
      </c>
    </row>
    <row r="157" spans="1:14">
      <c r="A157" s="309">
        <v>39995</v>
      </c>
      <c r="B157" s="310">
        <v>7999.96</v>
      </c>
      <c r="C157">
        <v>3.7989999999999999</v>
      </c>
      <c r="E157">
        <f t="shared" si="10"/>
        <v>7.8952763211842525E-2</v>
      </c>
      <c r="F157">
        <f t="shared" si="11"/>
        <v>7.8952763211842525</v>
      </c>
      <c r="H157">
        <f t="shared" si="12"/>
        <v>4.0962763211842521</v>
      </c>
      <c r="K157">
        <v>3.3039999999999998</v>
      </c>
      <c r="L157" s="380">
        <f t="shared" si="13"/>
        <v>3.304E-2</v>
      </c>
      <c r="N157">
        <f t="shared" si="14"/>
        <v>4.5912763211842531</v>
      </c>
    </row>
    <row r="158" spans="1:14">
      <c r="A158" s="309">
        <v>39965</v>
      </c>
      <c r="B158" s="310">
        <v>7414.56</v>
      </c>
      <c r="C158">
        <v>3.6819999999999999</v>
      </c>
      <c r="E158">
        <f t="shared" si="10"/>
        <v>-2.0792393026941358E-2</v>
      </c>
      <c r="F158">
        <f t="shared" si="11"/>
        <v>-2.0792393026941358</v>
      </c>
      <c r="H158">
        <f t="shared" si="12"/>
        <v>-5.7612393026941362</v>
      </c>
      <c r="K158">
        <v>3.3849999999999998</v>
      </c>
      <c r="L158" s="380">
        <f t="shared" si="13"/>
        <v>3.3849999999999998E-2</v>
      </c>
      <c r="N158">
        <f t="shared" si="14"/>
        <v>-5.4642393026941356</v>
      </c>
    </row>
    <row r="159" spans="1:14">
      <c r="A159" s="309">
        <v>39934</v>
      </c>
      <c r="B159" s="310">
        <v>7572</v>
      </c>
      <c r="C159">
        <v>3.7280000000000002</v>
      </c>
      <c r="E159">
        <f t="shared" si="10"/>
        <v>5.7179287948518898E-3</v>
      </c>
      <c r="F159">
        <f t="shared" si="11"/>
        <v>0.57179287948518898</v>
      </c>
      <c r="H159">
        <f t="shared" si="12"/>
        <v>-3.1562071205148112</v>
      </c>
      <c r="K159">
        <v>3.6120000000000001</v>
      </c>
      <c r="L159" s="380">
        <f t="shared" si="13"/>
        <v>3.6119999999999999E-2</v>
      </c>
      <c r="N159">
        <f t="shared" si="14"/>
        <v>-3.0402071205148111</v>
      </c>
    </row>
    <row r="160" spans="1:14">
      <c r="A160" s="309">
        <v>39904</v>
      </c>
      <c r="B160" s="310">
        <v>7528.95</v>
      </c>
      <c r="C160">
        <v>3.4830000000000001</v>
      </c>
      <c r="E160">
        <f t="shared" si="10"/>
        <v>0.18121743550641756</v>
      </c>
      <c r="F160">
        <f t="shared" si="11"/>
        <v>18.121743550641757</v>
      </c>
      <c r="H160">
        <f t="shared" si="12"/>
        <v>14.638743550641756</v>
      </c>
      <c r="K160">
        <v>3.1829999999999998</v>
      </c>
      <c r="L160" s="380">
        <f t="shared" si="13"/>
        <v>3.1829999999999997E-2</v>
      </c>
      <c r="N160">
        <f t="shared" si="14"/>
        <v>14.938743550641757</v>
      </c>
    </row>
    <row r="161" spans="1:14">
      <c r="A161" s="309">
        <v>39873</v>
      </c>
      <c r="B161" s="310">
        <v>6373.89</v>
      </c>
      <c r="C161">
        <v>3.157</v>
      </c>
      <c r="E161">
        <f t="shared" si="10"/>
        <v>5.3685317251708442E-2</v>
      </c>
      <c r="F161">
        <f t="shared" si="11"/>
        <v>5.3685317251708442</v>
      </c>
      <c r="H161">
        <f t="shared" si="12"/>
        <v>2.2115317251708442</v>
      </c>
      <c r="K161">
        <v>2.9969999999999999</v>
      </c>
      <c r="L161" s="380">
        <f t="shared" si="13"/>
        <v>2.997E-2</v>
      </c>
      <c r="N161">
        <f t="shared" si="14"/>
        <v>2.3715317251708443</v>
      </c>
    </row>
    <row r="162" spans="1:14">
      <c r="A162" s="309">
        <v>39845</v>
      </c>
      <c r="B162" s="310">
        <v>6049.14</v>
      </c>
      <c r="C162">
        <v>3.64</v>
      </c>
      <c r="E162">
        <f t="shared" si="10"/>
        <v>-3.2255277758224565E-2</v>
      </c>
      <c r="F162">
        <f t="shared" si="11"/>
        <v>-3.2255277758224565</v>
      </c>
      <c r="H162">
        <f t="shared" si="12"/>
        <v>-6.8655277758224571</v>
      </c>
      <c r="K162">
        <v>3.0910000000000002</v>
      </c>
      <c r="L162" s="380">
        <f t="shared" si="13"/>
        <v>3.0910000000000003E-2</v>
      </c>
      <c r="N162">
        <f t="shared" si="14"/>
        <v>-6.3165277758224567</v>
      </c>
    </row>
    <row r="163" spans="1:14">
      <c r="A163" s="309">
        <v>39814</v>
      </c>
      <c r="B163" s="310">
        <v>6250.76</v>
      </c>
      <c r="C163">
        <v>3.702</v>
      </c>
      <c r="E163">
        <f t="shared" si="10"/>
        <v>-1.73074353270396E-2</v>
      </c>
      <c r="F163">
        <f t="shared" si="11"/>
        <v>-1.73074353270396</v>
      </c>
      <c r="H163">
        <f t="shared" si="12"/>
        <v>-5.4327435327039595</v>
      </c>
      <c r="K163">
        <v>3.2770000000000001</v>
      </c>
      <c r="L163" s="380">
        <f t="shared" si="13"/>
        <v>3.2770000000000001E-2</v>
      </c>
      <c r="N163">
        <f t="shared" si="14"/>
        <v>-5.0077435327039606</v>
      </c>
    </row>
    <row r="164" spans="1:14">
      <c r="A164" s="309">
        <v>39783</v>
      </c>
      <c r="B164" s="310">
        <v>6360.85</v>
      </c>
      <c r="C164">
        <v>3.0169999999999999</v>
      </c>
      <c r="E164">
        <f t="shared" si="10"/>
        <v>4.390545712353866E-2</v>
      </c>
      <c r="F164">
        <f t="shared" si="11"/>
        <v>4.390545712353866</v>
      </c>
      <c r="H164">
        <f t="shared" si="12"/>
        <v>1.3735457123538661</v>
      </c>
      <c r="K164">
        <v>2.9470000000000001</v>
      </c>
      <c r="L164" s="380">
        <f t="shared" si="13"/>
        <v>2.947E-2</v>
      </c>
      <c r="N164">
        <f t="shared" si="14"/>
        <v>1.443545712353866</v>
      </c>
    </row>
    <row r="165" spans="1:14">
      <c r="A165" s="309">
        <v>39753</v>
      </c>
      <c r="B165" s="310">
        <v>6093.32</v>
      </c>
      <c r="C165">
        <v>3.7730000000000001</v>
      </c>
      <c r="E165">
        <f t="shared" si="10"/>
        <v>-3.0119935376558993E-2</v>
      </c>
      <c r="F165">
        <f t="shared" si="11"/>
        <v>-3.0119935376558993</v>
      </c>
      <c r="H165">
        <f t="shared" si="12"/>
        <v>-6.7849935376558994</v>
      </c>
      <c r="K165">
        <v>3.2509999999999999</v>
      </c>
      <c r="L165" s="380">
        <f t="shared" si="13"/>
        <v>3.2509999999999997E-2</v>
      </c>
      <c r="N165">
        <f t="shared" si="14"/>
        <v>-6.2629935376558992</v>
      </c>
    </row>
    <row r="166" spans="1:14">
      <c r="A166" s="309">
        <v>39722</v>
      </c>
      <c r="B166" s="310">
        <v>6282.55</v>
      </c>
      <c r="C166">
        <v>4.51</v>
      </c>
      <c r="E166">
        <f t="shared" si="10"/>
        <v>-0.20355087345655531</v>
      </c>
      <c r="F166">
        <f t="shared" si="11"/>
        <v>-20.35508734565553</v>
      </c>
      <c r="H166">
        <f t="shared" si="12"/>
        <v>-24.865087345655532</v>
      </c>
      <c r="K166">
        <v>3.8780000000000001</v>
      </c>
      <c r="L166" s="380">
        <f t="shared" si="13"/>
        <v>3.8780000000000002E-2</v>
      </c>
      <c r="N166">
        <f t="shared" si="14"/>
        <v>-24.23308734565553</v>
      </c>
    </row>
    <row r="167" spans="1:14">
      <c r="A167" s="309">
        <v>39692</v>
      </c>
      <c r="B167" s="310">
        <v>7888.2</v>
      </c>
      <c r="C167">
        <v>4.4560000000000004</v>
      </c>
      <c r="E167">
        <f t="shared" si="10"/>
        <v>-0.15920185891833116</v>
      </c>
      <c r="F167">
        <f t="shared" si="11"/>
        <v>-15.920185891833116</v>
      </c>
      <c r="H167">
        <f t="shared" si="12"/>
        <v>-20.376185891833117</v>
      </c>
      <c r="K167">
        <v>4.03</v>
      </c>
      <c r="L167" s="380">
        <f t="shared" si="13"/>
        <v>4.0300000000000002E-2</v>
      </c>
      <c r="N167">
        <f t="shared" si="14"/>
        <v>-19.950185891833115</v>
      </c>
    </row>
    <row r="168" spans="1:14">
      <c r="A168" s="309">
        <v>39661</v>
      </c>
      <c r="B168" s="310">
        <v>9381.7999999999993</v>
      </c>
      <c r="C168">
        <v>4.4790000000000001</v>
      </c>
      <c r="E168">
        <f t="shared" si="10"/>
        <v>5.9288448293382201E-2</v>
      </c>
      <c r="F168">
        <f t="shared" si="11"/>
        <v>5.9288448293382201</v>
      </c>
      <c r="H168">
        <f t="shared" si="12"/>
        <v>1.44984482933822</v>
      </c>
      <c r="K168">
        <v>4.1740000000000004</v>
      </c>
      <c r="L168" s="380">
        <f t="shared" si="13"/>
        <v>4.1740000000000006E-2</v>
      </c>
      <c r="N168">
        <f t="shared" si="14"/>
        <v>1.7548448293382197</v>
      </c>
    </row>
    <row r="169" spans="1:14">
      <c r="A169" s="309">
        <v>39630</v>
      </c>
      <c r="B169" s="310">
        <v>8856.7000000000007</v>
      </c>
      <c r="C169">
        <v>4.8090000000000002</v>
      </c>
      <c r="E169">
        <f t="shared" si="10"/>
        <v>-3.1610137986835318E-2</v>
      </c>
      <c r="F169">
        <f t="shared" si="11"/>
        <v>-3.1610137986835318</v>
      </c>
      <c r="H169">
        <f t="shared" si="12"/>
        <v>-7.9700137986835315</v>
      </c>
      <c r="K169">
        <v>4.3520000000000003</v>
      </c>
      <c r="L169" s="380">
        <f t="shared" si="13"/>
        <v>4.3520000000000003E-2</v>
      </c>
      <c r="N169">
        <f t="shared" si="14"/>
        <v>-7.5130137986835326</v>
      </c>
    </row>
    <row r="170" spans="1:14">
      <c r="A170" s="309">
        <v>39600</v>
      </c>
      <c r="B170" s="310">
        <v>9145.7999999999993</v>
      </c>
      <c r="C170">
        <v>5.13</v>
      </c>
      <c r="E170">
        <f t="shared" si="10"/>
        <v>-8.9906759674803216E-2</v>
      </c>
      <c r="F170">
        <f t="shared" si="11"/>
        <v>-8.9906759674803212</v>
      </c>
      <c r="H170">
        <f t="shared" si="12"/>
        <v>-14.12067596748032</v>
      </c>
      <c r="K170">
        <v>4.6280000000000001</v>
      </c>
      <c r="L170" s="380">
        <f t="shared" si="13"/>
        <v>4.6280000000000002E-2</v>
      </c>
      <c r="N170">
        <f t="shared" si="14"/>
        <v>-13.618675967480321</v>
      </c>
    </row>
    <row r="171" spans="1:14">
      <c r="A171" s="309">
        <v>39569</v>
      </c>
      <c r="B171" s="310">
        <v>10049.299999999999</v>
      </c>
      <c r="C171">
        <v>4.9749999999999996</v>
      </c>
      <c r="E171">
        <f t="shared" si="10"/>
        <v>-7.2117996897937964E-3</v>
      </c>
      <c r="F171">
        <f t="shared" si="11"/>
        <v>-0.72117996897937964</v>
      </c>
      <c r="H171">
        <f t="shared" si="12"/>
        <v>-5.6961799689793793</v>
      </c>
      <c r="K171">
        <v>4.4539999999999997</v>
      </c>
      <c r="L171" s="380">
        <f t="shared" si="13"/>
        <v>4.4539999999999996E-2</v>
      </c>
      <c r="N171">
        <f t="shared" si="14"/>
        <v>-5.1751799689793794</v>
      </c>
    </row>
    <row r="172" spans="1:14">
      <c r="A172" s="309">
        <v>39539</v>
      </c>
      <c r="B172" s="310">
        <v>10122.299999999999</v>
      </c>
      <c r="C172">
        <v>4.673</v>
      </c>
      <c r="E172">
        <f t="shared" si="10"/>
        <v>1.0895617784524303E-2</v>
      </c>
      <c r="F172">
        <f t="shared" si="11"/>
        <v>1.0895617784524303</v>
      </c>
      <c r="H172">
        <f t="shared" si="12"/>
        <v>-3.5834382215475697</v>
      </c>
      <c r="K172">
        <v>4.1159999999999997</v>
      </c>
      <c r="L172" s="380">
        <f t="shared" si="13"/>
        <v>4.1159999999999995E-2</v>
      </c>
      <c r="N172">
        <f t="shared" si="14"/>
        <v>-3.0264382215475694</v>
      </c>
    </row>
    <row r="173" spans="1:14">
      <c r="A173" s="309">
        <v>39508</v>
      </c>
      <c r="B173" s="310">
        <v>10013.200000000001</v>
      </c>
      <c r="C173">
        <v>4.3529999999999998</v>
      </c>
      <c r="E173">
        <f t="shared" si="10"/>
        <v>-5.4331091886092864E-3</v>
      </c>
      <c r="F173">
        <f t="shared" si="11"/>
        <v>-0.54331091886092864</v>
      </c>
      <c r="H173">
        <f t="shared" si="12"/>
        <v>-4.8963109188609284</v>
      </c>
      <c r="K173">
        <v>3.9009999999999998</v>
      </c>
      <c r="L173" s="380">
        <f t="shared" si="13"/>
        <v>3.9009999999999996E-2</v>
      </c>
      <c r="N173">
        <f t="shared" si="14"/>
        <v>-4.4443109188609284</v>
      </c>
    </row>
    <row r="174" spans="1:14">
      <c r="A174" s="309">
        <v>39479</v>
      </c>
      <c r="B174" s="310">
        <v>10067.9</v>
      </c>
      <c r="C174">
        <v>4.6029999999999998</v>
      </c>
      <c r="E174">
        <f t="shared" si="10"/>
        <v>1.883260134793252E-2</v>
      </c>
      <c r="F174">
        <f t="shared" si="11"/>
        <v>1.883260134793252</v>
      </c>
      <c r="H174">
        <f t="shared" si="12"/>
        <v>-2.7197398652067477</v>
      </c>
      <c r="K174">
        <v>3.8740000000000001</v>
      </c>
      <c r="L174" s="380">
        <f t="shared" si="13"/>
        <v>3.8740000000000004E-2</v>
      </c>
      <c r="N174">
        <f t="shared" si="14"/>
        <v>-1.9907398652067481</v>
      </c>
    </row>
    <row r="175" spans="1:14">
      <c r="A175" s="309">
        <v>39448</v>
      </c>
      <c r="B175" s="310">
        <v>9881.7999999999993</v>
      </c>
      <c r="C175">
        <v>4.6210000000000004</v>
      </c>
      <c r="E175">
        <f t="shared" si="10"/>
        <v>-7.2810523747865452E-2</v>
      </c>
      <c r="F175">
        <f t="shared" si="11"/>
        <v>-7.2810523747865457</v>
      </c>
      <c r="H175">
        <f t="shared" si="12"/>
        <v>-11.902052374786546</v>
      </c>
      <c r="K175">
        <v>3.9329999999999998</v>
      </c>
      <c r="L175" s="380">
        <f t="shared" si="13"/>
        <v>3.9329999999999997E-2</v>
      </c>
      <c r="N175">
        <f t="shared" si="14"/>
        <v>-11.214052374786545</v>
      </c>
    </row>
    <row r="176" spans="1:14">
      <c r="A176" s="309">
        <v>39417</v>
      </c>
      <c r="B176" s="310">
        <v>10657.8</v>
      </c>
      <c r="C176">
        <v>4.6130000000000004</v>
      </c>
      <c r="E176">
        <f t="shared" si="10"/>
        <v>-8.4660613277761643E-3</v>
      </c>
      <c r="F176">
        <f t="shared" si="11"/>
        <v>-0.84660613277761643</v>
      </c>
      <c r="H176">
        <f t="shared" si="12"/>
        <v>-5.4596061327776173</v>
      </c>
      <c r="K176">
        <v>4.3239999999999998</v>
      </c>
      <c r="L176" s="380">
        <f t="shared" si="13"/>
        <v>4.3240000000000001E-2</v>
      </c>
      <c r="N176">
        <f t="shared" si="14"/>
        <v>-5.1706061327776158</v>
      </c>
    </row>
    <row r="177" spans="1:14">
      <c r="A177" s="309">
        <v>39387</v>
      </c>
      <c r="B177" s="310">
        <v>10748.8</v>
      </c>
      <c r="C177">
        <v>4.6230000000000002</v>
      </c>
      <c r="E177">
        <f t="shared" si="10"/>
        <v>-7.8621635522029942E-2</v>
      </c>
      <c r="F177">
        <f t="shared" si="11"/>
        <v>-7.8621635522029942</v>
      </c>
      <c r="H177">
        <f t="shared" si="12"/>
        <v>-12.485163552202994</v>
      </c>
      <c r="K177">
        <v>4.1589999999999998</v>
      </c>
      <c r="L177" s="380">
        <f t="shared" si="13"/>
        <v>4.1589999999999995E-2</v>
      </c>
      <c r="N177">
        <f t="shared" si="14"/>
        <v>-12.021163552202994</v>
      </c>
    </row>
    <row r="178" spans="1:14">
      <c r="A178" s="309">
        <v>39356</v>
      </c>
      <c r="B178" s="310">
        <v>11666</v>
      </c>
      <c r="C178">
        <v>4.9370000000000003</v>
      </c>
      <c r="E178">
        <f t="shared" si="10"/>
        <v>5.6951818363020212E-2</v>
      </c>
      <c r="F178">
        <f t="shared" si="11"/>
        <v>5.6951818363020212</v>
      </c>
      <c r="H178">
        <f t="shared" si="12"/>
        <v>0.75818183630202096</v>
      </c>
      <c r="K178">
        <v>4.29</v>
      </c>
      <c r="L178" s="380">
        <f t="shared" si="13"/>
        <v>4.2900000000000001E-2</v>
      </c>
      <c r="N178">
        <f t="shared" si="14"/>
        <v>1.4051818363020212</v>
      </c>
    </row>
    <row r="179" spans="1:14">
      <c r="A179" s="309">
        <v>39326</v>
      </c>
      <c r="B179" s="310">
        <v>11037.4</v>
      </c>
      <c r="C179">
        <v>5.077</v>
      </c>
      <c r="E179">
        <f t="shared" si="10"/>
        <v>-2.4033530223181221E-2</v>
      </c>
      <c r="F179">
        <f t="shared" si="11"/>
        <v>-2.4033530223181221</v>
      </c>
      <c r="H179">
        <f t="shared" si="12"/>
        <v>-7.4803530223181216</v>
      </c>
      <c r="K179">
        <v>4.3440000000000003</v>
      </c>
      <c r="L179" s="380">
        <f t="shared" si="13"/>
        <v>4.3440000000000006E-2</v>
      </c>
      <c r="N179">
        <f t="shared" si="14"/>
        <v>-6.7473530223181228</v>
      </c>
    </row>
    <row r="180" spans="1:14">
      <c r="A180" s="309">
        <v>39295</v>
      </c>
      <c r="B180" s="310">
        <v>11309.2</v>
      </c>
      <c r="C180">
        <v>5.0090000000000003</v>
      </c>
      <c r="E180">
        <f t="shared" si="10"/>
        <v>-2.496141124586515E-3</v>
      </c>
      <c r="F180">
        <f t="shared" si="11"/>
        <v>-0.2496141124586515</v>
      </c>
      <c r="H180">
        <f t="shared" si="12"/>
        <v>-5.2586141124586518</v>
      </c>
      <c r="K180">
        <v>4.2160000000000002</v>
      </c>
      <c r="L180" s="380">
        <f t="shared" si="13"/>
        <v>4.2160000000000003E-2</v>
      </c>
      <c r="N180">
        <f t="shared" si="14"/>
        <v>-4.4656141124586517</v>
      </c>
    </row>
    <row r="181" spans="1:14">
      <c r="A181" s="309">
        <v>39264</v>
      </c>
      <c r="B181" s="310">
        <v>11337.5</v>
      </c>
      <c r="C181">
        <v>5.194</v>
      </c>
      <c r="E181">
        <f t="shared" si="10"/>
        <v>-1.6490856726465219E-2</v>
      </c>
      <c r="F181">
        <f t="shared" si="11"/>
        <v>-1.6490856726465219</v>
      </c>
      <c r="H181">
        <f t="shared" si="12"/>
        <v>-6.8430856726465219</v>
      </c>
      <c r="K181">
        <v>4.3280000000000003</v>
      </c>
      <c r="L181" s="380">
        <f t="shared" si="13"/>
        <v>4.3280000000000006E-2</v>
      </c>
      <c r="N181">
        <f t="shared" si="14"/>
        <v>-5.9770856726465222</v>
      </c>
    </row>
    <row r="182" spans="1:14">
      <c r="A182" s="309">
        <v>39234</v>
      </c>
      <c r="B182" s="310">
        <v>11527.6</v>
      </c>
      <c r="C182">
        <v>5.4470000000000001</v>
      </c>
      <c r="E182">
        <f t="shared" si="10"/>
        <v>-4.8178943283434195E-2</v>
      </c>
      <c r="F182">
        <f t="shared" si="11"/>
        <v>-4.817894328343419</v>
      </c>
      <c r="H182">
        <f t="shared" si="12"/>
        <v>-10.26489432834342</v>
      </c>
      <c r="K182">
        <v>4.5549999999999997</v>
      </c>
      <c r="L182" s="380">
        <f t="shared" si="13"/>
        <v>4.555E-2</v>
      </c>
      <c r="N182">
        <f t="shared" si="14"/>
        <v>-9.3728943283434187</v>
      </c>
    </row>
    <row r="183" spans="1:14">
      <c r="A183" s="309">
        <v>39203</v>
      </c>
      <c r="B183" s="310">
        <v>12111.1</v>
      </c>
      <c r="C183">
        <v>5.2270000000000003</v>
      </c>
      <c r="E183">
        <f t="shared" si="10"/>
        <v>1.5231277348399797E-2</v>
      </c>
      <c r="F183">
        <f t="shared" si="11"/>
        <v>1.5231277348399797</v>
      </c>
      <c r="H183">
        <f t="shared" si="12"/>
        <v>-3.7038722651600207</v>
      </c>
      <c r="K183">
        <v>4.3879999999999999</v>
      </c>
      <c r="L183" s="380">
        <f t="shared" si="13"/>
        <v>4.3880000000000002E-2</v>
      </c>
      <c r="N183">
        <f t="shared" si="14"/>
        <v>-2.8648722651600202</v>
      </c>
    </row>
    <row r="184" spans="1:14">
      <c r="A184" s="309">
        <v>39173</v>
      </c>
      <c r="B184" s="310">
        <v>11929.4</v>
      </c>
      <c r="C184">
        <v>5.109</v>
      </c>
      <c r="E184">
        <f t="shared" si="10"/>
        <v>2.0540152104916443E-2</v>
      </c>
      <c r="F184">
        <f t="shared" si="11"/>
        <v>2.0540152104916443</v>
      </c>
      <c r="H184">
        <f t="shared" si="12"/>
        <v>-3.0549847895083557</v>
      </c>
      <c r="K184">
        <v>4.2190000000000003</v>
      </c>
      <c r="L184" s="380">
        <f t="shared" si="13"/>
        <v>4.2190000000000005E-2</v>
      </c>
      <c r="N184">
        <f t="shared" si="14"/>
        <v>-2.164984789508356</v>
      </c>
    </row>
    <row r="185" spans="1:14">
      <c r="A185" s="309">
        <v>39142</v>
      </c>
      <c r="B185" s="310">
        <v>11689.3</v>
      </c>
      <c r="C185">
        <v>4.9349999999999996</v>
      </c>
      <c r="E185">
        <f t="shared" si="10"/>
        <v>5.4714921184888299E-2</v>
      </c>
      <c r="F185">
        <f t="shared" si="11"/>
        <v>5.4714921184888299</v>
      </c>
      <c r="H185">
        <f t="shared" si="12"/>
        <v>0.53649211848883027</v>
      </c>
      <c r="K185">
        <v>4.0609999999999999</v>
      </c>
      <c r="L185" s="380">
        <f t="shared" si="13"/>
        <v>4.061E-2</v>
      </c>
      <c r="N185">
        <f t="shared" si="14"/>
        <v>1.4104921184888299</v>
      </c>
    </row>
    <row r="186" spans="1:14">
      <c r="A186" s="309">
        <v>39114</v>
      </c>
      <c r="B186" s="310">
        <v>11082.9</v>
      </c>
      <c r="C186">
        <v>4.806</v>
      </c>
      <c r="E186">
        <f t="shared" si="10"/>
        <v>-1.5675252020215247E-3</v>
      </c>
      <c r="F186">
        <f t="shared" si="11"/>
        <v>-0.15675252020215247</v>
      </c>
      <c r="H186">
        <f t="shared" si="12"/>
        <v>-4.9627525202021525</v>
      </c>
      <c r="K186">
        <v>3.9220000000000002</v>
      </c>
      <c r="L186" s="380">
        <f t="shared" si="13"/>
        <v>3.9220000000000005E-2</v>
      </c>
      <c r="N186">
        <f t="shared" si="14"/>
        <v>-4.0787525202021531</v>
      </c>
    </row>
    <row r="187" spans="1:14">
      <c r="A187" s="309">
        <v>39083</v>
      </c>
      <c r="B187" s="310">
        <v>11100.3</v>
      </c>
      <c r="C187">
        <v>4.99</v>
      </c>
      <c r="E187">
        <f t="shared" si="10"/>
        <v>-6.9333858183184827E-3</v>
      </c>
      <c r="F187">
        <f t="shared" si="11"/>
        <v>-0.69333858183184827</v>
      </c>
      <c r="H187">
        <f t="shared" si="12"/>
        <v>-5.6833385818318485</v>
      </c>
      <c r="K187">
        <v>4.1029999999999998</v>
      </c>
      <c r="L187" s="380">
        <f t="shared" si="13"/>
        <v>4.1029999999999997E-2</v>
      </c>
      <c r="N187">
        <f t="shared" si="14"/>
        <v>-4.796338581831848</v>
      </c>
    </row>
    <row r="188" spans="1:14">
      <c r="A188" s="309">
        <v>39052</v>
      </c>
      <c r="B188" s="310">
        <v>11177.8</v>
      </c>
      <c r="C188">
        <v>4.79</v>
      </c>
      <c r="E188">
        <f t="shared" si="10"/>
        <v>4.7208611660217947E-2</v>
      </c>
      <c r="F188">
        <f t="shared" si="11"/>
        <v>4.7208611660217947</v>
      </c>
      <c r="H188">
        <f t="shared" si="12"/>
        <v>-6.9138833978205305E-2</v>
      </c>
      <c r="K188">
        <v>3.9460000000000002</v>
      </c>
      <c r="L188" s="380">
        <f t="shared" si="13"/>
        <v>3.9460000000000002E-2</v>
      </c>
      <c r="N188">
        <f t="shared" si="14"/>
        <v>0.77486116602179456</v>
      </c>
    </row>
    <row r="189" spans="1:14">
      <c r="A189" s="309">
        <v>39022</v>
      </c>
      <c r="B189" s="310">
        <v>10673.9</v>
      </c>
      <c r="C189">
        <v>4.5439999999999996</v>
      </c>
      <c r="E189">
        <f t="shared" si="10"/>
        <v>2.9087368157189264E-2</v>
      </c>
      <c r="F189">
        <f t="shared" si="11"/>
        <v>2.9087368157189264</v>
      </c>
      <c r="H189">
        <f t="shared" si="12"/>
        <v>-1.6352631842810732</v>
      </c>
      <c r="K189">
        <v>3.6909999999999998</v>
      </c>
      <c r="L189" s="380">
        <f t="shared" si="13"/>
        <v>3.6909999999999998E-2</v>
      </c>
      <c r="N189">
        <f t="shared" si="14"/>
        <v>-0.78226318428107344</v>
      </c>
    </row>
    <row r="190" spans="1:14">
      <c r="A190" s="309">
        <v>38991</v>
      </c>
      <c r="B190" s="310">
        <v>10372.200000000001</v>
      </c>
      <c r="C190">
        <v>4.5640000000000001</v>
      </c>
      <c r="E190">
        <f t="shared" si="10"/>
        <v>3.7552016645326702E-2</v>
      </c>
      <c r="F190">
        <f t="shared" si="11"/>
        <v>3.7552016645326702</v>
      </c>
      <c r="H190">
        <f t="shared" si="12"/>
        <v>-0.80879833546732982</v>
      </c>
      <c r="K190">
        <v>3.7869999999999999</v>
      </c>
      <c r="L190" s="380">
        <f t="shared" si="13"/>
        <v>3.7870000000000001E-2</v>
      </c>
      <c r="N190">
        <f t="shared" si="14"/>
        <v>-3.1798335467329686E-2</v>
      </c>
    </row>
    <row r="191" spans="1:14">
      <c r="A191" s="309">
        <v>38961</v>
      </c>
      <c r="B191" s="310">
        <v>9996.7999999999993</v>
      </c>
      <c r="C191">
        <v>4.4930000000000003</v>
      </c>
      <c r="E191">
        <f t="shared" si="10"/>
        <v>4.1203182935466209E-2</v>
      </c>
      <c r="F191">
        <f t="shared" si="11"/>
        <v>4.1203182935466209</v>
      </c>
      <c r="H191">
        <f t="shared" si="12"/>
        <v>-0.37268170645337939</v>
      </c>
      <c r="K191">
        <v>3.681</v>
      </c>
      <c r="L191" s="380">
        <f t="shared" si="13"/>
        <v>3.6810000000000002E-2</v>
      </c>
      <c r="N191">
        <f t="shared" si="14"/>
        <v>0.43931829354662089</v>
      </c>
    </row>
    <row r="192" spans="1:14">
      <c r="A192" s="309">
        <v>38930</v>
      </c>
      <c r="B192" s="310">
        <v>9601.2000000000007</v>
      </c>
      <c r="C192">
        <v>4.5510000000000002</v>
      </c>
      <c r="E192">
        <f t="shared" si="10"/>
        <v>2.6251656761725695E-2</v>
      </c>
      <c r="F192">
        <f t="shared" si="11"/>
        <v>2.6251656761725695</v>
      </c>
      <c r="H192">
        <f t="shared" si="12"/>
        <v>-1.9258343238274307</v>
      </c>
      <c r="K192">
        <v>3.8039999999999998</v>
      </c>
      <c r="L192" s="380">
        <f t="shared" si="13"/>
        <v>3.8039999999999997E-2</v>
      </c>
      <c r="N192">
        <f t="shared" si="14"/>
        <v>-1.1788343238274304</v>
      </c>
    </row>
    <row r="193" spans="1:14">
      <c r="A193" s="309">
        <v>38899</v>
      </c>
      <c r="B193" s="310">
        <v>9355.6</v>
      </c>
      <c r="C193">
        <v>4.5910000000000002</v>
      </c>
      <c r="E193">
        <f t="shared" si="10"/>
        <v>-7.1211011705775151E-3</v>
      </c>
      <c r="F193">
        <f t="shared" si="11"/>
        <v>-0.71211011705775151</v>
      </c>
      <c r="H193">
        <f t="shared" si="12"/>
        <v>-5.3031101170577521</v>
      </c>
      <c r="K193">
        <v>3.923</v>
      </c>
      <c r="L193" s="380">
        <f t="shared" si="13"/>
        <v>3.9230000000000001E-2</v>
      </c>
      <c r="N193">
        <f t="shared" si="14"/>
        <v>-4.6351101170577511</v>
      </c>
    </row>
    <row r="194" spans="1:14">
      <c r="A194" s="309">
        <v>38869</v>
      </c>
      <c r="B194" s="310">
        <v>9422.7000000000007</v>
      </c>
      <c r="C194">
        <v>4.7140000000000004</v>
      </c>
      <c r="E194">
        <f t="shared" ref="E194:E225" si="15">B194/B195-1</f>
        <v>1.3389688326773008E-2</v>
      </c>
      <c r="F194">
        <f t="shared" ref="F194:F225" si="16">E194*$E$1</f>
        <v>1.3389688326773008</v>
      </c>
      <c r="H194">
        <f t="shared" ref="H194:H225" si="17">F194-C194</f>
        <v>-3.3750311673226996</v>
      </c>
      <c r="K194">
        <v>4.0540000000000003</v>
      </c>
      <c r="L194" s="380">
        <f t="shared" si="13"/>
        <v>4.054E-2</v>
      </c>
      <c r="N194">
        <f t="shared" si="14"/>
        <v>-2.7150311673226994</v>
      </c>
    </row>
    <row r="195" spans="1:14">
      <c r="A195" s="309">
        <v>38838</v>
      </c>
      <c r="B195" s="310">
        <v>9298.2000000000007</v>
      </c>
      <c r="C195">
        <v>4.5720000000000001</v>
      </c>
      <c r="E195">
        <f t="shared" si="15"/>
        <v>-5.8762792675149611E-2</v>
      </c>
      <c r="F195">
        <f t="shared" si="16"/>
        <v>-5.8762792675149615</v>
      </c>
      <c r="H195">
        <f t="shared" si="17"/>
        <v>-10.448279267514962</v>
      </c>
      <c r="K195">
        <v>3.9319999999999999</v>
      </c>
      <c r="L195" s="380">
        <f t="shared" ref="L195:L225" si="18">K195/100</f>
        <v>3.9320000000000001E-2</v>
      </c>
      <c r="N195">
        <f t="shared" ref="N195:N225" si="19">F195-K195</f>
        <v>-9.8082792675149619</v>
      </c>
    </row>
    <row r="196" spans="1:14">
      <c r="A196" s="309">
        <v>38808</v>
      </c>
      <c r="B196" s="310">
        <v>9878.7000000000007</v>
      </c>
      <c r="C196">
        <v>4.6399999999999997</v>
      </c>
      <c r="E196">
        <f t="shared" si="15"/>
        <v>2.8831609189570173E-3</v>
      </c>
      <c r="F196">
        <f t="shared" si="16"/>
        <v>0.28831609189570173</v>
      </c>
      <c r="H196">
        <f t="shared" si="17"/>
        <v>-4.3516839081042979</v>
      </c>
      <c r="K196">
        <v>3.97</v>
      </c>
      <c r="L196" s="380">
        <f t="shared" si="18"/>
        <v>3.9699999999999999E-2</v>
      </c>
      <c r="N196">
        <f t="shared" si="19"/>
        <v>-3.6816839081042985</v>
      </c>
    </row>
    <row r="197" spans="1:14">
      <c r="A197" s="309">
        <v>38777</v>
      </c>
      <c r="B197" s="310">
        <v>9850.2999999999993</v>
      </c>
      <c r="C197">
        <v>4.391</v>
      </c>
      <c r="E197">
        <f t="shared" si="15"/>
        <v>4.2547336557899218E-2</v>
      </c>
      <c r="F197">
        <f t="shared" si="16"/>
        <v>4.2547336557899218</v>
      </c>
      <c r="H197">
        <f t="shared" si="17"/>
        <v>-0.13626634421007822</v>
      </c>
      <c r="K197">
        <v>3.7909999999999999</v>
      </c>
      <c r="L197" s="380">
        <f t="shared" si="18"/>
        <v>3.7909999999999999E-2</v>
      </c>
      <c r="N197">
        <f t="shared" si="19"/>
        <v>0.46373365578992187</v>
      </c>
    </row>
    <row r="198" spans="1:14">
      <c r="A198" s="309">
        <v>38749</v>
      </c>
      <c r="B198" s="310">
        <v>9448.2999999999993</v>
      </c>
      <c r="C198">
        <v>4.2210000000000001</v>
      </c>
      <c r="E198">
        <f t="shared" si="15"/>
        <v>3.0056908619148226E-2</v>
      </c>
      <c r="F198">
        <f t="shared" si="16"/>
        <v>3.0056908619148226</v>
      </c>
      <c r="H198">
        <f t="shared" si="17"/>
        <v>-1.2153091380851775</v>
      </c>
      <c r="K198">
        <v>3.5270000000000001</v>
      </c>
      <c r="L198" s="380">
        <f t="shared" si="18"/>
        <v>3.5270000000000003E-2</v>
      </c>
      <c r="N198">
        <f t="shared" si="19"/>
        <v>-0.52130913808517754</v>
      </c>
    </row>
    <row r="199" spans="1:14">
      <c r="A199" s="309">
        <v>38718</v>
      </c>
      <c r="B199" s="310">
        <v>9172.6</v>
      </c>
      <c r="C199">
        <v>4.1719999999999997</v>
      </c>
      <c r="E199">
        <f t="shared" si="15"/>
        <v>4.3016499323425439E-2</v>
      </c>
      <c r="F199">
        <f t="shared" si="16"/>
        <v>4.3016499323425439</v>
      </c>
      <c r="H199">
        <f t="shared" si="17"/>
        <v>0.12964993234254418</v>
      </c>
      <c r="K199">
        <v>3.456</v>
      </c>
      <c r="L199" s="380">
        <f t="shared" si="18"/>
        <v>3.456E-2</v>
      </c>
      <c r="N199">
        <f t="shared" si="19"/>
        <v>0.84564993234254393</v>
      </c>
    </row>
    <row r="200" spans="1:14">
      <c r="A200" s="309">
        <v>38687</v>
      </c>
      <c r="B200" s="310">
        <v>8794.2999999999993</v>
      </c>
      <c r="C200">
        <v>4.117</v>
      </c>
      <c r="E200">
        <f t="shared" si="15"/>
        <v>5.6004514943743366E-2</v>
      </c>
      <c r="F200">
        <f t="shared" si="16"/>
        <v>5.6004514943743366</v>
      </c>
      <c r="H200">
        <f t="shared" si="17"/>
        <v>1.4834514943743367</v>
      </c>
      <c r="K200">
        <v>3.2949999999999999</v>
      </c>
      <c r="L200" s="380">
        <f t="shared" si="18"/>
        <v>3.295E-2</v>
      </c>
      <c r="N200">
        <f t="shared" si="19"/>
        <v>2.3054514943743367</v>
      </c>
    </row>
    <row r="201" spans="1:14">
      <c r="A201" s="309">
        <v>38657</v>
      </c>
      <c r="B201" s="310">
        <v>8327.9</v>
      </c>
      <c r="C201">
        <v>4.2279999999999998</v>
      </c>
      <c r="E201">
        <f t="shared" si="15"/>
        <v>7.9988587879809447E-2</v>
      </c>
      <c r="F201">
        <f t="shared" si="16"/>
        <v>7.9988587879809447</v>
      </c>
      <c r="H201">
        <f t="shared" si="17"/>
        <v>3.770858787980945</v>
      </c>
      <c r="K201">
        <v>3.4510000000000001</v>
      </c>
      <c r="L201" s="380">
        <f t="shared" si="18"/>
        <v>3.4509999999999999E-2</v>
      </c>
      <c r="N201">
        <f t="shared" si="19"/>
        <v>4.5478587879809442</v>
      </c>
    </row>
    <row r="202" spans="1:14">
      <c r="A202" s="309">
        <v>38626</v>
      </c>
      <c r="B202" s="310">
        <v>7711.1</v>
      </c>
      <c r="C202">
        <v>4.3550000000000004</v>
      </c>
      <c r="E202">
        <f t="shared" si="15"/>
        <v>-3.0184502773201172E-2</v>
      </c>
      <c r="F202">
        <f t="shared" si="16"/>
        <v>-3.0184502773201172</v>
      </c>
      <c r="H202">
        <f t="shared" si="17"/>
        <v>-7.3734502773201172</v>
      </c>
      <c r="K202">
        <v>3.411</v>
      </c>
      <c r="L202" s="380">
        <f t="shared" si="18"/>
        <v>3.4110000000000001E-2</v>
      </c>
      <c r="N202">
        <f t="shared" si="19"/>
        <v>-6.4294502773201172</v>
      </c>
    </row>
    <row r="203" spans="1:14">
      <c r="A203" s="309">
        <v>38596</v>
      </c>
      <c r="B203" s="310">
        <v>7951.1</v>
      </c>
      <c r="C203">
        <v>4.26</v>
      </c>
      <c r="E203">
        <f t="shared" si="15"/>
        <v>2.6054302379600491E-2</v>
      </c>
      <c r="F203">
        <f t="shared" si="16"/>
        <v>2.6054302379600491</v>
      </c>
      <c r="H203">
        <f t="shared" si="17"/>
        <v>-1.6545697620399507</v>
      </c>
      <c r="K203">
        <v>3.1539999999999999</v>
      </c>
      <c r="L203" s="380">
        <f t="shared" si="18"/>
        <v>3.1539999999999999E-2</v>
      </c>
      <c r="N203">
        <f t="shared" si="19"/>
        <v>-0.54856976203995078</v>
      </c>
    </row>
    <row r="204" spans="1:14">
      <c r="A204" s="309">
        <v>38565</v>
      </c>
      <c r="B204" s="310">
        <v>7749.2</v>
      </c>
      <c r="C204">
        <v>4.1749999999999998</v>
      </c>
      <c r="E204">
        <f t="shared" si="15"/>
        <v>1.8947811337128861E-2</v>
      </c>
      <c r="F204">
        <f t="shared" si="16"/>
        <v>1.8947811337128861</v>
      </c>
      <c r="H204">
        <f t="shared" si="17"/>
        <v>-2.2802188662871137</v>
      </c>
      <c r="K204">
        <v>3.153</v>
      </c>
      <c r="L204" s="380">
        <f t="shared" si="18"/>
        <v>3.1530000000000002E-2</v>
      </c>
      <c r="N204">
        <f t="shared" si="19"/>
        <v>-1.2582188662871139</v>
      </c>
    </row>
    <row r="205" spans="1:14">
      <c r="A205" s="309">
        <v>38534</v>
      </c>
      <c r="B205" s="310">
        <v>7605.1</v>
      </c>
      <c r="C205">
        <v>4.3040000000000003</v>
      </c>
      <c r="E205">
        <f t="shared" si="15"/>
        <v>3.2081642623529305E-2</v>
      </c>
      <c r="F205">
        <f t="shared" si="16"/>
        <v>3.2081642623529305</v>
      </c>
      <c r="H205">
        <f t="shared" si="17"/>
        <v>-1.0958357376470698</v>
      </c>
      <c r="K205">
        <v>3.218</v>
      </c>
      <c r="L205" s="380">
        <f t="shared" si="18"/>
        <v>3.218E-2</v>
      </c>
      <c r="N205">
        <f t="shared" si="19"/>
        <v>-9.8357376470694646E-3</v>
      </c>
    </row>
    <row r="206" spans="1:14">
      <c r="A206" s="309">
        <v>38504</v>
      </c>
      <c r="B206" s="310">
        <v>7368.7</v>
      </c>
      <c r="C206">
        <v>4.2149999999999999</v>
      </c>
      <c r="E206">
        <f t="shared" si="15"/>
        <v>3.5758964339428934E-2</v>
      </c>
      <c r="F206">
        <f t="shared" si="16"/>
        <v>3.5758964339428934</v>
      </c>
      <c r="H206">
        <f t="shared" si="17"/>
        <v>-0.6391035660571065</v>
      </c>
      <c r="K206">
        <v>3.194</v>
      </c>
      <c r="L206" s="380">
        <f t="shared" si="18"/>
        <v>3.1939999999999996E-2</v>
      </c>
      <c r="N206">
        <f t="shared" si="19"/>
        <v>0.38189643394289341</v>
      </c>
    </row>
    <row r="207" spans="1:14">
      <c r="A207" s="309">
        <v>38473</v>
      </c>
      <c r="B207" s="310">
        <v>7114.3</v>
      </c>
      <c r="C207">
        <v>4.4029999999999996</v>
      </c>
      <c r="E207">
        <f t="shared" si="15"/>
        <v>5.727533475010782E-2</v>
      </c>
      <c r="F207">
        <f t="shared" si="16"/>
        <v>5.727533475010782</v>
      </c>
      <c r="H207">
        <f t="shared" si="17"/>
        <v>1.3245334750107824</v>
      </c>
      <c r="K207">
        <v>3.3330000000000002</v>
      </c>
      <c r="L207" s="380">
        <f t="shared" si="18"/>
        <v>3.3329999999999999E-2</v>
      </c>
      <c r="N207">
        <f t="shared" si="19"/>
        <v>2.3945334750107818</v>
      </c>
    </row>
    <row r="208" spans="1:14">
      <c r="A208" s="309">
        <v>38443</v>
      </c>
      <c r="B208" s="310">
        <v>6728.9</v>
      </c>
      <c r="C208">
        <v>4.5359999999999996</v>
      </c>
      <c r="E208">
        <f t="shared" si="15"/>
        <v>-5.632143608442608E-2</v>
      </c>
      <c r="F208">
        <f t="shared" si="16"/>
        <v>-5.6321436084426075</v>
      </c>
      <c r="H208">
        <f t="shared" si="17"/>
        <v>-10.168143608442607</v>
      </c>
      <c r="K208">
        <v>3.3889999999999998</v>
      </c>
      <c r="L208" s="380">
        <f t="shared" si="18"/>
        <v>3.3889999999999997E-2</v>
      </c>
      <c r="N208">
        <f t="shared" si="19"/>
        <v>-9.0211436084426069</v>
      </c>
    </row>
    <row r="209" spans="1:14">
      <c r="A209" s="309">
        <v>38412</v>
      </c>
      <c r="B209" s="310">
        <v>7130.5</v>
      </c>
      <c r="C209">
        <v>4.7300000000000004</v>
      </c>
      <c r="E209">
        <f t="shared" si="15"/>
        <v>-1.7025089605734789E-2</v>
      </c>
      <c r="F209">
        <f t="shared" si="16"/>
        <v>-1.7025089605734789</v>
      </c>
      <c r="H209">
        <f t="shared" si="17"/>
        <v>-6.4325089605734789</v>
      </c>
      <c r="K209">
        <v>3.6680000000000001</v>
      </c>
      <c r="L209" s="380">
        <f t="shared" si="18"/>
        <v>3.6680000000000004E-2</v>
      </c>
      <c r="N209">
        <f t="shared" si="19"/>
        <v>-5.3705089605734795</v>
      </c>
    </row>
    <row r="210" spans="1:14">
      <c r="A210" s="309">
        <v>38384</v>
      </c>
      <c r="B210" s="310">
        <v>7254</v>
      </c>
      <c r="C210">
        <v>4.7610000000000001</v>
      </c>
      <c r="E210">
        <f t="shared" si="15"/>
        <v>1.2251960592782885E-2</v>
      </c>
      <c r="F210">
        <f t="shared" si="16"/>
        <v>1.2251960592782885</v>
      </c>
      <c r="H210">
        <f t="shared" si="17"/>
        <v>-3.5358039407217117</v>
      </c>
      <c r="K210">
        <v>3.7109999999999999</v>
      </c>
      <c r="L210" s="380">
        <f t="shared" si="18"/>
        <v>3.7109999999999997E-2</v>
      </c>
      <c r="N210">
        <f t="shared" si="19"/>
        <v>-2.4858039407217114</v>
      </c>
    </row>
    <row r="211" spans="1:14">
      <c r="A211" s="309">
        <v>38353</v>
      </c>
      <c r="B211" s="310">
        <v>7166.2</v>
      </c>
      <c r="C211">
        <v>4.6040000000000001</v>
      </c>
      <c r="E211">
        <f t="shared" si="15"/>
        <v>3.3070003459808595E-2</v>
      </c>
      <c r="F211">
        <f t="shared" si="16"/>
        <v>3.3070003459808595</v>
      </c>
      <c r="H211">
        <f t="shared" si="17"/>
        <v>-1.2969996540191406</v>
      </c>
      <c r="K211">
        <v>3.54</v>
      </c>
      <c r="L211" s="380">
        <f t="shared" si="18"/>
        <v>3.5400000000000001E-2</v>
      </c>
      <c r="N211">
        <f t="shared" si="19"/>
        <v>-0.23299965401914058</v>
      </c>
    </row>
    <row r="212" spans="1:14">
      <c r="A212" s="309">
        <v>38322</v>
      </c>
      <c r="B212" s="310">
        <v>6936.8</v>
      </c>
      <c r="C212">
        <v>4.5739999999999998</v>
      </c>
      <c r="E212">
        <f t="shared" si="15"/>
        <v>5.464165171648383E-2</v>
      </c>
      <c r="F212">
        <f t="shared" si="16"/>
        <v>5.464165171648383</v>
      </c>
      <c r="H212">
        <f t="shared" si="17"/>
        <v>0.89016517164838316</v>
      </c>
      <c r="K212">
        <v>3.68</v>
      </c>
      <c r="L212" s="380">
        <f t="shared" si="18"/>
        <v>3.6799999999999999E-2</v>
      </c>
      <c r="N212">
        <f t="shared" si="19"/>
        <v>1.7841651716483828</v>
      </c>
    </row>
    <row r="213" spans="1:14">
      <c r="A213" s="309">
        <v>38292</v>
      </c>
      <c r="B213" s="310">
        <v>6577.4</v>
      </c>
      <c r="C213">
        <v>4.5949999999999998</v>
      </c>
      <c r="E213">
        <f t="shared" si="15"/>
        <v>4.0431522667594644E-2</v>
      </c>
      <c r="F213">
        <f t="shared" si="16"/>
        <v>4.0431522667594644</v>
      </c>
      <c r="H213">
        <f t="shared" si="17"/>
        <v>-0.55184773324053538</v>
      </c>
      <c r="K213">
        <v>3.8180000000000001</v>
      </c>
      <c r="L213" s="380">
        <f t="shared" si="18"/>
        <v>3.8179999999999999E-2</v>
      </c>
      <c r="N213">
        <f t="shared" si="19"/>
        <v>0.22515226675946431</v>
      </c>
    </row>
    <row r="214" spans="1:14">
      <c r="A214" s="309">
        <v>38261</v>
      </c>
      <c r="B214" s="310">
        <v>6321.8</v>
      </c>
      <c r="C214">
        <v>4.7480000000000002</v>
      </c>
      <c r="E214">
        <f t="shared" si="15"/>
        <v>8.4063103156752916E-3</v>
      </c>
      <c r="F214">
        <f t="shared" si="16"/>
        <v>0.84063103156752916</v>
      </c>
      <c r="H214">
        <f t="shared" si="17"/>
        <v>-3.9073689684324711</v>
      </c>
      <c r="K214">
        <v>3.86</v>
      </c>
      <c r="L214" s="380">
        <f t="shared" si="18"/>
        <v>3.8599999999999995E-2</v>
      </c>
      <c r="N214">
        <f t="shared" si="19"/>
        <v>-3.0193689684324707</v>
      </c>
    </row>
    <row r="215" spans="1:14">
      <c r="A215" s="309">
        <v>38231</v>
      </c>
      <c r="B215" s="310">
        <v>6269.1</v>
      </c>
      <c r="C215">
        <v>4.8319999999999999</v>
      </c>
      <c r="E215">
        <f t="shared" si="15"/>
        <v>2.9865457592035849E-2</v>
      </c>
      <c r="F215">
        <f t="shared" si="16"/>
        <v>2.9865457592035849</v>
      </c>
      <c r="H215">
        <f t="shared" si="17"/>
        <v>-1.845454240796415</v>
      </c>
      <c r="K215">
        <v>3.9649999999999999</v>
      </c>
      <c r="L215" s="380">
        <f t="shared" si="18"/>
        <v>3.9649999999999998E-2</v>
      </c>
      <c r="N215">
        <f t="shared" si="19"/>
        <v>-0.97845424079641496</v>
      </c>
    </row>
    <row r="216" spans="1:14">
      <c r="A216" s="309">
        <v>38200</v>
      </c>
      <c r="B216" s="310">
        <v>6087.3</v>
      </c>
      <c r="C216">
        <v>4.9550000000000001</v>
      </c>
      <c r="E216">
        <f t="shared" si="15"/>
        <v>1.0591848593010766E-2</v>
      </c>
      <c r="F216">
        <f t="shared" si="16"/>
        <v>1.0591848593010766</v>
      </c>
      <c r="H216">
        <f t="shared" si="17"/>
        <v>-3.8958151406989234</v>
      </c>
      <c r="K216">
        <v>4.07</v>
      </c>
      <c r="L216" s="380">
        <f t="shared" si="18"/>
        <v>4.07E-2</v>
      </c>
      <c r="N216">
        <f t="shared" si="19"/>
        <v>-3.0108151406989236</v>
      </c>
    </row>
    <row r="217" spans="1:14">
      <c r="A217" s="309">
        <v>38169</v>
      </c>
      <c r="B217" s="310">
        <v>6023.5</v>
      </c>
      <c r="C217">
        <v>5.17</v>
      </c>
      <c r="E217">
        <f t="shared" si="15"/>
        <v>-4.052310485990529E-2</v>
      </c>
      <c r="F217">
        <f t="shared" si="16"/>
        <v>-4.052310485990529</v>
      </c>
      <c r="H217">
        <f t="shared" si="17"/>
        <v>-9.2223104859905298</v>
      </c>
      <c r="K217">
        <v>4.2699999999999996</v>
      </c>
      <c r="L217" s="380">
        <f t="shared" si="18"/>
        <v>4.2699999999999995E-2</v>
      </c>
      <c r="N217">
        <f t="shared" si="19"/>
        <v>-8.3223104859905277</v>
      </c>
    </row>
    <row r="218" spans="1:14">
      <c r="A218" s="309">
        <v>38139</v>
      </c>
      <c r="B218" s="310">
        <v>6277.9</v>
      </c>
      <c r="C218">
        <v>5.101</v>
      </c>
      <c r="E218">
        <f t="shared" si="15"/>
        <v>3.7052332496365636E-2</v>
      </c>
      <c r="F218">
        <f t="shared" si="16"/>
        <v>3.7052332496365636</v>
      </c>
      <c r="H218">
        <f t="shared" si="17"/>
        <v>-1.3957667503634363</v>
      </c>
      <c r="K218">
        <v>4.3579999999999997</v>
      </c>
      <c r="L218" s="380">
        <f t="shared" si="18"/>
        <v>4.3579999999999994E-2</v>
      </c>
      <c r="N218">
        <f t="shared" si="19"/>
        <v>-0.65276675036343601</v>
      </c>
    </row>
    <row r="219" spans="1:14">
      <c r="A219" s="309">
        <v>38108</v>
      </c>
      <c r="B219" s="310">
        <v>6053.6</v>
      </c>
      <c r="C219">
        <v>5.1509999999999998</v>
      </c>
      <c r="E219">
        <f t="shared" si="15"/>
        <v>-2.5295055307775205E-2</v>
      </c>
      <c r="F219">
        <f t="shared" si="16"/>
        <v>-2.5295055307775205</v>
      </c>
      <c r="H219">
        <f t="shared" si="17"/>
        <v>-7.6805055307775199</v>
      </c>
      <c r="K219">
        <v>4.32</v>
      </c>
      <c r="L219" s="380">
        <f t="shared" si="18"/>
        <v>4.3200000000000002E-2</v>
      </c>
      <c r="N219">
        <f t="shared" si="19"/>
        <v>-6.8495055307775203</v>
      </c>
    </row>
    <row r="220" spans="1:14">
      <c r="A220" s="309">
        <v>38078</v>
      </c>
      <c r="B220" s="310">
        <v>6210.7</v>
      </c>
      <c r="C220">
        <v>4.9850000000000003</v>
      </c>
      <c r="E220">
        <f t="shared" si="15"/>
        <v>-7.7802984311594603E-3</v>
      </c>
      <c r="F220">
        <f t="shared" si="16"/>
        <v>-0.77802984311594603</v>
      </c>
      <c r="H220">
        <f t="shared" si="17"/>
        <v>-5.7630298431159463</v>
      </c>
      <c r="K220">
        <v>4.2119999999999997</v>
      </c>
      <c r="L220" s="380">
        <f t="shared" si="18"/>
        <v>4.2119999999999998E-2</v>
      </c>
      <c r="N220">
        <f t="shared" si="19"/>
        <v>-4.9900298431159458</v>
      </c>
    </row>
    <row r="221" spans="1:14">
      <c r="A221" s="309">
        <v>38047</v>
      </c>
      <c r="B221" s="310">
        <v>6259.4</v>
      </c>
      <c r="C221">
        <v>4.7910000000000004</v>
      </c>
      <c r="E221">
        <f t="shared" si="15"/>
        <v>-1.6746678575415563E-3</v>
      </c>
      <c r="F221">
        <f t="shared" si="16"/>
        <v>-0.16746678575415563</v>
      </c>
      <c r="H221">
        <f t="shared" si="17"/>
        <v>-4.9584667857541564</v>
      </c>
      <c r="K221">
        <v>3.9380000000000002</v>
      </c>
      <c r="L221" s="380">
        <f t="shared" si="18"/>
        <v>3.9379999999999998E-2</v>
      </c>
      <c r="N221">
        <f t="shared" si="19"/>
        <v>-4.1054667857541558</v>
      </c>
    </row>
    <row r="222" spans="1:14">
      <c r="A222" s="309">
        <v>38018</v>
      </c>
      <c r="B222" s="310">
        <v>6269.9</v>
      </c>
      <c r="C222">
        <v>4.7610000000000001</v>
      </c>
      <c r="E222">
        <f t="shared" si="15"/>
        <v>4.083733129700029E-2</v>
      </c>
      <c r="F222">
        <f t="shared" si="16"/>
        <v>4.083733129700029</v>
      </c>
      <c r="H222">
        <f t="shared" si="17"/>
        <v>-0.67726687029997112</v>
      </c>
      <c r="K222">
        <v>4.0839999999999996</v>
      </c>
      <c r="L222" s="380">
        <f t="shared" si="18"/>
        <v>4.0839999999999994E-2</v>
      </c>
      <c r="N222">
        <f t="shared" si="19"/>
        <v>-2.6687029997063405E-4</v>
      </c>
    </row>
    <row r="223" spans="1:14">
      <c r="A223" s="309">
        <v>37987</v>
      </c>
      <c r="B223" s="310">
        <v>6023.9</v>
      </c>
      <c r="C223">
        <v>4.9039999999999999</v>
      </c>
      <c r="E223">
        <f t="shared" si="15"/>
        <v>3.8191751546800212E-2</v>
      </c>
      <c r="F223">
        <f t="shared" si="16"/>
        <v>3.8191751546800212</v>
      </c>
      <c r="H223">
        <f t="shared" si="17"/>
        <v>-1.0848248453199787</v>
      </c>
      <c r="K223">
        <v>4.2430000000000003</v>
      </c>
      <c r="L223" s="380">
        <f t="shared" si="18"/>
        <v>4.2430000000000002E-2</v>
      </c>
      <c r="N223">
        <f t="shared" si="19"/>
        <v>-0.4238248453199791</v>
      </c>
    </row>
    <row r="224" spans="1:14">
      <c r="A224" s="309">
        <v>37956</v>
      </c>
      <c r="B224" s="310">
        <v>5802.3</v>
      </c>
      <c r="C224">
        <v>4.7670000000000003</v>
      </c>
      <c r="E224">
        <f t="shared" si="15"/>
        <v>1.5702132128978086E-2</v>
      </c>
      <c r="F224">
        <f t="shared" si="16"/>
        <v>1.5702132128978086</v>
      </c>
      <c r="H224">
        <f t="shared" si="17"/>
        <v>-3.1967867871021918</v>
      </c>
      <c r="K224">
        <v>4.2919999999999998</v>
      </c>
      <c r="L224" s="380">
        <f t="shared" si="18"/>
        <v>4.292E-2</v>
      </c>
      <c r="N224">
        <f t="shared" si="19"/>
        <v>-2.7217867871021912</v>
      </c>
    </row>
    <row r="225" spans="1:14">
      <c r="A225" s="309">
        <v>37926</v>
      </c>
      <c r="B225" s="310">
        <v>5712.6</v>
      </c>
      <c r="C225">
        <v>5.0350000000000001</v>
      </c>
      <c r="E225">
        <f t="shared" si="15"/>
        <v>-2.0613514080076722E-3</v>
      </c>
      <c r="F225">
        <f t="shared" si="16"/>
        <v>-0.20613514080076722</v>
      </c>
      <c r="H225">
        <f t="shared" si="17"/>
        <v>-5.2411351408007674</v>
      </c>
      <c r="K225">
        <v>4.452</v>
      </c>
      <c r="L225" s="380">
        <f t="shared" si="18"/>
        <v>4.4519999999999997E-2</v>
      </c>
      <c r="N225">
        <f t="shared" si="19"/>
        <v>-4.6581351408007672</v>
      </c>
    </row>
    <row r="226" spans="1:14">
      <c r="A226" s="309">
        <v>37895</v>
      </c>
      <c r="B226" s="310">
        <v>5724.4</v>
      </c>
      <c r="C226">
        <v>5.008</v>
      </c>
    </row>
    <row r="227" spans="1:14">
      <c r="A227" s="309"/>
      <c r="H227">
        <f>AVERAGE(H2:H225)</f>
        <v>-1.9949643031496198</v>
      </c>
      <c r="N227">
        <f t="shared" ref="N227" si="20">AVERAGE(N2:N225)</f>
        <v>-1.1762254638639054</v>
      </c>
    </row>
    <row r="228" spans="1:14">
      <c r="A228" s="309"/>
    </row>
    <row r="229" spans="1:14">
      <c r="A229" s="309"/>
    </row>
    <row r="230" spans="1:14">
      <c r="A230" s="309"/>
    </row>
    <row r="231" spans="1:14">
      <c r="A231" s="309"/>
    </row>
    <row r="232" spans="1:14">
      <c r="A232" s="309"/>
    </row>
    <row r="233" spans="1:14">
      <c r="A233" s="309"/>
    </row>
    <row r="234" spans="1:14">
      <c r="A234" s="309"/>
    </row>
    <row r="235" spans="1:14">
      <c r="A235" s="309"/>
    </row>
    <row r="236" spans="1:14">
      <c r="A236" s="309"/>
    </row>
    <row r="237" spans="1:14">
      <c r="A237" s="309"/>
    </row>
    <row r="238" spans="1:14">
      <c r="A238" s="309"/>
      <c r="K238">
        <v>4.3250000000000002</v>
      </c>
    </row>
    <row r="239" spans="1:14">
      <c r="A239" s="309"/>
      <c r="K239">
        <v>4.0039999999999996</v>
      </c>
    </row>
    <row r="240" spans="1:14">
      <c r="A240" s="309"/>
      <c r="K240">
        <v>4.1879999999999997</v>
      </c>
    </row>
    <row r="241" spans="1:11">
      <c r="A241" s="309"/>
      <c r="K241">
        <v>4.1959999999999997</v>
      </c>
    </row>
    <row r="242" spans="1:11">
      <c r="A242" s="309"/>
      <c r="K242">
        <v>3.8010000000000002</v>
      </c>
    </row>
    <row r="243" spans="1:11">
      <c r="A243" s="309"/>
    </row>
    <row r="244" spans="1:11">
      <c r="A244" s="309"/>
    </row>
    <row r="245" spans="1:11">
      <c r="A245" s="309"/>
    </row>
    <row r="246" spans="1:11">
      <c r="A246" s="309"/>
    </row>
    <row r="247" spans="1:11">
      <c r="A247" s="309"/>
    </row>
    <row r="248" spans="1:11">
      <c r="A248" s="309"/>
    </row>
    <row r="249" spans="1:11">
      <c r="A249" s="309"/>
    </row>
    <row r="250" spans="1:11">
      <c r="A250" s="309"/>
    </row>
    <row r="251" spans="1:11">
      <c r="A251" s="309"/>
    </row>
    <row r="252" spans="1:11">
      <c r="A252" s="309"/>
    </row>
    <row r="253" spans="1:11">
      <c r="A253" s="309"/>
    </row>
    <row r="254" spans="1:11">
      <c r="A254" s="309"/>
    </row>
    <row r="255" spans="1:11">
      <c r="A255" s="309"/>
    </row>
    <row r="256" spans="1:11">
      <c r="A256" s="309"/>
    </row>
    <row r="257" spans="1:1">
      <c r="A257" s="309"/>
    </row>
    <row r="258" spans="1:1">
      <c r="A258" s="309"/>
    </row>
    <row r="259" spans="1:1">
      <c r="A259" s="309"/>
    </row>
    <row r="260" spans="1:1">
      <c r="A260" s="309"/>
    </row>
    <row r="261" spans="1:1">
      <c r="A261" s="309"/>
    </row>
    <row r="262" spans="1:1">
      <c r="A262" s="309"/>
    </row>
    <row r="263" spans="1:1">
      <c r="A263" s="309"/>
    </row>
    <row r="264" spans="1:1">
      <c r="A264" s="309"/>
    </row>
    <row r="265" spans="1:1">
      <c r="A265" s="309"/>
    </row>
    <row r="266" spans="1:1">
      <c r="A266" s="30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BE46-7E2A-41BB-B2FE-5C0EFCB1D423}">
  <sheetPr codeName="Sheet1"/>
  <dimension ref="A1:I196"/>
  <sheetViews>
    <sheetView showGridLines="0" topLeftCell="A49" workbookViewId="0">
      <selection activeCell="A116" sqref="A116:G174"/>
    </sheetView>
  </sheetViews>
  <sheetFormatPr baseColWidth="10" defaultColWidth="8.83203125" defaultRowHeight="14"/>
  <cols>
    <col min="1" max="2" width="15.83203125" style="4" customWidth="1"/>
    <col min="3" max="3" width="21.83203125" style="4" bestFit="1" customWidth="1"/>
    <col min="4" max="4" width="18.83203125" style="4" bestFit="1" customWidth="1"/>
    <col min="5" max="5" width="19.83203125" style="4" bestFit="1" customWidth="1"/>
    <col min="6" max="6" width="20.33203125" style="4" bestFit="1" customWidth="1"/>
    <col min="7" max="7" width="20.5" style="4" bestFit="1" customWidth="1"/>
    <col min="8" max="16384" width="8.83203125" style="4"/>
  </cols>
  <sheetData>
    <row r="1" spans="1:7" ht="18">
      <c r="A1" s="32" t="s">
        <v>821</v>
      </c>
      <c r="B1" s="27"/>
      <c r="C1" s="27"/>
      <c r="D1" s="27"/>
      <c r="E1" s="27"/>
      <c r="F1" s="27"/>
      <c r="G1" s="30"/>
    </row>
    <row r="2" spans="1:7">
      <c r="A2" s="2"/>
      <c r="B2" s="3"/>
      <c r="C2" s="29">
        <v>43251</v>
      </c>
      <c r="D2" s="29">
        <f>C2+365</f>
        <v>43616</v>
      </c>
      <c r="E2" s="29">
        <f>D2+366</f>
        <v>43982</v>
      </c>
      <c r="F2" s="29">
        <f t="shared" ref="F2:G2" si="0">E2+365</f>
        <v>44347</v>
      </c>
      <c r="G2" s="29">
        <f t="shared" si="0"/>
        <v>44712</v>
      </c>
    </row>
    <row r="3" spans="1:7">
      <c r="A3" s="2"/>
      <c r="B3" s="3"/>
      <c r="C3" s="3" t="s">
        <v>704</v>
      </c>
      <c r="D3" s="3" t="s">
        <v>704</v>
      </c>
      <c r="E3" s="3" t="s">
        <v>704</v>
      </c>
      <c r="F3" s="3" t="s">
        <v>704</v>
      </c>
      <c r="G3" s="3" t="s">
        <v>704</v>
      </c>
    </row>
    <row r="4" spans="1:7">
      <c r="A4" s="5" t="s">
        <v>0</v>
      </c>
      <c r="B4" s="6"/>
      <c r="C4" s="7">
        <v>233</v>
      </c>
      <c r="D4" s="7">
        <v>250.7</v>
      </c>
      <c r="E4" s="7">
        <v>263.7</v>
      </c>
      <c r="F4" s="7">
        <v>270.5</v>
      </c>
      <c r="G4" s="7">
        <v>314.8</v>
      </c>
    </row>
    <row r="5" spans="1:7">
      <c r="A5" s="4" t="s">
        <v>1</v>
      </c>
      <c r="B5" s="8"/>
      <c r="C5" s="9">
        <v>-137.1</v>
      </c>
      <c r="D5" s="9">
        <v>-148.9</v>
      </c>
      <c r="E5" s="9">
        <v>-159.30000000000001</v>
      </c>
      <c r="F5" s="9">
        <v>-159.9</v>
      </c>
      <c r="G5" s="9">
        <v>-182.2</v>
      </c>
    </row>
    <row r="6" spans="1:7">
      <c r="A6" s="10" t="s">
        <v>2</v>
      </c>
      <c r="B6" s="11"/>
      <c r="C6" s="12">
        <v>95.9</v>
      </c>
      <c r="D6" s="12">
        <v>101.79999999999998</v>
      </c>
      <c r="E6" s="12">
        <v>104.39999999999998</v>
      </c>
      <c r="F6" s="12">
        <v>110.6</v>
      </c>
      <c r="G6" s="12">
        <v>132.60000000000002</v>
      </c>
    </row>
    <row r="7" spans="1:7">
      <c r="A7" s="4" t="s">
        <v>134</v>
      </c>
      <c r="B7" s="8"/>
      <c r="C7" s="9"/>
      <c r="D7" s="9"/>
      <c r="E7" s="9"/>
      <c r="F7" s="9"/>
      <c r="G7" s="9"/>
    </row>
    <row r="8" spans="1:7">
      <c r="B8" s="8"/>
      <c r="C8" s="9"/>
      <c r="D8" s="9"/>
      <c r="E8" s="9"/>
      <c r="F8" s="9"/>
      <c r="G8" s="9"/>
    </row>
    <row r="9" spans="1:7">
      <c r="A9" s="4" t="s">
        <v>3</v>
      </c>
      <c r="B9" s="8"/>
      <c r="C9" s="9">
        <v>-9.4</v>
      </c>
      <c r="D9" s="9">
        <v>-19</v>
      </c>
      <c r="E9" s="9">
        <v>-23.6</v>
      </c>
      <c r="F9" s="9">
        <v>-19.7</v>
      </c>
      <c r="G9" s="9">
        <v>-19.7</v>
      </c>
    </row>
    <row r="10" spans="1:7">
      <c r="A10" s="4" t="s">
        <v>4</v>
      </c>
      <c r="B10" s="8"/>
      <c r="C10" s="9">
        <v>-65.099999999999994</v>
      </c>
      <c r="D10" s="9">
        <v>-63.3</v>
      </c>
      <c r="E10" s="9">
        <v>-60.3</v>
      </c>
      <c r="F10" s="9">
        <v>-60.9</v>
      </c>
      <c r="G10" s="9">
        <v>-77.3</v>
      </c>
    </row>
    <row r="11" spans="1:7">
      <c r="A11" s="4" t="s">
        <v>5</v>
      </c>
      <c r="B11" s="8"/>
      <c r="C11" s="9">
        <v>-7.6</v>
      </c>
      <c r="D11" s="9"/>
      <c r="E11" s="9">
        <v>-7.9</v>
      </c>
      <c r="F11" s="9">
        <v>-12.7</v>
      </c>
      <c r="G11" s="9">
        <v>-0.9</v>
      </c>
    </row>
    <row r="12" spans="1:7">
      <c r="A12" s="4" t="s">
        <v>6</v>
      </c>
      <c r="B12" s="8"/>
      <c r="C12" s="9">
        <v>-0.3</v>
      </c>
      <c r="D12" s="9"/>
      <c r="E12" s="9"/>
      <c r="F12" s="9"/>
      <c r="G12" s="9"/>
    </row>
    <row r="13" spans="1:7">
      <c r="A13" s="4" t="s">
        <v>7</v>
      </c>
      <c r="B13" s="8"/>
      <c r="C13" s="9">
        <v>-82.399999999999991</v>
      </c>
      <c r="D13" s="9">
        <v>-82.3</v>
      </c>
      <c r="E13" s="9">
        <v>-91.800000000000011</v>
      </c>
      <c r="F13" s="9">
        <v>-93.3</v>
      </c>
      <c r="G13" s="9">
        <v>-97.9</v>
      </c>
    </row>
    <row r="14" spans="1:7">
      <c r="A14" s="10" t="s">
        <v>8</v>
      </c>
      <c r="B14" s="11"/>
      <c r="C14" s="12">
        <v>13.500000000000014</v>
      </c>
      <c r="D14" s="12">
        <v>19.499999999999986</v>
      </c>
      <c r="E14" s="12">
        <v>12.599999999999966</v>
      </c>
      <c r="F14" s="12">
        <v>17.299999999999997</v>
      </c>
      <c r="G14" s="12">
        <v>34.700000000000017</v>
      </c>
    </row>
    <row r="15" spans="1:7">
      <c r="A15" s="5"/>
      <c r="B15" s="6"/>
      <c r="C15" s="7"/>
      <c r="D15" s="7"/>
      <c r="E15" s="7"/>
      <c r="F15" s="7"/>
      <c r="G15" s="7"/>
    </row>
    <row r="16" spans="1:7">
      <c r="A16" s="4" t="s">
        <v>9</v>
      </c>
      <c r="B16" s="8"/>
      <c r="C16" s="9">
        <v>-1.8</v>
      </c>
      <c r="D16" s="9">
        <v>-1.7</v>
      </c>
      <c r="E16" s="9">
        <v>-3</v>
      </c>
      <c r="F16" s="9">
        <v>-2.5</v>
      </c>
      <c r="G16" s="9">
        <v>-3.7</v>
      </c>
    </row>
    <row r="17" spans="1:9">
      <c r="A17" s="10" t="s">
        <v>10</v>
      </c>
      <c r="B17" s="11"/>
      <c r="C17" s="12">
        <v>11.700000000000014</v>
      </c>
      <c r="D17" s="12">
        <v>17.799999999999986</v>
      </c>
      <c r="E17" s="12">
        <v>9.5999999999999659</v>
      </c>
      <c r="F17" s="12">
        <v>14.799999999999997</v>
      </c>
      <c r="G17" s="12">
        <v>31.000000000000018</v>
      </c>
    </row>
    <row r="18" spans="1:9">
      <c r="A18" s="4" t="s">
        <v>11</v>
      </c>
      <c r="B18" s="8"/>
      <c r="C18" s="9">
        <v>0.5</v>
      </c>
      <c r="D18" s="9">
        <v>-4.3</v>
      </c>
      <c r="E18" s="9">
        <v>-3.2</v>
      </c>
      <c r="F18" s="9">
        <v>-4.8</v>
      </c>
      <c r="G18" s="9">
        <v>-8</v>
      </c>
    </row>
    <row r="19" spans="1:9">
      <c r="B19" s="8"/>
      <c r="C19" s="9"/>
      <c r="D19" s="9"/>
      <c r="E19" s="9"/>
      <c r="F19" s="9"/>
      <c r="G19" s="9"/>
    </row>
    <row r="20" spans="1:9">
      <c r="A20" s="10" t="s">
        <v>12</v>
      </c>
      <c r="B20" s="11"/>
      <c r="C20" s="12">
        <v>12.200000000000014</v>
      </c>
      <c r="D20" s="12">
        <v>13.499999999999986</v>
      </c>
      <c r="E20" s="12">
        <v>6.3999999999999657</v>
      </c>
      <c r="F20" s="12">
        <v>9.9999999999999964</v>
      </c>
      <c r="G20" s="12">
        <v>23.000000000000018</v>
      </c>
    </row>
    <row r="21" spans="1:9">
      <c r="A21" s="4" t="s">
        <v>13</v>
      </c>
      <c r="B21" s="8"/>
      <c r="C21" s="9">
        <v>-5.5</v>
      </c>
      <c r="D21" s="9"/>
      <c r="E21" s="9"/>
      <c r="F21" s="9"/>
      <c r="G21" s="9"/>
    </row>
    <row r="22" spans="1:9">
      <c r="B22" s="8"/>
      <c r="C22" s="9"/>
      <c r="D22" s="9"/>
      <c r="E22" s="9"/>
      <c r="F22" s="9"/>
      <c r="G22" s="9"/>
    </row>
    <row r="23" spans="1:9" ht="15" thickBot="1">
      <c r="A23" s="13" t="s">
        <v>14</v>
      </c>
      <c r="B23" s="14"/>
      <c r="C23" s="15">
        <v>6.7000000000000135</v>
      </c>
      <c r="D23" s="15">
        <v>13.499999999999986</v>
      </c>
      <c r="E23" s="15">
        <v>6.3999999999999657</v>
      </c>
      <c r="F23" s="15">
        <v>9.9999999999999964</v>
      </c>
      <c r="G23" s="15">
        <v>23.000000000000018</v>
      </c>
    </row>
    <row r="24" spans="1:9" ht="15" thickTop="1">
      <c r="B24" s="8"/>
      <c r="C24" s="9"/>
      <c r="D24" s="9"/>
      <c r="E24" s="9"/>
      <c r="F24" s="9"/>
      <c r="G24" s="9"/>
    </row>
    <row r="25" spans="1:9">
      <c r="B25" s="8"/>
      <c r="C25" s="9"/>
      <c r="D25" s="9"/>
      <c r="E25" s="9"/>
      <c r="F25" s="9"/>
      <c r="G25" s="9"/>
      <c r="I25" s="16"/>
    </row>
    <row r="26" spans="1:9">
      <c r="B26" s="8"/>
      <c r="C26" s="9"/>
      <c r="D26" s="9"/>
      <c r="E26" s="9"/>
      <c r="F26" s="9"/>
      <c r="G26" s="9"/>
    </row>
    <row r="27" spans="1:9">
      <c r="A27" s="5" t="s">
        <v>15</v>
      </c>
      <c r="B27" s="8"/>
      <c r="C27" s="9"/>
      <c r="D27" s="9"/>
      <c r="E27" s="9"/>
      <c r="F27" s="9"/>
      <c r="G27" s="9"/>
    </row>
    <row r="28" spans="1:9">
      <c r="A28" s="4" t="s">
        <v>16</v>
      </c>
      <c r="B28" s="8"/>
      <c r="C28" s="9" t="s">
        <v>19</v>
      </c>
      <c r="D28" s="9" t="s">
        <v>18</v>
      </c>
      <c r="E28" s="9" t="s">
        <v>17</v>
      </c>
      <c r="F28" s="173">
        <f>(F23/F31)*100</f>
        <v>3.5561877667140815</v>
      </c>
      <c r="G28" s="173">
        <f>(G23/G31)*100</f>
        <v>7.4313408723748031</v>
      </c>
      <c r="I28" s="18"/>
    </row>
    <row r="29" spans="1:9">
      <c r="A29" s="4" t="s">
        <v>20</v>
      </c>
      <c r="B29" s="8"/>
      <c r="C29" s="9" t="s">
        <v>19</v>
      </c>
      <c r="D29" s="9" t="s">
        <v>21</v>
      </c>
      <c r="E29" s="9" t="s">
        <v>17</v>
      </c>
      <c r="F29" s="173">
        <f>(F23/F32)*100</f>
        <v>3.5373187124159875</v>
      </c>
      <c r="G29" s="173">
        <f>(G23/G32)*100</f>
        <v>7.3978771309102669</v>
      </c>
    </row>
    <row r="30" spans="1:9">
      <c r="A30" s="4" t="s">
        <v>818</v>
      </c>
      <c r="B30" s="8"/>
      <c r="C30" s="9">
        <f>-C167</f>
        <v>12.8</v>
      </c>
      <c r="D30" s="9">
        <f t="shared" ref="D30:G30" si="1">-D167</f>
        <v>12.9</v>
      </c>
      <c r="E30" s="9">
        <f t="shared" si="1"/>
        <v>12.9</v>
      </c>
      <c r="F30" s="9">
        <f t="shared" si="1"/>
        <v>13</v>
      </c>
      <c r="G30" s="9">
        <f t="shared" si="1"/>
        <v>14.4</v>
      </c>
    </row>
    <row r="31" spans="1:9">
      <c r="A31" s="47" t="s">
        <v>830</v>
      </c>
      <c r="B31" s="8"/>
      <c r="C31" s="9"/>
      <c r="D31" s="9"/>
      <c r="E31" s="9"/>
      <c r="F31" s="9">
        <v>281.2</v>
      </c>
      <c r="G31" s="9">
        <v>309.5</v>
      </c>
    </row>
    <row r="32" spans="1:9">
      <c r="A32" s="47" t="s">
        <v>831</v>
      </c>
      <c r="B32" s="8"/>
      <c r="C32" s="9"/>
      <c r="D32" s="9"/>
      <c r="E32" s="9"/>
      <c r="F32" s="9">
        <v>282.7</v>
      </c>
      <c r="G32" s="9">
        <v>310.89999999999998</v>
      </c>
    </row>
    <row r="33" spans="1:7">
      <c r="B33" s="8"/>
      <c r="C33" s="9"/>
      <c r="D33" s="9"/>
      <c r="E33" s="9"/>
      <c r="F33" s="9"/>
      <c r="G33" s="9"/>
    </row>
    <row r="34" spans="1:7">
      <c r="B34" s="8"/>
      <c r="C34" s="9"/>
      <c r="D34" s="9"/>
      <c r="E34" s="9"/>
      <c r="F34" s="9"/>
      <c r="G34" s="9"/>
    </row>
    <row r="35" spans="1:7">
      <c r="B35" s="8"/>
      <c r="C35" s="9"/>
      <c r="D35" s="9"/>
      <c r="E35" s="9"/>
      <c r="F35" s="9"/>
      <c r="G35" s="9"/>
    </row>
    <row r="36" spans="1:7">
      <c r="A36" s="43" t="s">
        <v>820</v>
      </c>
      <c r="B36" s="44"/>
      <c r="C36" s="45"/>
      <c r="D36" s="45"/>
      <c r="E36" s="45"/>
      <c r="F36" s="45"/>
      <c r="G36" s="45"/>
    </row>
    <row r="37" spans="1:7">
      <c r="A37" s="27"/>
      <c r="B37" s="28"/>
      <c r="C37" s="28">
        <v>2018</v>
      </c>
      <c r="D37" s="28">
        <f>C37+1</f>
        <v>2019</v>
      </c>
      <c r="E37" s="28">
        <f t="shared" ref="E37:G37" si="2">D37+1</f>
        <v>2020</v>
      </c>
      <c r="F37" s="28">
        <f t="shared" si="2"/>
        <v>2021</v>
      </c>
      <c r="G37" s="28">
        <f t="shared" si="2"/>
        <v>2022</v>
      </c>
    </row>
    <row r="38" spans="1:7">
      <c r="A38" s="27"/>
      <c r="B38" s="28"/>
      <c r="C38" s="31" t="str">
        <f>C3</f>
        <v>£'M</v>
      </c>
      <c r="D38" s="31" t="str">
        <f t="shared" ref="D38:G38" si="3">D3</f>
        <v>£'M</v>
      </c>
      <c r="E38" s="31" t="str">
        <f t="shared" si="3"/>
        <v>£'M</v>
      </c>
      <c r="F38" s="31" t="str">
        <f t="shared" si="3"/>
        <v>£'M</v>
      </c>
      <c r="G38" s="31" t="str">
        <f t="shared" si="3"/>
        <v>£'M</v>
      </c>
    </row>
    <row r="39" spans="1:7">
      <c r="A39" s="37" t="s">
        <v>22</v>
      </c>
      <c r="B39" s="37"/>
      <c r="C39" s="7">
        <v>6.7000000000000135</v>
      </c>
      <c r="D39" s="7">
        <v>13.499999999999986</v>
      </c>
      <c r="E39" s="7">
        <v>6.3999999999999657</v>
      </c>
      <c r="F39" s="7">
        <v>9.9999999999999964</v>
      </c>
      <c r="G39" s="7">
        <v>23.000000000000018</v>
      </c>
    </row>
    <row r="40" spans="1:7">
      <c r="A40" s="5"/>
      <c r="B40" s="6"/>
      <c r="C40" s="7"/>
      <c r="D40" s="7"/>
      <c r="E40" s="7"/>
      <c r="F40" s="7"/>
      <c r="G40" s="7"/>
    </row>
    <row r="41" spans="1:7">
      <c r="A41" s="5" t="s">
        <v>23</v>
      </c>
      <c r="B41" s="8"/>
      <c r="C41" s="9"/>
      <c r="D41" s="9"/>
      <c r="E41" s="9"/>
      <c r="F41" s="9"/>
      <c r="G41" s="9"/>
    </row>
    <row r="42" spans="1:7">
      <c r="A42" s="4" t="s">
        <v>24</v>
      </c>
      <c r="B42" s="8"/>
      <c r="C42" s="9">
        <v>0.3</v>
      </c>
      <c r="D42" s="9"/>
      <c r="E42" s="9"/>
      <c r="F42" s="9"/>
      <c r="G42" s="9"/>
    </row>
    <row r="43" spans="1:7">
      <c r="A43" s="35" t="s">
        <v>823</v>
      </c>
      <c r="B43" s="33"/>
      <c r="C43" s="9"/>
      <c r="D43" s="9"/>
      <c r="E43" s="9">
        <v>0</v>
      </c>
      <c r="F43" s="9">
        <v>-0.8</v>
      </c>
      <c r="G43" s="9">
        <v>-0.1</v>
      </c>
    </row>
    <row r="44" spans="1:7">
      <c r="A44" s="34" t="s">
        <v>822</v>
      </c>
      <c r="B44" s="34"/>
      <c r="C44" s="9"/>
      <c r="D44" s="9"/>
      <c r="E44" s="9"/>
      <c r="F44" s="9"/>
      <c r="G44" s="9"/>
    </row>
    <row r="45" spans="1:7">
      <c r="A45" s="4" t="s">
        <v>26</v>
      </c>
      <c r="B45" s="8"/>
      <c r="C45" s="9"/>
      <c r="D45" s="9">
        <v>1.5</v>
      </c>
      <c r="E45" s="9">
        <v>4</v>
      </c>
      <c r="F45" s="9">
        <v>-11.6</v>
      </c>
      <c r="G45" s="9">
        <v>14.8</v>
      </c>
    </row>
    <row r="46" spans="1:7">
      <c r="B46" s="8"/>
      <c r="C46" s="9"/>
      <c r="D46" s="9"/>
      <c r="E46" s="9"/>
      <c r="F46" s="9"/>
      <c r="G46" s="9"/>
    </row>
    <row r="47" spans="1:7">
      <c r="A47" s="5" t="s">
        <v>27</v>
      </c>
      <c r="B47" s="6"/>
      <c r="C47" s="7">
        <v>0.3</v>
      </c>
      <c r="D47" s="7">
        <v>1.5</v>
      </c>
      <c r="E47" s="7">
        <v>4</v>
      </c>
      <c r="F47" s="7">
        <v>-12.4</v>
      </c>
      <c r="G47" s="7">
        <v>14.700000000000001</v>
      </c>
    </row>
    <row r="48" spans="1:7" ht="15" thickBot="1">
      <c r="A48" s="25" t="s">
        <v>28</v>
      </c>
      <c r="B48" s="26"/>
      <c r="C48" s="36">
        <v>7.0000000000000133</v>
      </c>
      <c r="D48" s="36">
        <v>14.999999999999986</v>
      </c>
      <c r="E48" s="36">
        <v>10.399999999999967</v>
      </c>
      <c r="F48" s="36">
        <v>-2.4000000000000039</v>
      </c>
      <c r="G48" s="36">
        <v>37.700000000000017</v>
      </c>
    </row>
    <row r="49" spans="1:7">
      <c r="B49" s="8"/>
      <c r="C49" s="9"/>
      <c r="D49" s="9"/>
      <c r="E49" s="9"/>
      <c r="F49" s="9"/>
      <c r="G49" s="9"/>
    </row>
    <row r="57" spans="1:7" ht="18">
      <c r="A57" s="32" t="s">
        <v>824</v>
      </c>
      <c r="B57" s="27"/>
      <c r="C57" s="27"/>
      <c r="D57" s="27"/>
      <c r="E57" s="27"/>
      <c r="F57" s="27"/>
      <c r="G57" s="27"/>
    </row>
    <row r="58" spans="1:7">
      <c r="A58" s="2"/>
      <c r="B58" s="2"/>
      <c r="C58" s="29">
        <f>C2</f>
        <v>43251</v>
      </c>
      <c r="D58" s="29">
        <f t="shared" ref="D58:G58" si="4">D2</f>
        <v>43616</v>
      </c>
      <c r="E58" s="29">
        <f t="shared" si="4"/>
        <v>43982</v>
      </c>
      <c r="F58" s="29">
        <f t="shared" si="4"/>
        <v>44347</v>
      </c>
      <c r="G58" s="29">
        <f t="shared" si="4"/>
        <v>44712</v>
      </c>
    </row>
    <row r="59" spans="1:7">
      <c r="A59" s="2"/>
      <c r="B59" s="2"/>
      <c r="C59" s="29" t="str">
        <f>C3</f>
        <v>£'M</v>
      </c>
      <c r="D59" s="29" t="str">
        <f t="shared" ref="D59:G59" si="5">D3</f>
        <v>£'M</v>
      </c>
      <c r="E59" s="29" t="str">
        <f t="shared" si="5"/>
        <v>£'M</v>
      </c>
      <c r="F59" s="29" t="str">
        <f t="shared" si="5"/>
        <v>£'M</v>
      </c>
      <c r="G59" s="29" t="str">
        <f t="shared" si="5"/>
        <v>£'M</v>
      </c>
    </row>
    <row r="60" spans="1:7">
      <c r="A60" s="5" t="s">
        <v>29</v>
      </c>
    </row>
    <row r="61" spans="1:7">
      <c r="A61" s="4" t="s">
        <v>30</v>
      </c>
      <c r="B61" s="8" t="s">
        <v>136</v>
      </c>
      <c r="C61" s="8">
        <v>187.2</v>
      </c>
      <c r="D61" s="8">
        <v>189.4</v>
      </c>
      <c r="E61" s="8">
        <v>193.1</v>
      </c>
      <c r="F61" s="8">
        <v>182.9</v>
      </c>
      <c r="G61" s="8">
        <v>266.10000000000002</v>
      </c>
    </row>
    <row r="62" spans="1:7">
      <c r="A62" s="4" t="s">
        <v>31</v>
      </c>
      <c r="B62" s="8" t="s">
        <v>136</v>
      </c>
      <c r="C62" s="8">
        <v>52.8</v>
      </c>
      <c r="D62" s="8">
        <v>41.8</v>
      </c>
      <c r="E62" s="8">
        <v>29</v>
      </c>
      <c r="F62" s="8">
        <v>21</v>
      </c>
      <c r="G62" s="8">
        <v>118.6</v>
      </c>
    </row>
    <row r="63" spans="1:7">
      <c r="A63" s="4" t="s">
        <v>32</v>
      </c>
      <c r="B63" s="8" t="s">
        <v>136</v>
      </c>
      <c r="C63" s="8">
        <v>19.399999999999999</v>
      </c>
      <c r="D63" s="8">
        <v>16.899999999999999</v>
      </c>
      <c r="E63" s="8">
        <v>13.9</v>
      </c>
      <c r="F63" s="8">
        <v>11.5</v>
      </c>
      <c r="G63" s="8">
        <v>12.9</v>
      </c>
    </row>
    <row r="64" spans="1:7">
      <c r="A64" s="4" t="s">
        <v>33</v>
      </c>
      <c r="B64" s="8" t="s">
        <v>136</v>
      </c>
      <c r="C64" s="8"/>
      <c r="D64" s="8">
        <v>0</v>
      </c>
      <c r="E64" s="8">
        <v>28.7</v>
      </c>
      <c r="F64" s="8">
        <v>23.8</v>
      </c>
      <c r="G64" s="8">
        <v>22</v>
      </c>
    </row>
    <row r="65" spans="1:7">
      <c r="A65" s="4" t="s">
        <v>34</v>
      </c>
      <c r="B65" s="8" t="s">
        <v>142</v>
      </c>
      <c r="C65" s="8">
        <v>0.4</v>
      </c>
      <c r="D65" s="8">
        <v>0.3</v>
      </c>
      <c r="E65" s="8">
        <v>0.3</v>
      </c>
      <c r="F65" s="8">
        <v>0.3</v>
      </c>
      <c r="G65" s="8">
        <v>0.3</v>
      </c>
    </row>
    <row r="66" spans="1:7">
      <c r="A66" s="4" t="s">
        <v>35</v>
      </c>
      <c r="B66" s="8" t="s">
        <v>137</v>
      </c>
      <c r="C66" s="8">
        <v>4.5</v>
      </c>
      <c r="D66" s="8">
        <v>1.1000000000000001</v>
      </c>
      <c r="E66" s="8">
        <v>2.2999999999999998</v>
      </c>
      <c r="F66" s="8">
        <v>2</v>
      </c>
      <c r="G66" s="8">
        <v>1.4</v>
      </c>
    </row>
    <row r="67" spans="1:7">
      <c r="A67" s="19" t="s">
        <v>36</v>
      </c>
      <c r="B67" s="20"/>
      <c r="C67" s="21">
        <f>SUM(C61:C66)</f>
        <v>264.29999999999995</v>
      </c>
      <c r="D67" s="21">
        <f>SUM(D61:D66)</f>
        <v>249.5</v>
      </c>
      <c r="E67" s="21">
        <f>SUM(E61:E66)</f>
        <v>267.3</v>
      </c>
      <c r="F67" s="21">
        <f>SUM(F61:F66)</f>
        <v>241.50000000000003</v>
      </c>
      <c r="G67" s="21">
        <f>SUM(G61:G66)</f>
        <v>421.3</v>
      </c>
    </row>
    <row r="68" spans="1:7">
      <c r="B68" s="8"/>
      <c r="C68" s="8"/>
      <c r="D68" s="8"/>
      <c r="E68" s="8"/>
      <c r="F68" s="8"/>
      <c r="G68" s="8"/>
    </row>
    <row r="69" spans="1:7">
      <c r="A69" s="5" t="s">
        <v>37</v>
      </c>
      <c r="B69" s="8"/>
      <c r="C69" s="8"/>
      <c r="D69" s="8"/>
      <c r="E69" s="8"/>
      <c r="F69" s="8"/>
      <c r="G69" s="8"/>
    </row>
    <row r="70" spans="1:7">
      <c r="A70" s="4" t="s">
        <v>38</v>
      </c>
      <c r="B70" s="8" t="s">
        <v>136</v>
      </c>
      <c r="C70" s="8">
        <v>0.8</v>
      </c>
      <c r="D70" s="8">
        <v>0.7</v>
      </c>
      <c r="E70" s="8">
        <v>0.9</v>
      </c>
      <c r="F70" s="8">
        <v>1.1000000000000001</v>
      </c>
      <c r="G70" s="8">
        <v>0.9</v>
      </c>
    </row>
    <row r="71" spans="1:7">
      <c r="A71" s="4" t="s">
        <v>39</v>
      </c>
      <c r="B71" s="8" t="s">
        <v>136</v>
      </c>
      <c r="C71" s="8">
        <v>66</v>
      </c>
      <c r="D71" s="8">
        <v>61.6</v>
      </c>
      <c r="E71" s="8">
        <v>73.400000000000006</v>
      </c>
      <c r="F71" s="8">
        <v>68.7</v>
      </c>
      <c r="G71" s="8">
        <v>77.7</v>
      </c>
    </row>
    <row r="72" spans="1:7">
      <c r="A72" s="4" t="s">
        <v>40</v>
      </c>
      <c r="B72" s="8" t="s">
        <v>142</v>
      </c>
      <c r="C72" s="8"/>
      <c r="D72" s="8"/>
      <c r="E72" s="8"/>
      <c r="F72" s="8">
        <v>0</v>
      </c>
      <c r="G72" s="8">
        <v>0.2</v>
      </c>
    </row>
    <row r="73" spans="1:7">
      <c r="A73" s="4" t="s">
        <v>41</v>
      </c>
      <c r="B73" s="8" t="s">
        <v>142</v>
      </c>
      <c r="C73" s="8">
        <v>1.5</v>
      </c>
      <c r="D73" s="8"/>
      <c r="E73" s="8"/>
      <c r="F73" s="8">
        <v>0</v>
      </c>
      <c r="G73" s="8">
        <v>0</v>
      </c>
    </row>
    <row r="74" spans="1:7">
      <c r="A74" s="4" t="s">
        <v>42</v>
      </c>
      <c r="B74" s="8" t="s">
        <v>136</v>
      </c>
      <c r="C74" s="8">
        <v>0</v>
      </c>
      <c r="D74" s="8">
        <v>0.6</v>
      </c>
      <c r="E74" s="8">
        <v>0.6</v>
      </c>
      <c r="F74" s="8">
        <v>4.5</v>
      </c>
      <c r="G74" s="8">
        <v>3.1</v>
      </c>
    </row>
    <row r="75" spans="1:7">
      <c r="A75" s="4" t="s">
        <v>43</v>
      </c>
      <c r="B75" s="8" t="s">
        <v>133</v>
      </c>
      <c r="C75" s="8">
        <v>21.2</v>
      </c>
      <c r="D75" s="8">
        <v>34.9</v>
      </c>
      <c r="E75" s="8">
        <v>95</v>
      </c>
      <c r="F75" s="8">
        <v>116.5</v>
      </c>
      <c r="G75" s="8">
        <v>73.2</v>
      </c>
    </row>
    <row r="76" spans="1:7">
      <c r="A76" s="4" t="s">
        <v>44</v>
      </c>
      <c r="B76" s="8"/>
      <c r="C76" s="8">
        <f>SUM(C70:C75)</f>
        <v>89.5</v>
      </c>
      <c r="D76" s="8">
        <f>SUM(D70:D75)</f>
        <v>97.800000000000011</v>
      </c>
      <c r="E76" s="8">
        <f>SUM(E70:E75)</f>
        <v>169.9</v>
      </c>
      <c r="F76" s="8">
        <f>SUM(F70:F75)</f>
        <v>190.8</v>
      </c>
      <c r="G76" s="8">
        <f>SUM(G70:G75)</f>
        <v>155.10000000000002</v>
      </c>
    </row>
    <row r="77" spans="1:7" ht="15" thickBot="1">
      <c r="A77" s="13" t="s">
        <v>45</v>
      </c>
      <c r="B77" s="14"/>
      <c r="C77" s="22">
        <f>C67+C76</f>
        <v>353.79999999999995</v>
      </c>
      <c r="D77" s="22">
        <f>D67+D76</f>
        <v>347.3</v>
      </c>
      <c r="E77" s="22">
        <f>E67+E76</f>
        <v>437.20000000000005</v>
      </c>
      <c r="F77" s="22">
        <f>F67+F76</f>
        <v>432.30000000000007</v>
      </c>
      <c r="G77" s="22">
        <f>G67+G76</f>
        <v>576.40000000000009</v>
      </c>
    </row>
    <row r="78" spans="1:7" ht="15" thickTop="1">
      <c r="B78" s="8"/>
      <c r="C78" s="8"/>
      <c r="D78" s="8"/>
      <c r="E78" s="8"/>
      <c r="F78" s="8"/>
      <c r="G78" s="8"/>
    </row>
    <row r="79" spans="1:7">
      <c r="A79" s="5" t="s">
        <v>46</v>
      </c>
      <c r="B79" s="8"/>
      <c r="C79" s="8"/>
      <c r="D79" s="8"/>
      <c r="E79" s="8"/>
      <c r="F79" s="8"/>
      <c r="G79" s="8"/>
    </row>
    <row r="80" spans="1:7">
      <c r="A80" s="4" t="s">
        <v>47</v>
      </c>
      <c r="B80" s="8" t="s">
        <v>139</v>
      </c>
      <c r="C80" s="8">
        <v>35.700000000000003</v>
      </c>
      <c r="D80" s="8">
        <v>31.6</v>
      </c>
      <c r="E80" s="8">
        <v>46.4</v>
      </c>
      <c r="F80" s="8">
        <v>45.2</v>
      </c>
      <c r="G80" s="8">
        <v>48.3</v>
      </c>
    </row>
    <row r="81" spans="1:7">
      <c r="A81" s="4" t="s">
        <v>179</v>
      </c>
      <c r="B81" s="8" t="s">
        <v>138</v>
      </c>
      <c r="C81" s="8">
        <v>0</v>
      </c>
      <c r="D81" s="8">
        <v>5</v>
      </c>
      <c r="E81" s="8">
        <v>0</v>
      </c>
      <c r="F81" s="8">
        <v>0</v>
      </c>
      <c r="G81" s="8">
        <v>18.5</v>
      </c>
    </row>
    <row r="82" spans="1:7">
      <c r="A82" s="4" t="s">
        <v>178</v>
      </c>
      <c r="B82" s="8" t="s">
        <v>138</v>
      </c>
      <c r="C82" s="8"/>
      <c r="D82" s="8">
        <v>0</v>
      </c>
      <c r="E82" s="8">
        <v>5.3</v>
      </c>
      <c r="F82" s="8">
        <v>5.0999999999999996</v>
      </c>
      <c r="G82" s="8">
        <v>5.4</v>
      </c>
    </row>
    <row r="83" spans="1:7">
      <c r="A83" s="4" t="s">
        <v>50</v>
      </c>
      <c r="B83" s="8" t="s">
        <v>139</v>
      </c>
      <c r="C83" s="8">
        <v>1.3</v>
      </c>
      <c r="D83" s="8">
        <v>0</v>
      </c>
      <c r="E83" s="8">
        <v>0</v>
      </c>
      <c r="F83" s="8">
        <v>4</v>
      </c>
      <c r="G83" s="8">
        <v>7.4</v>
      </c>
    </row>
    <row r="84" spans="1:7">
      <c r="A84" s="4" t="s">
        <v>40</v>
      </c>
      <c r="B84" s="8" t="s">
        <v>143</v>
      </c>
      <c r="C84" s="8"/>
      <c r="D84" s="8">
        <v>0</v>
      </c>
      <c r="E84" s="8">
        <v>0</v>
      </c>
      <c r="F84" s="8">
        <v>0.8</v>
      </c>
      <c r="G84" s="8">
        <v>0</v>
      </c>
    </row>
    <row r="85" spans="1:7">
      <c r="A85" s="4" t="s">
        <v>51</v>
      </c>
      <c r="B85" s="8" t="s">
        <v>143</v>
      </c>
      <c r="C85" s="8"/>
      <c r="D85" s="8"/>
      <c r="E85" s="8"/>
      <c r="F85" s="8">
        <v>0</v>
      </c>
      <c r="G85" s="8">
        <v>1.9</v>
      </c>
    </row>
    <row r="86" spans="1:7">
      <c r="A86" s="4" t="s">
        <v>52</v>
      </c>
      <c r="B86" s="8" t="s">
        <v>139</v>
      </c>
      <c r="C86" s="8">
        <v>2.6</v>
      </c>
      <c r="D86" s="8">
        <v>2.7</v>
      </c>
      <c r="E86" s="8">
        <v>2</v>
      </c>
      <c r="F86" s="8">
        <v>2.4</v>
      </c>
      <c r="G86" s="8">
        <v>2.7</v>
      </c>
    </row>
    <row r="87" spans="1:7">
      <c r="A87" s="4" t="s">
        <v>53</v>
      </c>
      <c r="B87" s="8" t="s">
        <v>143</v>
      </c>
      <c r="C87" s="8">
        <v>11.9</v>
      </c>
      <c r="D87" s="8"/>
      <c r="E87" s="8"/>
      <c r="F87" s="8"/>
      <c r="G87" s="8"/>
    </row>
    <row r="88" spans="1:7">
      <c r="A88" s="4" t="s">
        <v>54</v>
      </c>
      <c r="B88" s="8" t="s">
        <v>139</v>
      </c>
      <c r="C88" s="8">
        <v>30.6</v>
      </c>
      <c r="D88" s="8">
        <v>36.200000000000003</v>
      </c>
      <c r="E88" s="8">
        <v>39.5</v>
      </c>
      <c r="F88" s="8">
        <v>43.6</v>
      </c>
      <c r="G88" s="8">
        <v>61.7</v>
      </c>
    </row>
    <row r="89" spans="1:7">
      <c r="A89" s="19" t="s">
        <v>55</v>
      </c>
      <c r="B89" s="20"/>
      <c r="C89" s="20">
        <f>SUM(C80:C88)</f>
        <v>82.1</v>
      </c>
      <c r="D89" s="20">
        <f>SUM(D80:D88)</f>
        <v>75.5</v>
      </c>
      <c r="E89" s="20">
        <f>SUM(E80:E88)</f>
        <v>93.199999999999989</v>
      </c>
      <c r="F89" s="20">
        <f>SUM(F80:F88)</f>
        <v>101.1</v>
      </c>
      <c r="G89" s="20">
        <f>SUM(G80:G88)</f>
        <v>145.90000000000003</v>
      </c>
    </row>
    <row r="90" spans="1:7">
      <c r="B90" s="8"/>
      <c r="C90" s="8"/>
      <c r="D90" s="8"/>
      <c r="E90" s="8"/>
      <c r="F90" s="8"/>
      <c r="G90" s="8"/>
    </row>
    <row r="91" spans="1:7">
      <c r="A91" s="5" t="s">
        <v>56</v>
      </c>
      <c r="B91" s="8"/>
      <c r="C91" s="8"/>
      <c r="D91" s="8"/>
      <c r="E91" s="8"/>
      <c r="F91" s="8"/>
      <c r="G91" s="8"/>
    </row>
    <row r="92" spans="1:7">
      <c r="A92" s="4" t="s">
        <v>48</v>
      </c>
      <c r="B92" s="8" t="s">
        <v>138</v>
      </c>
      <c r="C92" s="8">
        <v>49</v>
      </c>
      <c r="D92" s="8">
        <v>50.1</v>
      </c>
      <c r="E92" s="8">
        <v>99.2</v>
      </c>
      <c r="F92" s="8">
        <v>33.200000000000003</v>
      </c>
      <c r="G92" s="8">
        <v>107.1</v>
      </c>
    </row>
    <row r="93" spans="1:7">
      <c r="A93" s="4" t="s">
        <v>49</v>
      </c>
      <c r="B93" s="8" t="s">
        <v>138</v>
      </c>
      <c r="C93" s="8"/>
      <c r="D93" s="8">
        <v>0</v>
      </c>
      <c r="E93" s="8">
        <v>32.9</v>
      </c>
      <c r="F93" s="8">
        <v>29.3</v>
      </c>
      <c r="G93" s="8">
        <v>27.2</v>
      </c>
    </row>
    <row r="94" spans="1:7">
      <c r="A94" s="4" t="s">
        <v>57</v>
      </c>
      <c r="B94" s="8" t="s">
        <v>140</v>
      </c>
      <c r="C94" s="8">
        <v>9.8000000000000007</v>
      </c>
      <c r="D94" s="8">
        <v>5.4</v>
      </c>
      <c r="E94" s="8">
        <v>2.9</v>
      </c>
      <c r="F94" s="8">
        <v>1.2</v>
      </c>
      <c r="G94" s="8">
        <v>1.6</v>
      </c>
    </row>
    <row r="95" spans="1:7">
      <c r="A95" s="4" t="s">
        <v>52</v>
      </c>
      <c r="B95" s="8" t="s">
        <v>139</v>
      </c>
      <c r="C95" s="8">
        <v>6.3</v>
      </c>
      <c r="D95" s="8">
        <v>5.5</v>
      </c>
      <c r="E95" s="8">
        <v>1.7</v>
      </c>
      <c r="F95" s="8">
        <v>0.6</v>
      </c>
      <c r="G95" s="8">
        <v>0.8</v>
      </c>
    </row>
    <row r="96" spans="1:7">
      <c r="A96" s="4" t="s">
        <v>54</v>
      </c>
      <c r="B96" s="8" t="s">
        <v>139</v>
      </c>
      <c r="C96" s="8"/>
      <c r="D96" s="8">
        <v>0</v>
      </c>
      <c r="E96" s="8">
        <v>1.4</v>
      </c>
      <c r="F96" s="8">
        <v>0.7</v>
      </c>
      <c r="G96" s="8">
        <v>0.6</v>
      </c>
    </row>
    <row r="97" spans="1:7">
      <c r="A97" s="4" t="s">
        <v>58</v>
      </c>
      <c r="B97" s="8"/>
      <c r="C97" s="8">
        <f>SUM(C92:C96)</f>
        <v>65.099999999999994</v>
      </c>
      <c r="D97" s="8">
        <f>SUM(D92:D96)</f>
        <v>61</v>
      </c>
      <c r="E97" s="8">
        <f>SUM(E92:E96)</f>
        <v>138.1</v>
      </c>
      <c r="F97" s="8">
        <f>SUM(F92:F96)</f>
        <v>65</v>
      </c>
      <c r="G97" s="8">
        <f>SUM(G92:G96)</f>
        <v>137.29999999999998</v>
      </c>
    </row>
    <row r="98" spans="1:7" ht="15" thickBot="1">
      <c r="A98" s="13" t="s">
        <v>59</v>
      </c>
      <c r="B98" s="14"/>
      <c r="C98" s="14">
        <f>C89+C97</f>
        <v>147.19999999999999</v>
      </c>
      <c r="D98" s="14">
        <f>D89+D97</f>
        <v>136.5</v>
      </c>
      <c r="E98" s="14">
        <f>E89+E97</f>
        <v>231.29999999999998</v>
      </c>
      <c r="F98" s="14">
        <f>F89+F97</f>
        <v>166.1</v>
      </c>
      <c r="G98" s="14">
        <f>G89+G97</f>
        <v>283.20000000000005</v>
      </c>
    </row>
    <row r="99" spans="1:7" ht="15" thickTop="1">
      <c r="B99" s="8"/>
      <c r="C99" s="8"/>
      <c r="D99" s="8"/>
      <c r="E99" s="8"/>
      <c r="F99" s="8"/>
      <c r="G99" s="8"/>
    </row>
    <row r="100" spans="1:7">
      <c r="A100" s="23" t="s">
        <v>60</v>
      </c>
      <c r="B100" s="24"/>
      <c r="C100" s="24">
        <v>206.6</v>
      </c>
      <c r="D100" s="24">
        <v>205.9</v>
      </c>
      <c r="E100" s="24">
        <v>205.9</v>
      </c>
      <c r="F100" s="24">
        <v>266.2</v>
      </c>
      <c r="G100" s="24">
        <v>293.2</v>
      </c>
    </row>
    <row r="101" spans="1:7">
      <c r="B101" s="8"/>
      <c r="C101" s="8"/>
      <c r="D101" s="8"/>
      <c r="E101" s="8"/>
      <c r="F101" s="8"/>
      <c r="G101" s="8"/>
    </row>
    <row r="102" spans="1:7">
      <c r="A102" s="5" t="s">
        <v>61</v>
      </c>
      <c r="B102" s="8"/>
      <c r="C102" s="8"/>
      <c r="D102" s="8"/>
      <c r="E102" s="8"/>
      <c r="F102" s="8"/>
      <c r="G102" s="8"/>
    </row>
    <row r="103" spans="1:7">
      <c r="A103" s="4" t="s">
        <v>62</v>
      </c>
      <c r="B103" s="8"/>
      <c r="C103" s="8">
        <v>2.8</v>
      </c>
      <c r="D103" s="8">
        <v>2.8</v>
      </c>
      <c r="E103" s="8">
        <v>2.8</v>
      </c>
      <c r="F103" s="8">
        <v>3.1</v>
      </c>
      <c r="G103" s="8">
        <v>3.1</v>
      </c>
    </row>
    <row r="104" spans="1:7">
      <c r="A104" s="4" t="s">
        <v>63</v>
      </c>
      <c r="B104" s="8"/>
      <c r="C104" s="8">
        <v>149.5</v>
      </c>
      <c r="D104" s="8">
        <v>149.80000000000001</v>
      </c>
      <c r="E104" s="8">
        <v>150.9</v>
      </c>
      <c r="F104" s="8">
        <v>223.2</v>
      </c>
      <c r="G104" s="8">
        <v>224</v>
      </c>
    </row>
    <row r="105" spans="1:7">
      <c r="A105" s="4" t="s">
        <v>64</v>
      </c>
      <c r="B105" s="8"/>
      <c r="C105" s="8"/>
      <c r="D105" s="8">
        <v>0</v>
      </c>
      <c r="E105" s="8">
        <v>0</v>
      </c>
      <c r="F105" s="8">
        <v>-0.8</v>
      </c>
      <c r="G105" s="8">
        <v>0</v>
      </c>
    </row>
    <row r="106" spans="1:7">
      <c r="A106" s="4" t="s">
        <v>65</v>
      </c>
      <c r="B106" s="8"/>
      <c r="C106" s="8">
        <v>42.3</v>
      </c>
      <c r="D106" s="8">
        <v>42.3</v>
      </c>
      <c r="E106" s="8">
        <v>42.3</v>
      </c>
      <c r="F106" s="8">
        <v>42.3</v>
      </c>
      <c r="G106" s="8">
        <v>42.3</v>
      </c>
    </row>
    <row r="107" spans="1:7">
      <c r="A107" s="4" t="s">
        <v>66</v>
      </c>
      <c r="B107" s="8"/>
      <c r="C107" s="8">
        <v>26.4</v>
      </c>
      <c r="D107" s="8">
        <v>27.9</v>
      </c>
      <c r="E107" s="8">
        <v>31.9</v>
      </c>
      <c r="F107" s="8">
        <v>20.3</v>
      </c>
      <c r="G107" s="8">
        <v>35.1</v>
      </c>
    </row>
    <row r="108" spans="1:7">
      <c r="A108" s="4" t="s">
        <v>67</v>
      </c>
      <c r="B108" s="8"/>
      <c r="C108" s="8">
        <v>-14.4</v>
      </c>
      <c r="D108" s="8">
        <v>-12</v>
      </c>
      <c r="E108" s="8">
        <v>-22</v>
      </c>
      <c r="F108" s="8">
        <v>-21.9</v>
      </c>
      <c r="G108" s="8">
        <v>-11.3</v>
      </c>
    </row>
    <row r="109" spans="1:7">
      <c r="A109" s="19" t="s">
        <v>68</v>
      </c>
      <c r="B109" s="20" t="s">
        <v>141</v>
      </c>
      <c r="C109" s="20">
        <f>SUM(C103:C108)</f>
        <v>206.60000000000002</v>
      </c>
      <c r="D109" s="20">
        <f>SUM(D103:D108)</f>
        <v>210.80000000000004</v>
      </c>
      <c r="E109" s="20">
        <f>SUM(E103:E108)</f>
        <v>205.9</v>
      </c>
      <c r="F109" s="20">
        <f>SUM(F103:F108)</f>
        <v>266.2</v>
      </c>
      <c r="G109" s="20">
        <f>SUM(G103:G108)</f>
        <v>293.2</v>
      </c>
    </row>
    <row r="110" spans="1:7" ht="15" thickBot="1">
      <c r="A110" s="25" t="s">
        <v>69</v>
      </c>
      <c r="B110" s="26"/>
      <c r="C110" s="26">
        <f>C109+C98</f>
        <v>353.8</v>
      </c>
      <c r="D110" s="26">
        <f>D109+D98</f>
        <v>347.30000000000007</v>
      </c>
      <c r="E110" s="26">
        <f>E109+E98</f>
        <v>437.2</v>
      </c>
      <c r="F110" s="26">
        <f>F109+F98</f>
        <v>432.29999999999995</v>
      </c>
      <c r="G110" s="26">
        <f>G109+G98</f>
        <v>576.40000000000009</v>
      </c>
    </row>
    <row r="111" spans="1:7">
      <c r="B111" s="8"/>
      <c r="C111" s="8"/>
      <c r="D111" s="8"/>
      <c r="E111" s="8"/>
      <c r="F111" s="8"/>
      <c r="G111" s="8"/>
    </row>
    <row r="116" spans="1:7" ht="18">
      <c r="A116" s="32" t="s">
        <v>825</v>
      </c>
      <c r="B116" s="27"/>
      <c r="C116" s="27"/>
      <c r="D116" s="27"/>
      <c r="E116" s="27"/>
      <c r="F116" s="27"/>
      <c r="G116" s="27"/>
    </row>
    <row r="117" spans="1:7" ht="16">
      <c r="A117" s="27"/>
      <c r="B117" s="27"/>
      <c r="C117" s="41">
        <f>C2</f>
        <v>43251</v>
      </c>
      <c r="D117" s="41">
        <f t="shared" ref="D117:G117" si="6">D2</f>
        <v>43616</v>
      </c>
      <c r="E117" s="41">
        <f t="shared" si="6"/>
        <v>43982</v>
      </c>
      <c r="F117" s="41">
        <f t="shared" si="6"/>
        <v>44347</v>
      </c>
      <c r="G117" s="41">
        <f t="shared" si="6"/>
        <v>44712</v>
      </c>
    </row>
    <row r="118" spans="1:7" ht="17">
      <c r="A118" s="27"/>
      <c r="B118" s="27"/>
      <c r="C118" s="42" t="str">
        <f>C3</f>
        <v>£'M</v>
      </c>
      <c r="D118" s="42" t="str">
        <f t="shared" ref="D118:G118" si="7">D3</f>
        <v>£'M</v>
      </c>
      <c r="E118" s="42" t="str">
        <f t="shared" si="7"/>
        <v>£'M</v>
      </c>
      <c r="F118" s="42" t="str">
        <f t="shared" si="7"/>
        <v>£'M</v>
      </c>
      <c r="G118" s="42" t="str">
        <f t="shared" si="7"/>
        <v>£'M</v>
      </c>
    </row>
    <row r="119" spans="1:7">
      <c r="A119" s="5" t="s">
        <v>70</v>
      </c>
      <c r="C119" s="8"/>
      <c r="D119" s="8"/>
      <c r="E119" s="8"/>
      <c r="F119" s="8"/>
      <c r="G119" s="8"/>
    </row>
    <row r="120" spans="1:7">
      <c r="A120" s="10" t="s">
        <v>71</v>
      </c>
      <c r="B120" s="10"/>
      <c r="C120" s="11">
        <v>6.7</v>
      </c>
      <c r="D120" s="11">
        <v>13.5</v>
      </c>
      <c r="E120" s="11">
        <v>6.4</v>
      </c>
      <c r="F120" s="11">
        <v>10</v>
      </c>
      <c r="G120" s="11">
        <v>23</v>
      </c>
    </row>
    <row r="121" spans="1:7">
      <c r="A121" s="4" t="s">
        <v>72</v>
      </c>
      <c r="C121" s="8"/>
      <c r="D121" s="8"/>
      <c r="E121" s="8"/>
      <c r="F121" s="8"/>
      <c r="G121" s="8"/>
    </row>
    <row r="122" spans="1:7">
      <c r="A122" s="4" t="s">
        <v>73</v>
      </c>
      <c r="C122" s="8">
        <v>6.5</v>
      </c>
      <c r="D122" s="8">
        <v>5.6</v>
      </c>
      <c r="E122" s="8">
        <v>5.8</v>
      </c>
      <c r="F122" s="8">
        <v>4.4000000000000004</v>
      </c>
      <c r="G122" s="8">
        <v>3.9</v>
      </c>
    </row>
    <row r="123" spans="1:7">
      <c r="A123" s="4" t="s">
        <v>74</v>
      </c>
      <c r="C123" s="8"/>
      <c r="D123" s="8"/>
      <c r="E123" s="8">
        <v>6</v>
      </c>
      <c r="F123" s="8">
        <v>5.9</v>
      </c>
      <c r="G123" s="8">
        <v>5.4</v>
      </c>
    </row>
    <row r="124" spans="1:7">
      <c r="A124" s="4" t="s">
        <v>6</v>
      </c>
      <c r="C124" s="8">
        <v>0.2</v>
      </c>
      <c r="D124" s="8">
        <v>1.7</v>
      </c>
      <c r="E124" s="8">
        <v>1.4</v>
      </c>
      <c r="F124" s="8">
        <v>2.8</v>
      </c>
      <c r="G124" s="8">
        <v>3.9</v>
      </c>
    </row>
    <row r="125" spans="1:7">
      <c r="A125" s="4" t="s">
        <v>75</v>
      </c>
      <c r="C125" s="8"/>
      <c r="D125" s="8"/>
      <c r="E125" s="8"/>
      <c r="F125" s="8" t="s">
        <v>76</v>
      </c>
      <c r="G125" s="8">
        <v>-0.5</v>
      </c>
    </row>
    <row r="126" spans="1:7">
      <c r="A126" s="4" t="s">
        <v>77</v>
      </c>
      <c r="C126" s="8">
        <v>9.4</v>
      </c>
      <c r="D126" s="8">
        <v>9</v>
      </c>
      <c r="E126" s="8">
        <v>8.8000000000000007</v>
      </c>
      <c r="F126" s="8">
        <v>6.4</v>
      </c>
      <c r="G126" s="8">
        <v>8.6</v>
      </c>
    </row>
    <row r="127" spans="1:7">
      <c r="A127" s="4" t="s">
        <v>79</v>
      </c>
      <c r="C127" s="8">
        <v>5.9</v>
      </c>
      <c r="D127" s="8">
        <v>4.4000000000000004</v>
      </c>
      <c r="E127" s="8">
        <v>3</v>
      </c>
      <c r="F127" s="8">
        <v>3</v>
      </c>
      <c r="G127" s="8">
        <v>1.8</v>
      </c>
    </row>
    <row r="128" spans="1:7">
      <c r="A128" s="4" t="s">
        <v>81</v>
      </c>
      <c r="C128" s="8"/>
      <c r="D128" s="8"/>
      <c r="E128" s="8">
        <v>1.1000000000000001</v>
      </c>
      <c r="F128" s="8" t="s">
        <v>76</v>
      </c>
      <c r="G128" s="8">
        <v>-0.1</v>
      </c>
    </row>
    <row r="129" spans="1:7">
      <c r="A129" s="4" t="s">
        <v>82</v>
      </c>
      <c r="C129" s="8"/>
      <c r="D129" s="8"/>
      <c r="E129" s="8">
        <v>1.2</v>
      </c>
      <c r="F129" s="8">
        <v>1.2</v>
      </c>
      <c r="G129" s="8">
        <v>1.2</v>
      </c>
    </row>
    <row r="130" spans="1:7">
      <c r="A130" s="4" t="s">
        <v>84</v>
      </c>
      <c r="C130" s="8">
        <v>1.8</v>
      </c>
      <c r="D130" s="8">
        <v>1.7</v>
      </c>
      <c r="E130" s="8">
        <v>1.8</v>
      </c>
      <c r="F130" s="8">
        <v>1.3</v>
      </c>
      <c r="G130" s="8">
        <v>2.5</v>
      </c>
    </row>
    <row r="131" spans="1:7">
      <c r="A131" s="4" t="s">
        <v>78</v>
      </c>
      <c r="C131" s="8" t="s">
        <v>76</v>
      </c>
      <c r="D131" s="8">
        <v>0.2</v>
      </c>
      <c r="E131" s="8" t="s">
        <v>76</v>
      </c>
      <c r="F131" s="8">
        <v>1.5</v>
      </c>
      <c r="G131" s="8">
        <v>-0.6</v>
      </c>
    </row>
    <row r="132" spans="1:7">
      <c r="A132" s="4" t="s">
        <v>85</v>
      </c>
      <c r="C132" s="8"/>
      <c r="D132" s="8"/>
      <c r="E132" s="8" t="s">
        <v>76</v>
      </c>
      <c r="F132" s="8">
        <v>-1.2</v>
      </c>
      <c r="G132" s="8">
        <v>-7.3</v>
      </c>
    </row>
    <row r="133" spans="1:7">
      <c r="A133" s="4" t="s">
        <v>80</v>
      </c>
      <c r="C133" s="8">
        <v>3.5</v>
      </c>
      <c r="D133" s="8">
        <v>3.6</v>
      </c>
      <c r="E133" s="8">
        <v>0</v>
      </c>
      <c r="F133" s="8">
        <v>7.6</v>
      </c>
      <c r="G133" s="8">
        <v>0</v>
      </c>
    </row>
    <row r="134" spans="1:7">
      <c r="A134" s="4" t="s">
        <v>86</v>
      </c>
      <c r="C134" s="8" t="s">
        <v>76</v>
      </c>
      <c r="D134" s="8">
        <v>-0.1</v>
      </c>
      <c r="E134" s="8">
        <v>-0.1</v>
      </c>
      <c r="F134" s="8">
        <v>-0.2</v>
      </c>
      <c r="G134" s="8">
        <v>0</v>
      </c>
    </row>
    <row r="135" spans="1:7">
      <c r="A135" s="4" t="s">
        <v>88</v>
      </c>
      <c r="C135" s="8"/>
      <c r="D135" s="8"/>
      <c r="E135" s="8">
        <v>0</v>
      </c>
      <c r="F135" s="8">
        <v>-0.5</v>
      </c>
      <c r="G135" s="8">
        <v>0</v>
      </c>
    </row>
    <row r="136" spans="1:7">
      <c r="A136" s="4" t="s">
        <v>83</v>
      </c>
      <c r="C136" s="8">
        <v>6.4</v>
      </c>
      <c r="D136" s="8"/>
      <c r="E136" s="8"/>
      <c r="F136" s="8"/>
      <c r="G136" s="8"/>
    </row>
    <row r="137" spans="1:7">
      <c r="A137" s="4" t="s">
        <v>89</v>
      </c>
      <c r="C137" s="8"/>
      <c r="D137" s="8">
        <v>0.2</v>
      </c>
      <c r="E137" s="8">
        <v>0</v>
      </c>
      <c r="F137" s="8">
        <v>0.2</v>
      </c>
      <c r="G137" s="8">
        <v>0</v>
      </c>
    </row>
    <row r="138" spans="1:7">
      <c r="A138" s="4" t="s">
        <v>90</v>
      </c>
      <c r="C138" s="8" t="s">
        <v>76</v>
      </c>
      <c r="D138" s="8">
        <v>-0.3</v>
      </c>
      <c r="E138" s="8">
        <v>-0.6</v>
      </c>
      <c r="F138" s="8">
        <v>-0.6</v>
      </c>
      <c r="G138" s="8">
        <v>-1</v>
      </c>
    </row>
    <row r="139" spans="1:7">
      <c r="A139" s="4" t="s">
        <v>91</v>
      </c>
      <c r="C139" s="8" t="s">
        <v>76</v>
      </c>
      <c r="D139" s="8"/>
      <c r="E139" s="8">
        <v>0.5</v>
      </c>
      <c r="F139" s="8">
        <v>1.9</v>
      </c>
      <c r="G139" s="8">
        <v>-1.1000000000000001</v>
      </c>
    </row>
    <row r="140" spans="1:7">
      <c r="A140" s="4" t="s">
        <v>93</v>
      </c>
      <c r="C140" s="8">
        <v>-0.6</v>
      </c>
      <c r="D140" s="8">
        <v>4.3</v>
      </c>
      <c r="E140" s="8">
        <v>2.7</v>
      </c>
      <c r="F140" s="8">
        <v>2.9</v>
      </c>
      <c r="G140" s="8">
        <v>9.1</v>
      </c>
    </row>
    <row r="141" spans="1:7">
      <c r="A141" s="4" t="s">
        <v>94</v>
      </c>
      <c r="C141" s="8" t="s">
        <v>76</v>
      </c>
      <c r="D141" s="8">
        <v>-2.5</v>
      </c>
      <c r="E141" s="8">
        <v>0.8</v>
      </c>
      <c r="F141" s="8">
        <v>0.7</v>
      </c>
      <c r="G141" s="8">
        <v>0.5</v>
      </c>
    </row>
    <row r="142" spans="1:7">
      <c r="A142" s="5" t="s">
        <v>87</v>
      </c>
      <c r="B142" s="5"/>
      <c r="C142" s="6">
        <f>SUM(C120:C141)</f>
        <v>39.799999999999997</v>
      </c>
      <c r="D142" s="6">
        <f>SUM(D120:D141)</f>
        <v>41.300000000000011</v>
      </c>
      <c r="E142" s="6">
        <f>SUM(E120:E141)</f>
        <v>38.799999999999997</v>
      </c>
      <c r="F142" s="6">
        <f>SUM(F120:F141)</f>
        <v>47.3</v>
      </c>
      <c r="G142" s="6">
        <f>SUM(G120:G141)</f>
        <v>49.3</v>
      </c>
    </row>
    <row r="143" spans="1:7">
      <c r="A143" s="4" t="s">
        <v>96</v>
      </c>
      <c r="C143" s="8">
        <v>-4.8</v>
      </c>
      <c r="D143" s="8">
        <v>6</v>
      </c>
      <c r="E143" s="8">
        <v>-11</v>
      </c>
      <c r="F143" s="8">
        <v>4.7</v>
      </c>
      <c r="G143" s="8">
        <v>-1.8</v>
      </c>
    </row>
    <row r="144" spans="1:7">
      <c r="A144" s="4" t="s">
        <v>98</v>
      </c>
      <c r="C144" s="8" t="s">
        <v>76</v>
      </c>
      <c r="D144" s="8">
        <v>0.1</v>
      </c>
      <c r="E144" s="8">
        <v>-0.2</v>
      </c>
      <c r="F144" s="8">
        <v>-0.2</v>
      </c>
      <c r="G144" s="8">
        <v>0.2</v>
      </c>
    </row>
    <row r="145" spans="1:7">
      <c r="A145" s="4" t="s">
        <v>100</v>
      </c>
      <c r="C145" s="8">
        <v>4.5</v>
      </c>
      <c r="D145" s="8">
        <v>0.5</v>
      </c>
      <c r="E145" s="8">
        <v>19.2</v>
      </c>
      <c r="F145" s="8">
        <v>-5.5</v>
      </c>
      <c r="G145" s="8">
        <v>12.6</v>
      </c>
    </row>
    <row r="146" spans="1:7">
      <c r="A146" s="4" t="s">
        <v>92</v>
      </c>
      <c r="C146" s="8">
        <f>SUM(C142:C145)</f>
        <v>39.5</v>
      </c>
      <c r="D146" s="8">
        <f>SUM(D142:D145)</f>
        <v>47.900000000000013</v>
      </c>
      <c r="E146" s="8">
        <f>SUM(E142:E145)</f>
        <v>46.8</v>
      </c>
      <c r="F146" s="8">
        <f>SUM(F142:F145)</f>
        <v>46.3</v>
      </c>
      <c r="G146" s="8">
        <f>SUM(G142:G145)</f>
        <v>60.300000000000004</v>
      </c>
    </row>
    <row r="147" spans="1:7">
      <c r="A147" s="4" t="s">
        <v>103</v>
      </c>
      <c r="C147" s="8">
        <v>-1.8</v>
      </c>
      <c r="D147" s="8">
        <v>-1.7</v>
      </c>
      <c r="E147" s="8">
        <v>-1.2</v>
      </c>
      <c r="F147" s="8">
        <v>-1.2</v>
      </c>
      <c r="G147" s="8">
        <v>-1.2</v>
      </c>
    </row>
    <row r="148" spans="1:7">
      <c r="A148" s="4" t="s">
        <v>104</v>
      </c>
      <c r="C148" s="8"/>
      <c r="D148" s="8"/>
      <c r="E148" s="8">
        <v>-1.6</v>
      </c>
      <c r="F148" s="8">
        <v>-1.1000000000000001</v>
      </c>
      <c r="G148" s="8">
        <v>-2.1</v>
      </c>
    </row>
    <row r="149" spans="1:7">
      <c r="A149" s="4" t="s">
        <v>95</v>
      </c>
      <c r="C149" s="8">
        <v>-4.7</v>
      </c>
      <c r="D149" s="8">
        <v>-6.4</v>
      </c>
      <c r="E149" s="8">
        <v>-4.8</v>
      </c>
      <c r="F149" s="8">
        <v>-5.0999999999999996</v>
      </c>
      <c r="G149" s="8">
        <v>-2.2000000000000002</v>
      </c>
    </row>
    <row r="150" spans="1:7">
      <c r="A150" s="19" t="s">
        <v>105</v>
      </c>
      <c r="B150" s="19"/>
      <c r="C150" s="20">
        <f>SUM(C146:C149)</f>
        <v>33</v>
      </c>
      <c r="D150" s="20">
        <f>SUM(D146:D149)</f>
        <v>39.800000000000011</v>
      </c>
      <c r="E150" s="20">
        <f>SUM(E146:E149)</f>
        <v>39.199999999999996</v>
      </c>
      <c r="F150" s="20">
        <f>SUM(F146:F149)</f>
        <v>38.899999999999991</v>
      </c>
      <c r="G150" s="20">
        <f>SUM(G146:G149)</f>
        <v>54.8</v>
      </c>
    </row>
    <row r="151" spans="1:7">
      <c r="A151" s="5"/>
      <c r="B151" s="5"/>
      <c r="C151" s="6"/>
      <c r="D151" s="6"/>
      <c r="E151" s="6"/>
      <c r="F151" s="6"/>
      <c r="G151" s="6"/>
    </row>
    <row r="152" spans="1:7">
      <c r="A152" s="5" t="s">
        <v>107</v>
      </c>
      <c r="C152" s="8"/>
      <c r="D152" s="8"/>
      <c r="E152" s="8"/>
      <c r="F152" s="8"/>
      <c r="G152" s="8"/>
    </row>
    <row r="153" spans="1:7">
      <c r="A153" s="4" t="s">
        <v>108</v>
      </c>
      <c r="C153" s="8"/>
      <c r="D153" s="8"/>
      <c r="E153" s="8"/>
      <c r="F153" s="8" t="s">
        <v>76</v>
      </c>
      <c r="G153" s="8">
        <v>-153</v>
      </c>
    </row>
    <row r="154" spans="1:7">
      <c r="A154" s="4" t="s">
        <v>97</v>
      </c>
      <c r="C154" s="8">
        <v>-7.7</v>
      </c>
      <c r="D154" s="8">
        <v>-3</v>
      </c>
      <c r="E154" s="8">
        <v>-2.8</v>
      </c>
      <c r="F154" s="8">
        <v>-2.7</v>
      </c>
      <c r="G154" s="8">
        <v>-5.2</v>
      </c>
    </row>
    <row r="155" spans="1:7">
      <c r="A155" s="4" t="s">
        <v>99</v>
      </c>
      <c r="C155" s="8">
        <v>-5</v>
      </c>
      <c r="D155" s="8">
        <v>-6.1</v>
      </c>
      <c r="E155" s="8">
        <v>-2.5</v>
      </c>
      <c r="F155" s="8">
        <v>-2.1</v>
      </c>
      <c r="G155" s="8">
        <v>-3</v>
      </c>
    </row>
    <row r="156" spans="1:7">
      <c r="A156" s="4" t="s">
        <v>101</v>
      </c>
      <c r="C156" s="8">
        <v>-3.1</v>
      </c>
      <c r="D156" s="8">
        <v>-10.9</v>
      </c>
      <c r="E156" s="8"/>
      <c r="F156" s="8"/>
      <c r="G156" s="8"/>
    </row>
    <row r="157" spans="1:7">
      <c r="A157" s="4" t="s">
        <v>102</v>
      </c>
      <c r="C157" s="8">
        <v>9.9</v>
      </c>
      <c r="D157" s="8">
        <v>1.8</v>
      </c>
      <c r="E157" s="8"/>
      <c r="F157" s="8"/>
      <c r="G157" s="8"/>
    </row>
    <row r="158" spans="1:7">
      <c r="A158" s="4" t="s">
        <v>111</v>
      </c>
      <c r="C158" s="8">
        <v>-0.7</v>
      </c>
      <c r="D158" s="8" t="s">
        <v>76</v>
      </c>
      <c r="E158" s="8" t="s">
        <v>76</v>
      </c>
      <c r="F158" s="8">
        <v>0.5</v>
      </c>
      <c r="G158" s="8">
        <v>0</v>
      </c>
    </row>
    <row r="159" spans="1:7">
      <c r="A159" s="19" t="s">
        <v>113</v>
      </c>
      <c r="B159" s="19"/>
      <c r="C159" s="20">
        <f>SUM(C154:C158)</f>
        <v>-6.5999999999999988</v>
      </c>
      <c r="D159" s="20">
        <f>SUM(D154:D158)</f>
        <v>-18.2</v>
      </c>
      <c r="E159" s="20">
        <f>SUM(E154:E158)</f>
        <v>-5.3</v>
      </c>
      <c r="F159" s="20">
        <f>SUM(F154:F158)</f>
        <v>-4.3000000000000007</v>
      </c>
      <c r="G159" s="20">
        <f>SUM(G153:G158)</f>
        <v>-161.19999999999999</v>
      </c>
    </row>
    <row r="160" spans="1:7">
      <c r="A160" s="5"/>
      <c r="B160" s="5"/>
      <c r="C160" s="6"/>
      <c r="D160" s="6"/>
      <c r="E160" s="6"/>
      <c r="F160" s="6"/>
      <c r="G160" s="6"/>
    </row>
    <row r="161" spans="1:7">
      <c r="A161" s="5" t="s">
        <v>115</v>
      </c>
      <c r="C161" s="8"/>
      <c r="D161" s="8"/>
      <c r="E161" s="8"/>
      <c r="F161" s="8"/>
      <c r="G161" s="8"/>
    </row>
    <row r="162" spans="1:7">
      <c r="A162" s="4" t="s">
        <v>106</v>
      </c>
      <c r="C162" s="8">
        <v>1.5</v>
      </c>
      <c r="D162" s="8">
        <v>0.3</v>
      </c>
      <c r="E162" s="8">
        <v>1.1000000000000001</v>
      </c>
      <c r="F162" s="8">
        <v>72.599999999999994</v>
      </c>
      <c r="G162" s="8">
        <v>0.8</v>
      </c>
    </row>
    <row r="163" spans="1:7">
      <c r="A163" s="4" t="s">
        <v>118</v>
      </c>
      <c r="C163" s="8"/>
      <c r="D163" s="8"/>
      <c r="E163" s="8">
        <v>-5.3</v>
      </c>
      <c r="F163" s="8">
        <v>-6</v>
      </c>
      <c r="G163" s="8">
        <v>-5.3</v>
      </c>
    </row>
    <row r="164" spans="1:7">
      <c r="A164" s="4" t="s">
        <v>119</v>
      </c>
      <c r="C164" s="8">
        <v>7.5</v>
      </c>
      <c r="D164" s="8">
        <v>13</v>
      </c>
      <c r="E164" s="8">
        <v>44.3</v>
      </c>
      <c r="F164" s="8">
        <v>0</v>
      </c>
      <c r="G164" s="8">
        <v>120.7</v>
      </c>
    </row>
    <row r="165" spans="1:7">
      <c r="A165" s="4" t="s">
        <v>120</v>
      </c>
      <c r="C165" s="8"/>
      <c r="D165" s="8"/>
      <c r="E165" s="8">
        <v>-1</v>
      </c>
      <c r="F165" s="8" t="s">
        <v>76</v>
      </c>
      <c r="G165" s="8">
        <v>-0.6</v>
      </c>
    </row>
    <row r="166" spans="1:7">
      <c r="A166" s="4" t="s">
        <v>109</v>
      </c>
      <c r="C166" s="8">
        <v>-12.9</v>
      </c>
      <c r="D166" s="8">
        <v>-8.6</v>
      </c>
      <c r="E166" s="8">
        <v>0</v>
      </c>
      <c r="F166" s="8">
        <v>-60.4</v>
      </c>
      <c r="G166" s="8">
        <v>-39.4</v>
      </c>
    </row>
    <row r="167" spans="1:7">
      <c r="A167" s="4" t="s">
        <v>110</v>
      </c>
      <c r="C167" s="8">
        <v>-12.8</v>
      </c>
      <c r="D167" s="8">
        <v>-12.9</v>
      </c>
      <c r="E167" s="8">
        <v>-12.9</v>
      </c>
      <c r="F167" s="8">
        <v>-13</v>
      </c>
      <c r="G167" s="8">
        <v>-14.4</v>
      </c>
    </row>
    <row r="168" spans="1:7">
      <c r="A168" s="19" t="s">
        <v>122</v>
      </c>
      <c r="B168" s="19"/>
      <c r="C168" s="20">
        <f>SUM(C162:C167)</f>
        <v>-16.700000000000003</v>
      </c>
      <c r="D168" s="20">
        <f>SUM(D162:D167)</f>
        <v>-8.1999999999999993</v>
      </c>
      <c r="E168" s="20">
        <f>SUM(E162:E167)</f>
        <v>26.199999999999996</v>
      </c>
      <c r="F168" s="20">
        <f>SUM(F162:F167)</f>
        <v>-6.8000000000000043</v>
      </c>
      <c r="G168" s="20">
        <f>SUM(G162:G167)</f>
        <v>61.800000000000018</v>
      </c>
    </row>
    <row r="169" spans="1:7">
      <c r="A169" s="5"/>
      <c r="B169" s="5"/>
      <c r="C169" s="6"/>
      <c r="D169" s="6"/>
      <c r="E169" s="6"/>
      <c r="F169" s="6"/>
      <c r="G169" s="6"/>
    </row>
    <row r="170" spans="1:7">
      <c r="A170" s="5"/>
      <c r="B170" s="5"/>
      <c r="C170" s="6"/>
      <c r="D170" s="6"/>
      <c r="E170" s="6"/>
      <c r="F170" s="6"/>
      <c r="G170" s="6"/>
    </row>
    <row r="171" spans="1:7">
      <c r="A171" s="4" t="s">
        <v>124</v>
      </c>
      <c r="C171" s="8">
        <f>C168+C159+C150</f>
        <v>9.6999999999999993</v>
      </c>
      <c r="D171" s="8">
        <f>D168+D159+D150</f>
        <v>13.400000000000013</v>
      </c>
      <c r="E171" s="8">
        <f>E168+E159+E150</f>
        <v>60.099999999999994</v>
      </c>
      <c r="F171" s="8">
        <f>F168+F159+F150</f>
        <v>27.799999999999986</v>
      </c>
      <c r="G171" s="8">
        <f>G168+G159+G150</f>
        <v>-44.59999999999998</v>
      </c>
    </row>
    <row r="172" spans="1:7">
      <c r="A172" s="5" t="s">
        <v>114</v>
      </c>
      <c r="B172" s="5"/>
      <c r="C172" s="6">
        <v>12.3</v>
      </c>
      <c r="D172" s="6">
        <v>21.2</v>
      </c>
      <c r="E172" s="6">
        <v>34.9</v>
      </c>
      <c r="F172" s="6">
        <v>95</v>
      </c>
      <c r="G172" s="6">
        <v>116.5</v>
      </c>
    </row>
    <row r="173" spans="1:7">
      <c r="A173" s="4" t="s">
        <v>116</v>
      </c>
      <c r="C173" s="8">
        <v>-0.8</v>
      </c>
      <c r="D173" s="8">
        <v>0.3</v>
      </c>
      <c r="E173" s="8" t="s">
        <v>76</v>
      </c>
      <c r="F173" s="8">
        <v>-6.3</v>
      </c>
      <c r="G173" s="8">
        <v>1.3</v>
      </c>
    </row>
    <row r="174" spans="1:7" ht="15" thickBot="1">
      <c r="A174" s="13" t="s">
        <v>117</v>
      </c>
      <c r="B174" s="13"/>
      <c r="C174" s="14">
        <v>21.2</v>
      </c>
      <c r="D174" s="14">
        <v>34.9</v>
      </c>
      <c r="E174" s="14">
        <v>95</v>
      </c>
      <c r="F174" s="14">
        <v>116.5</v>
      </c>
      <c r="G174" s="14">
        <v>73.2</v>
      </c>
    </row>
    <row r="175" spans="1:7" ht="15" thickTop="1">
      <c r="C175" s="8"/>
      <c r="D175" s="8"/>
      <c r="E175" s="8"/>
      <c r="F175" s="8"/>
      <c r="G175" s="8"/>
    </row>
    <row r="176" spans="1:7">
      <c r="C176" s="8"/>
      <c r="D176" s="8"/>
      <c r="E176" s="8"/>
      <c r="F176" s="8"/>
      <c r="G176" s="8"/>
    </row>
    <row r="177" spans="1:7">
      <c r="C177" s="8"/>
      <c r="D177" s="8"/>
      <c r="E177" s="8"/>
      <c r="F177" s="8"/>
      <c r="G177" s="8"/>
    </row>
    <row r="178" spans="1:7">
      <c r="A178" s="2" t="s">
        <v>125</v>
      </c>
      <c r="B178" s="27"/>
      <c r="C178" s="28"/>
      <c r="D178" s="28"/>
      <c r="E178" s="28"/>
      <c r="F178" s="28"/>
      <c r="G178" s="8"/>
    </row>
    <row r="179" spans="1:7">
      <c r="A179" s="27"/>
      <c r="B179" s="27"/>
      <c r="C179" s="28">
        <f>C37</f>
        <v>2018</v>
      </c>
      <c r="D179" s="28">
        <f t="shared" ref="D179:F179" si="8">D37</f>
        <v>2019</v>
      </c>
      <c r="E179" s="28">
        <f t="shared" si="8"/>
        <v>2020</v>
      </c>
      <c r="F179" s="28">
        <f t="shared" si="8"/>
        <v>2021</v>
      </c>
      <c r="G179" s="8"/>
    </row>
    <row r="180" spans="1:7">
      <c r="A180" s="27"/>
      <c r="B180" s="27"/>
      <c r="C180" s="28" t="str">
        <f>C38</f>
        <v>£'M</v>
      </c>
      <c r="D180" s="28" t="str">
        <f t="shared" ref="D180:F180" si="9">D38</f>
        <v>£'M</v>
      </c>
      <c r="E180" s="28" t="str">
        <f t="shared" si="9"/>
        <v>£'M</v>
      </c>
      <c r="F180" s="28" t="str">
        <f t="shared" si="9"/>
        <v>£'M</v>
      </c>
      <c r="G180" s="8"/>
    </row>
    <row r="181" spans="1:7">
      <c r="A181" s="4" t="s">
        <v>112</v>
      </c>
      <c r="C181" s="8">
        <v>9.6999999999999993</v>
      </c>
      <c r="D181" s="8">
        <v>13.4</v>
      </c>
      <c r="E181" s="8">
        <v>60.1</v>
      </c>
      <c r="F181" s="8">
        <v>27.8</v>
      </c>
      <c r="G181" s="8"/>
    </row>
    <row r="182" spans="1:7">
      <c r="A182" s="4" t="s">
        <v>126</v>
      </c>
      <c r="C182" s="8">
        <v>5.4</v>
      </c>
      <c r="D182" s="8">
        <v>-4.4000000000000004</v>
      </c>
      <c r="E182" s="8">
        <v>-43.3</v>
      </c>
      <c r="F182" s="8">
        <v>60.4</v>
      </c>
      <c r="G182" s="8"/>
    </row>
    <row r="183" spans="1:7">
      <c r="A183" s="4" t="s">
        <v>127</v>
      </c>
      <c r="C183" s="8"/>
      <c r="D183" s="8"/>
      <c r="E183" s="8">
        <v>-1.6</v>
      </c>
      <c r="F183" s="8">
        <v>-1.1000000000000001</v>
      </c>
      <c r="G183" s="8"/>
    </row>
    <row r="184" spans="1:7">
      <c r="A184" s="4" t="s">
        <v>128</v>
      </c>
      <c r="C184" s="8"/>
      <c r="D184" s="8"/>
      <c r="E184" s="8">
        <v>1.6</v>
      </c>
      <c r="F184" s="8">
        <v>1.1000000000000001</v>
      </c>
      <c r="G184" s="8"/>
    </row>
    <row r="185" spans="1:7">
      <c r="A185" s="4" t="s">
        <v>129</v>
      </c>
      <c r="C185" s="8"/>
      <c r="D185" s="8"/>
      <c r="E185" s="8">
        <v>-0.2</v>
      </c>
      <c r="F185" s="8">
        <v>-0.2</v>
      </c>
      <c r="G185" s="8"/>
    </row>
    <row r="186" spans="1:7">
      <c r="A186" s="4" t="s">
        <v>121</v>
      </c>
      <c r="C186" s="8">
        <v>-0.8</v>
      </c>
      <c r="D186" s="8">
        <v>0.3</v>
      </c>
      <c r="E186" s="8" t="s">
        <v>76</v>
      </c>
      <c r="F186" s="8">
        <v>-6.3</v>
      </c>
      <c r="G186" s="8"/>
    </row>
    <row r="187" spans="1:7">
      <c r="A187" s="4" t="s">
        <v>123</v>
      </c>
      <c r="C187" s="8">
        <v>1.6</v>
      </c>
      <c r="D187" s="8">
        <v>-1.7</v>
      </c>
      <c r="E187" s="8">
        <v>-0.6</v>
      </c>
      <c r="F187" s="8">
        <v>5.8</v>
      </c>
      <c r="G187" s="8"/>
    </row>
    <row r="188" spans="1:7">
      <c r="C188" s="8"/>
      <c r="D188" s="8"/>
      <c r="E188" s="8"/>
      <c r="F188" s="8"/>
      <c r="G188" s="8"/>
    </row>
    <row r="189" spans="1:7">
      <c r="A189" s="4" t="s">
        <v>130</v>
      </c>
      <c r="C189" s="8">
        <v>15.9</v>
      </c>
      <c r="D189" s="8">
        <v>7.6</v>
      </c>
      <c r="E189" s="8">
        <v>16</v>
      </c>
      <c r="F189" s="8">
        <v>87.5</v>
      </c>
      <c r="G189" s="8"/>
    </row>
    <row r="190" spans="1:7">
      <c r="A190" s="4" t="s">
        <v>131</v>
      </c>
      <c r="C190" s="8">
        <v>-43.7</v>
      </c>
      <c r="D190" s="8">
        <v>-27.8</v>
      </c>
      <c r="E190" s="8">
        <v>-20.2</v>
      </c>
      <c r="F190" s="8">
        <v>-4.2</v>
      </c>
      <c r="G190" s="8"/>
    </row>
    <row r="191" spans="1:7">
      <c r="A191" s="4" t="s">
        <v>132</v>
      </c>
      <c r="C191" s="8">
        <v>-27.8</v>
      </c>
      <c r="D191" s="8">
        <v>-20.2</v>
      </c>
      <c r="E191" s="8">
        <v>-4.2</v>
      </c>
      <c r="F191" s="8">
        <v>83.3</v>
      </c>
      <c r="G191" s="8"/>
    </row>
    <row r="192" spans="1:7">
      <c r="A192" s="4" t="s">
        <v>49</v>
      </c>
      <c r="C192" s="8"/>
      <c r="D192" s="8"/>
      <c r="E192" s="8">
        <v>-38.200000000000003</v>
      </c>
      <c r="F192" s="8">
        <v>-34.4</v>
      </c>
      <c r="G192" s="8"/>
    </row>
    <row r="193" spans="1:7">
      <c r="A193" s="4" t="s">
        <v>132</v>
      </c>
      <c r="C193" s="8"/>
      <c r="D193" s="8"/>
      <c r="E193" s="8">
        <v>-42.4</v>
      </c>
      <c r="F193" s="8">
        <v>48.9</v>
      </c>
      <c r="G193" s="8"/>
    </row>
    <row r="194" spans="1:7">
      <c r="C194" s="8"/>
      <c r="D194" s="8"/>
      <c r="E194" s="8"/>
      <c r="F194" s="8"/>
      <c r="G194" s="8"/>
    </row>
    <row r="195" spans="1:7">
      <c r="C195" s="8"/>
      <c r="D195" s="8"/>
      <c r="E195" s="8"/>
      <c r="F195" s="8"/>
      <c r="G195" s="8"/>
    </row>
    <row r="196" spans="1:7">
      <c r="C196" s="8"/>
      <c r="D196" s="8"/>
      <c r="E196" s="8"/>
      <c r="F196" s="8"/>
      <c r="G196" s="8"/>
    </row>
  </sheetData>
  <phoneticPr fontId="4" type="noConversion"/>
  <pageMargins left="0.7" right="0.7" top="0.75" bottom="0.75" header="0.3" footer="0.3"/>
  <pageSetup paperSize="9" orientation="portrait" r:id="rId1"/>
  <ignoredErrors>
    <ignoredError sqref="E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1483-4136-D449-A678-E3FE9FFF0C2F}">
  <sheetPr codeName="Sheet2"/>
  <dimension ref="A1:AF151"/>
  <sheetViews>
    <sheetView showGridLines="0" tabSelected="1" topLeftCell="C57" zoomScale="85" zoomScaleNormal="85" workbookViewId="0">
      <selection activeCell="S72" sqref="S72"/>
    </sheetView>
  </sheetViews>
  <sheetFormatPr baseColWidth="10" defaultColWidth="11.5" defaultRowHeight="14"/>
  <cols>
    <col min="1" max="1" width="64.6640625" style="4" customWidth="1"/>
    <col min="2" max="2" width="1.5" style="4" customWidth="1"/>
    <col min="3" max="17" width="15.6640625" style="4" customWidth="1"/>
    <col min="18" max="16384" width="11.5" style="4"/>
  </cols>
  <sheetData>
    <row r="1" spans="1:17" ht="18">
      <c r="A1" s="32" t="str">
        <f>'Raw Data'!A1</f>
        <v>Statement of profit/ (loss) for the year ended</v>
      </c>
      <c r="B1" s="2"/>
      <c r="C1" s="2"/>
      <c r="D1" s="2"/>
      <c r="E1" s="2"/>
      <c r="F1" s="2"/>
      <c r="G1" s="2"/>
      <c r="H1" s="166"/>
      <c r="I1" s="166"/>
      <c r="J1" s="166"/>
      <c r="K1" s="166"/>
      <c r="L1" s="166"/>
      <c r="M1" s="166"/>
      <c r="N1" s="166"/>
      <c r="O1" s="166"/>
      <c r="P1" s="166"/>
      <c r="Q1" s="166"/>
    </row>
    <row r="2" spans="1:17">
      <c r="A2" s="28"/>
      <c r="B2" s="28"/>
      <c r="C2" s="73">
        <f>C50</f>
        <v>2018</v>
      </c>
      <c r="D2" s="73">
        <f t="shared" ref="D2:G2" si="0">D50</f>
        <v>2019</v>
      </c>
      <c r="E2" s="73">
        <f t="shared" si="0"/>
        <v>2020</v>
      </c>
      <c r="F2" s="73">
        <f t="shared" si="0"/>
        <v>2021</v>
      </c>
      <c r="G2" s="73">
        <f t="shared" si="0"/>
        <v>2022</v>
      </c>
      <c r="H2" s="167">
        <f>H50</f>
        <v>2023</v>
      </c>
      <c r="I2" s="167">
        <f t="shared" ref="I2:Q2" si="1">I50</f>
        <v>2024</v>
      </c>
      <c r="J2" s="167">
        <f t="shared" si="1"/>
        <v>2025</v>
      </c>
      <c r="K2" s="167">
        <f t="shared" si="1"/>
        <v>2026</v>
      </c>
      <c r="L2" s="167">
        <f t="shared" si="1"/>
        <v>2027</v>
      </c>
      <c r="M2" s="167">
        <f t="shared" si="1"/>
        <v>2028</v>
      </c>
      <c r="N2" s="167">
        <f t="shared" si="1"/>
        <v>2029</v>
      </c>
      <c r="O2" s="167">
        <f t="shared" si="1"/>
        <v>2030</v>
      </c>
      <c r="P2" s="167">
        <f t="shared" si="1"/>
        <v>2031</v>
      </c>
      <c r="Q2" s="167">
        <f t="shared" si="1"/>
        <v>2032</v>
      </c>
    </row>
    <row r="3" spans="1:17">
      <c r="A3" s="28"/>
      <c r="B3" s="28"/>
      <c r="C3" s="3" t="str">
        <f>C51</f>
        <v>£'M</v>
      </c>
      <c r="D3" s="3" t="str">
        <f t="shared" ref="D3:Q3" si="2">D51</f>
        <v>£'M</v>
      </c>
      <c r="E3" s="3" t="str">
        <f t="shared" si="2"/>
        <v>£'M</v>
      </c>
      <c r="F3" s="3" t="str">
        <f t="shared" si="2"/>
        <v>£'M</v>
      </c>
      <c r="G3" s="3" t="str">
        <f t="shared" si="2"/>
        <v>£'M</v>
      </c>
      <c r="H3" s="166" t="str">
        <f t="shared" si="2"/>
        <v>£'M</v>
      </c>
      <c r="I3" s="166" t="str">
        <f t="shared" si="2"/>
        <v>£'M</v>
      </c>
      <c r="J3" s="166" t="str">
        <f t="shared" si="2"/>
        <v>£'M</v>
      </c>
      <c r="K3" s="166" t="str">
        <f t="shared" si="2"/>
        <v>£'M</v>
      </c>
      <c r="L3" s="166" t="str">
        <f t="shared" si="2"/>
        <v>£'M</v>
      </c>
      <c r="M3" s="166" t="str">
        <f t="shared" si="2"/>
        <v>£'M</v>
      </c>
      <c r="N3" s="166" t="str">
        <f t="shared" si="2"/>
        <v>£'M</v>
      </c>
      <c r="O3" s="166" t="str">
        <f t="shared" si="2"/>
        <v>£'M</v>
      </c>
      <c r="P3" s="166" t="str">
        <f t="shared" si="2"/>
        <v>£'M</v>
      </c>
      <c r="Q3" s="166" t="str">
        <f t="shared" si="2"/>
        <v>£'M</v>
      </c>
    </row>
    <row r="4" spans="1:17">
      <c r="A4" s="46" t="s">
        <v>0</v>
      </c>
      <c r="B4" s="46"/>
      <c r="C4" s="7">
        <v>233</v>
      </c>
      <c r="D4" s="7">
        <v>250.7</v>
      </c>
      <c r="E4" s="7">
        <v>263.7</v>
      </c>
      <c r="F4" s="7">
        <v>270.5</v>
      </c>
      <c r="G4" s="7">
        <v>314.8</v>
      </c>
      <c r="H4" s="17">
        <f>G4*(1+Assumptions!I4)</f>
        <v>339.98400000000004</v>
      </c>
      <c r="I4" s="17">
        <f>H4*(1+Assumptions!J4)</f>
        <v>367.18272000000007</v>
      </c>
      <c r="J4" s="17">
        <f>I4*(1+Assumptions!K4)</f>
        <v>396.5573376000001</v>
      </c>
      <c r="K4" s="17">
        <f>J4*(1+Assumptions!L4)</f>
        <v>428.28192460800011</v>
      </c>
      <c r="L4" s="17">
        <f>K4*(1+Assumptions!M4)</f>
        <v>462.54447857664013</v>
      </c>
      <c r="M4" s="17">
        <f>L4*(1+Assumptions!N4)</f>
        <v>499.54803686277137</v>
      </c>
      <c r="N4" s="17">
        <f>M4*(1+Assumptions!O4)</f>
        <v>539.51187981179316</v>
      </c>
      <c r="O4" s="17">
        <f>N4*(1+Assumptions!P4)</f>
        <v>582.67283019673664</v>
      </c>
      <c r="P4" s="17">
        <f>O4*(1+Assumptions!Q4)</f>
        <v>629.28665661247567</v>
      </c>
      <c r="Q4" s="17">
        <f>P4*(1+Assumptions!R4)</f>
        <v>679.62958914147373</v>
      </c>
    </row>
    <row r="5" spans="1:17">
      <c r="A5" s="47" t="s">
        <v>1</v>
      </c>
      <c r="B5" s="47"/>
      <c r="C5" s="9">
        <v>-137.1</v>
      </c>
      <c r="D5" s="9">
        <v>-148.9</v>
      </c>
      <c r="E5" s="9">
        <v>-159.30000000000001</v>
      </c>
      <c r="F5" s="9">
        <v>-159.9</v>
      </c>
      <c r="G5" s="9">
        <v>-182.2</v>
      </c>
      <c r="H5" s="9">
        <f>-H4*Assumptions!I6</f>
        <v>-201.02249445795962</v>
      </c>
      <c r="I5" s="9">
        <f>-I4*Assumptions!J6</f>
        <v>-217.10429401459643</v>
      </c>
      <c r="J5" s="9">
        <f>-J4*Assumptions!K6</f>
        <v>-234.47263753576414</v>
      </c>
      <c r="K5" s="9">
        <f>-K4*Assumptions!L6</f>
        <v>-253.23044853862527</v>
      </c>
      <c r="L5" s="9">
        <f>-L4*Assumptions!M6</f>
        <v>-273.48888442171528</v>
      </c>
      <c r="M5" s="9">
        <f>-M4*Assumptions!N6</f>
        <v>-295.36799517545256</v>
      </c>
      <c r="N5" s="9">
        <f>-N4*Assumptions!O6</f>
        <v>-318.99743478948881</v>
      </c>
      <c r="O5" s="9">
        <f>-O4*Assumptions!P6</f>
        <v>-344.51722957264792</v>
      </c>
      <c r="P5" s="9">
        <f>-P4*Assumptions!Q6</f>
        <v>-372.07860793845981</v>
      </c>
      <c r="Q5" s="9">
        <f>-Q4*Assumptions!R6</f>
        <v>-401.84489657353663</v>
      </c>
    </row>
    <row r="6" spans="1:17">
      <c r="A6" s="48" t="s">
        <v>2</v>
      </c>
      <c r="B6" s="48"/>
      <c r="C6" s="12">
        <f>SUM(C4:C5)</f>
        <v>95.9</v>
      </c>
      <c r="D6" s="12">
        <f>SUM(D4:D5)</f>
        <v>101.79999999999998</v>
      </c>
      <c r="E6" s="12">
        <f t="shared" ref="E6" si="3">SUM(E4:E5)</f>
        <v>104.39999999999998</v>
      </c>
      <c r="F6" s="12">
        <f>SUM(F4:F5)</f>
        <v>110.6</v>
      </c>
      <c r="G6" s="12">
        <f>SUM(G4:G5)</f>
        <v>132.60000000000002</v>
      </c>
      <c r="H6" s="12">
        <f t="shared" ref="H6:Q6" si="4">SUM(H4:H5)</f>
        <v>138.96150554204041</v>
      </c>
      <c r="I6" s="12">
        <f t="shared" si="4"/>
        <v>150.07842598540364</v>
      </c>
      <c r="J6" s="12">
        <f t="shared" si="4"/>
        <v>162.08470006423596</v>
      </c>
      <c r="K6" s="12">
        <f t="shared" si="4"/>
        <v>175.05147606937484</v>
      </c>
      <c r="L6" s="12">
        <f t="shared" si="4"/>
        <v>189.05559415492485</v>
      </c>
      <c r="M6" s="12">
        <f t="shared" si="4"/>
        <v>204.18004168731881</v>
      </c>
      <c r="N6" s="12">
        <f t="shared" si="4"/>
        <v>220.51444502230436</v>
      </c>
      <c r="O6" s="12">
        <f t="shared" si="4"/>
        <v>238.15560062408872</v>
      </c>
      <c r="P6" s="12">
        <f t="shared" si="4"/>
        <v>257.20804867401586</v>
      </c>
      <c r="Q6" s="12">
        <f t="shared" si="4"/>
        <v>277.7846925679371</v>
      </c>
    </row>
    <row r="7" spans="1:17">
      <c r="A7" s="47" t="s">
        <v>134</v>
      </c>
      <c r="B7" s="47"/>
      <c r="C7" s="9"/>
      <c r="D7" s="9"/>
      <c r="E7" s="9"/>
      <c r="F7" s="9"/>
      <c r="G7" s="9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>
      <c r="A8" s="47"/>
      <c r="B8" s="47"/>
      <c r="C8" s="9"/>
      <c r="D8" s="9"/>
      <c r="E8" s="9"/>
      <c r="F8" s="9"/>
      <c r="G8" s="9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>
      <c r="A9" s="47" t="s">
        <v>3</v>
      </c>
      <c r="B9" s="47"/>
      <c r="C9" s="9">
        <v>-9.4</v>
      </c>
      <c r="D9" s="9">
        <v>-19</v>
      </c>
      <c r="E9" s="9">
        <v>-23.6</v>
      </c>
      <c r="F9" s="9">
        <v>-19.7</v>
      </c>
      <c r="G9" s="9">
        <v>-19.7</v>
      </c>
      <c r="H9" s="9">
        <f>-H4*Assumptions!I10</f>
        <v>-23.1892405748032</v>
      </c>
      <c r="I9" s="9">
        <f>-I4*Assumptions!J10</f>
        <v>-25.702790400000008</v>
      </c>
      <c r="J9" s="9">
        <f>-J4*Assumptions!K10</f>
        <v>-27.759013632000009</v>
      </c>
      <c r="K9" s="9">
        <f>-K4*Assumptions!L10</f>
        <v>-29.979734722560011</v>
      </c>
      <c r="L9" s="9">
        <f>-L4*Assumptions!M10</f>
        <v>-32.378113500364812</v>
      </c>
      <c r="M9" s="9">
        <f>-M4*Assumptions!N10</f>
        <v>-34.968362580394</v>
      </c>
      <c r="N9" s="9">
        <f>-N4*Assumptions!O10</f>
        <v>-37.765831586825527</v>
      </c>
      <c r="O9" s="9">
        <f>-O4*Assumptions!P10</f>
        <v>-40.78709811377157</v>
      </c>
      <c r="P9" s="9">
        <f>-P4*Assumptions!Q10</f>
        <v>-44.050065962873298</v>
      </c>
      <c r="Q9" s="9">
        <f>-Q4*Assumptions!R10</f>
        <v>-47.574071239903162</v>
      </c>
    </row>
    <row r="10" spans="1:17">
      <c r="A10" s="47" t="s">
        <v>4</v>
      </c>
      <c r="B10" s="47"/>
      <c r="C10" s="9">
        <v>-65.099999999999994</v>
      </c>
      <c r="D10" s="9">
        <v>-63.3</v>
      </c>
      <c r="E10" s="9">
        <v>-60.3</v>
      </c>
      <c r="F10" s="9">
        <v>-60.9</v>
      </c>
      <c r="G10" s="9">
        <v>-77.3</v>
      </c>
      <c r="H10" s="9">
        <f>-(H4*Assumptions!I8)</f>
        <v>-83.72122776249536</v>
      </c>
      <c r="I10" s="9">
        <f>-(I4*Assumptions!J8)</f>
        <v>-90.418925983494987</v>
      </c>
      <c r="J10" s="9">
        <f>-(J4*Assumptions!K8)</f>
        <v>-97.652440062174591</v>
      </c>
      <c r="K10" s="9">
        <f>-(K4*Assumptions!L8)</f>
        <v>-105.46463526714857</v>
      </c>
      <c r="L10" s="9">
        <f>-(L4*Assumptions!M8)</f>
        <v>-113.90180608852046</v>
      </c>
      <c r="M10" s="9">
        <f>-(M4*Assumptions!N8)</f>
        <v>-123.0139505756021</v>
      </c>
      <c r="N10" s="9">
        <f>-(N4*Assumptions!O8)</f>
        <v>-132.85506662165028</v>
      </c>
      <c r="O10" s="9">
        <f>-(O4*Assumptions!P8)</f>
        <v>-143.48347195138231</v>
      </c>
      <c r="P10" s="9">
        <f>-(P4*Assumptions!Q8)</f>
        <v>-154.96214970749293</v>
      </c>
      <c r="Q10" s="9">
        <f>-(Q4*Assumptions!R8)</f>
        <v>-167.35912168409234</v>
      </c>
    </row>
    <row r="11" spans="1:17">
      <c r="A11" s="47" t="s">
        <v>7</v>
      </c>
      <c r="B11" s="47"/>
      <c r="C11" s="9">
        <f t="shared" ref="C11:Q11" si="5">SUM(C9:C10)</f>
        <v>-74.5</v>
      </c>
      <c r="D11" s="9">
        <f t="shared" si="5"/>
        <v>-82.3</v>
      </c>
      <c r="E11" s="9">
        <f t="shared" si="5"/>
        <v>-83.9</v>
      </c>
      <c r="F11" s="9">
        <f t="shared" si="5"/>
        <v>-80.599999999999994</v>
      </c>
      <c r="G11" s="9">
        <f t="shared" si="5"/>
        <v>-97</v>
      </c>
      <c r="H11" s="9">
        <f t="shared" si="5"/>
        <v>-106.91046833729857</v>
      </c>
      <c r="I11" s="9">
        <f t="shared" si="5"/>
        <v>-116.121716383495</v>
      </c>
      <c r="J11" s="9">
        <f t="shared" si="5"/>
        <v>-125.4114536941746</v>
      </c>
      <c r="K11" s="9">
        <f t="shared" si="5"/>
        <v>-135.44436998970858</v>
      </c>
      <c r="L11" s="9">
        <f t="shared" si="5"/>
        <v>-146.27991958888526</v>
      </c>
      <c r="M11" s="9">
        <f t="shared" si="5"/>
        <v>-157.98231315599611</v>
      </c>
      <c r="N11" s="9">
        <f t="shared" si="5"/>
        <v>-170.62089820847581</v>
      </c>
      <c r="O11" s="9">
        <f t="shared" si="5"/>
        <v>-184.27057006515389</v>
      </c>
      <c r="P11" s="9">
        <f t="shared" si="5"/>
        <v>-199.01221567036623</v>
      </c>
      <c r="Q11" s="9">
        <f t="shared" si="5"/>
        <v>-214.93319292399551</v>
      </c>
    </row>
    <row r="12" spans="1:17">
      <c r="A12" s="48" t="s">
        <v>8</v>
      </c>
      <c r="B12" s="48"/>
      <c r="C12" s="12">
        <f>C6+C11</f>
        <v>21.400000000000006</v>
      </c>
      <c r="D12" s="12">
        <f>D6+D11</f>
        <v>19.499999999999986</v>
      </c>
      <c r="E12" s="12">
        <f>E6+E11</f>
        <v>20.499999999999972</v>
      </c>
      <c r="F12" s="12">
        <f>F6+F11</f>
        <v>30</v>
      </c>
      <c r="G12" s="12">
        <f>G6+G11</f>
        <v>35.600000000000023</v>
      </c>
      <c r="H12" s="12">
        <f t="shared" ref="H12:Q12" si="6">H6+H11</f>
        <v>32.051037204741846</v>
      </c>
      <c r="I12" s="12">
        <f t="shared" si="6"/>
        <v>33.956709601908642</v>
      </c>
      <c r="J12" s="12">
        <f t="shared" si="6"/>
        <v>36.673246370061364</v>
      </c>
      <c r="K12" s="12">
        <f t="shared" si="6"/>
        <v>39.607106079666266</v>
      </c>
      <c r="L12" s="12">
        <f t="shared" si="6"/>
        <v>42.775674566039584</v>
      </c>
      <c r="M12" s="12">
        <f t="shared" si="6"/>
        <v>46.197728531322696</v>
      </c>
      <c r="N12" s="12">
        <f t="shared" si="6"/>
        <v>49.89354681382855</v>
      </c>
      <c r="O12" s="12">
        <f t="shared" si="6"/>
        <v>53.88503055893483</v>
      </c>
      <c r="P12" s="12">
        <f t="shared" si="6"/>
        <v>58.195833003649625</v>
      </c>
      <c r="Q12" s="12">
        <f t="shared" si="6"/>
        <v>62.851499643941594</v>
      </c>
    </row>
    <row r="13" spans="1:17">
      <c r="A13" s="46"/>
      <c r="B13" s="4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>
      <c r="A14" s="47" t="s">
        <v>9</v>
      </c>
      <c r="B14" s="47"/>
      <c r="C14" s="9">
        <v>-1.8</v>
      </c>
      <c r="D14" s="9">
        <v>-1.7</v>
      </c>
      <c r="E14" s="9">
        <v>-3</v>
      </c>
      <c r="F14" s="9">
        <v>-2.5</v>
      </c>
      <c r="G14" s="9">
        <v>-3.7</v>
      </c>
      <c r="H14" s="9">
        <f>-Assumptions!I19</f>
        <v>-3.6749859999999996</v>
      </c>
      <c r="I14" s="9">
        <f>-Assumptions!J19</f>
        <v>-3.7484857200000001</v>
      </c>
      <c r="J14" s="9">
        <f>-Assumptions!K19</f>
        <v>-3.8234554344</v>
      </c>
      <c r="K14" s="9">
        <f>-Assumptions!L19</f>
        <v>-3.8999245430879999</v>
      </c>
      <c r="L14" s="9">
        <f>-Assumptions!M19</f>
        <v>-4.3238293847280005</v>
      </c>
      <c r="M14" s="9">
        <f>-Assumptions!N19</f>
        <v>-4.4103059724225604</v>
      </c>
      <c r="N14" s="9">
        <f>-Assumptions!O19</f>
        <v>-5.3982145102452135</v>
      </c>
      <c r="O14" s="9">
        <f>-Assumptions!P19</f>
        <v>-5.5061788004501171</v>
      </c>
      <c r="P14" s="9">
        <f>-Assumptions!Q19</f>
        <v>-5.61630237645912</v>
      </c>
      <c r="Q14" s="9">
        <f>-Assumptions!R19</f>
        <v>-5.7286284239883027</v>
      </c>
    </row>
    <row r="15" spans="1:17">
      <c r="A15" s="48" t="s">
        <v>10</v>
      </c>
      <c r="B15" s="48"/>
      <c r="C15" s="12">
        <f t="shared" ref="C15:Q15" si="7">C12+C14</f>
        <v>19.600000000000005</v>
      </c>
      <c r="D15" s="12">
        <f t="shared" si="7"/>
        <v>17.799999999999986</v>
      </c>
      <c r="E15" s="12">
        <f t="shared" si="7"/>
        <v>17.499999999999972</v>
      </c>
      <c r="F15" s="12">
        <f t="shared" si="7"/>
        <v>27.5</v>
      </c>
      <c r="G15" s="12">
        <f t="shared" si="7"/>
        <v>31.900000000000023</v>
      </c>
      <c r="H15" s="12">
        <f t="shared" si="7"/>
        <v>28.376051204741845</v>
      </c>
      <c r="I15" s="12">
        <f t="shared" si="7"/>
        <v>30.208223881908641</v>
      </c>
      <c r="J15" s="12">
        <f t="shared" si="7"/>
        <v>32.84979093566136</v>
      </c>
      <c r="K15" s="12">
        <f t="shared" si="7"/>
        <v>35.707181536578268</v>
      </c>
      <c r="L15" s="12">
        <f t="shared" si="7"/>
        <v>38.451845181311583</v>
      </c>
      <c r="M15" s="12">
        <f t="shared" si="7"/>
        <v>41.787422558900133</v>
      </c>
      <c r="N15" s="12">
        <f t="shared" si="7"/>
        <v>44.495332303583339</v>
      </c>
      <c r="O15" s="12">
        <f t="shared" si="7"/>
        <v>48.378851758484714</v>
      </c>
      <c r="P15" s="12">
        <f t="shared" si="7"/>
        <v>52.579530627190508</v>
      </c>
      <c r="Q15" s="12">
        <f t="shared" si="7"/>
        <v>57.122871219953289</v>
      </c>
    </row>
    <row r="16" spans="1:17">
      <c r="A16" s="47" t="s">
        <v>11</v>
      </c>
      <c r="B16" s="47"/>
      <c r="C16" s="9">
        <v>0.5</v>
      </c>
      <c r="D16" s="9">
        <v>-4.3</v>
      </c>
      <c r="E16" s="9">
        <v>-3.2</v>
      </c>
      <c r="F16" s="9">
        <v>-4.8</v>
      </c>
      <c r="G16" s="9">
        <v>-8</v>
      </c>
      <c r="H16" s="9">
        <f>-H15*Assumptions!I22</f>
        <v>-7.0940128011854613</v>
      </c>
      <c r="I16" s="9">
        <f>-I15*Assumptions!J22</f>
        <v>-7.5520559704771602</v>
      </c>
      <c r="J16" s="9">
        <f>-J15*Assumptions!K22</f>
        <v>-8.2124477339153401</v>
      </c>
      <c r="K16" s="9">
        <f>-K15*Assumptions!L22</f>
        <v>-8.9267953841445671</v>
      </c>
      <c r="L16" s="9">
        <f>-L15*Assumptions!M22</f>
        <v>-9.6129612953278958</v>
      </c>
      <c r="M16" s="9">
        <f>-M15*Assumptions!N22</f>
        <v>-10.446855639725033</v>
      </c>
      <c r="N16" s="9">
        <f>-N15*Assumptions!O22</f>
        <v>-11.123833075895835</v>
      </c>
      <c r="O16" s="9">
        <f>-O15*Assumptions!P22</f>
        <v>-12.094712939621179</v>
      </c>
      <c r="P16" s="9">
        <f>-P15*Assumptions!Q22</f>
        <v>-13.144882656797627</v>
      </c>
      <c r="Q16" s="9">
        <f>-Q15*Assumptions!R22</f>
        <v>-14.280717804988322</v>
      </c>
    </row>
    <row r="17" spans="1:17">
      <c r="A17" s="47"/>
      <c r="B17" s="47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ht="15" thickBot="1">
      <c r="A18" s="49" t="s">
        <v>14</v>
      </c>
      <c r="B18" s="49"/>
      <c r="C18" s="15">
        <f t="shared" ref="C18:Q18" si="8">C15+C16</f>
        <v>20.100000000000005</v>
      </c>
      <c r="D18" s="15">
        <f t="shared" si="8"/>
        <v>13.499999999999986</v>
      </c>
      <c r="E18" s="15">
        <f t="shared" si="8"/>
        <v>14.299999999999972</v>
      </c>
      <c r="F18" s="15">
        <f t="shared" si="8"/>
        <v>22.7</v>
      </c>
      <c r="G18" s="15">
        <f t="shared" si="8"/>
        <v>23.900000000000023</v>
      </c>
      <c r="H18" s="15">
        <f t="shared" si="8"/>
        <v>21.282038403556385</v>
      </c>
      <c r="I18" s="15">
        <f t="shared" si="8"/>
        <v>22.656167911431481</v>
      </c>
      <c r="J18" s="15">
        <f t="shared" si="8"/>
        <v>24.63734320174602</v>
      </c>
      <c r="K18" s="15">
        <f t="shared" si="8"/>
        <v>26.780386152433699</v>
      </c>
      <c r="L18" s="15">
        <f t="shared" si="8"/>
        <v>28.838883885983687</v>
      </c>
      <c r="M18" s="15">
        <f t="shared" si="8"/>
        <v>31.3405669191751</v>
      </c>
      <c r="N18" s="15">
        <f t="shared" si="8"/>
        <v>33.371499227687508</v>
      </c>
      <c r="O18" s="15">
        <f t="shared" si="8"/>
        <v>36.284138818863539</v>
      </c>
      <c r="P18" s="15">
        <f t="shared" si="8"/>
        <v>39.434647970392881</v>
      </c>
      <c r="Q18" s="15">
        <f t="shared" si="8"/>
        <v>42.842153414964969</v>
      </c>
    </row>
    <row r="19" spans="1:17" ht="15" thickTop="1">
      <c r="A19" s="47"/>
      <c r="B19" s="47"/>
      <c r="C19" s="9"/>
      <c r="D19" s="9"/>
      <c r="E19" s="9"/>
      <c r="F19" s="9"/>
      <c r="G19" s="9"/>
    </row>
    <row r="20" spans="1:17">
      <c r="A20" s="47"/>
      <c r="B20" s="47"/>
      <c r="C20" s="9"/>
      <c r="D20" s="9"/>
      <c r="E20" s="9"/>
      <c r="F20" s="9"/>
      <c r="G20" s="9"/>
    </row>
    <row r="21" spans="1:17">
      <c r="A21" s="47"/>
      <c r="B21" s="47"/>
      <c r="C21" s="9"/>
      <c r="D21" s="9"/>
      <c r="E21" s="9"/>
      <c r="F21" s="9"/>
      <c r="G21" s="9"/>
    </row>
    <row r="22" spans="1:17">
      <c r="A22" s="47" t="s">
        <v>15</v>
      </c>
      <c r="B22" s="47"/>
      <c r="C22" s="9"/>
      <c r="D22" s="9"/>
      <c r="E22" s="9"/>
      <c r="F22" s="9"/>
      <c r="G22" s="9"/>
    </row>
    <row r="23" spans="1:17">
      <c r="A23" s="47" t="s">
        <v>16</v>
      </c>
      <c r="B23" s="47"/>
      <c r="C23" s="9" t="s">
        <v>19</v>
      </c>
      <c r="D23" s="9" t="s">
        <v>18</v>
      </c>
      <c r="E23" s="9" t="s">
        <v>17</v>
      </c>
      <c r="F23" s="173">
        <f>'Raw Data'!F28</f>
        <v>3.5561877667140815</v>
      </c>
      <c r="G23" s="173">
        <f>'Raw Data'!G28</f>
        <v>7.4313408723748031</v>
      </c>
    </row>
    <row r="24" spans="1:17">
      <c r="A24" s="47" t="s">
        <v>20</v>
      </c>
      <c r="B24" s="47"/>
      <c r="C24" s="9" t="s">
        <v>19</v>
      </c>
      <c r="D24" s="9" t="s">
        <v>21</v>
      </c>
      <c r="E24" s="9" t="s">
        <v>17</v>
      </c>
      <c r="F24" s="173">
        <f>'Raw Data'!F29</f>
        <v>3.5373187124159875</v>
      </c>
      <c r="G24" s="173">
        <f>'Raw Data'!G29</f>
        <v>7.3978771309102669</v>
      </c>
    </row>
    <row r="25" spans="1:17">
      <c r="B25" s="47"/>
      <c r="C25" s="9"/>
      <c r="D25" s="9"/>
      <c r="E25" s="9"/>
      <c r="F25" s="9"/>
      <c r="H25" s="50"/>
      <c r="I25" s="50"/>
      <c r="J25" s="50"/>
      <c r="K25" s="50"/>
      <c r="L25" s="50"/>
      <c r="M25" s="50"/>
      <c r="N25" s="50"/>
      <c r="O25" s="50"/>
      <c r="P25" s="50"/>
      <c r="Q25" s="50"/>
    </row>
    <row r="26" spans="1:17">
      <c r="B26" s="47"/>
      <c r="C26" s="9"/>
      <c r="D26" s="9"/>
      <c r="E26" s="9"/>
      <c r="F26" s="9"/>
      <c r="H26" s="50"/>
      <c r="I26" s="50"/>
      <c r="J26" s="50"/>
      <c r="K26" s="50"/>
      <c r="L26" s="50"/>
      <c r="M26" s="50"/>
      <c r="N26" s="50"/>
      <c r="O26" s="50"/>
      <c r="P26" s="50"/>
      <c r="Q26" s="50"/>
    </row>
    <row r="27" spans="1:17">
      <c r="A27" s="47"/>
      <c r="B27" s="47"/>
      <c r="C27" s="9"/>
      <c r="D27" s="9"/>
      <c r="E27" s="9"/>
      <c r="F27" s="9"/>
      <c r="G27" s="9"/>
    </row>
    <row r="28" spans="1:17" ht="18">
      <c r="A28" s="172" t="str">
        <f>'Raw Data'!A36</f>
        <v xml:space="preserve">Consolidated statement of comprehensive income/(loss) for the year ended 31'st May </v>
      </c>
      <c r="B28" s="165"/>
      <c r="C28" s="31"/>
      <c r="D28" s="31"/>
      <c r="E28" s="31"/>
      <c r="F28" s="31"/>
      <c r="G28" s="31"/>
    </row>
    <row r="29" spans="1:17">
      <c r="A29" s="165"/>
      <c r="B29" s="165"/>
      <c r="C29" s="31"/>
      <c r="D29" s="31"/>
      <c r="E29" s="31"/>
      <c r="F29" s="31"/>
      <c r="G29" s="31"/>
    </row>
    <row r="30" spans="1:17">
      <c r="A30" s="165"/>
      <c r="B30" s="165"/>
      <c r="C30" s="171">
        <f>'Raw Data'!C37</f>
        <v>2018</v>
      </c>
      <c r="D30" s="171">
        <f>'Raw Data'!D37</f>
        <v>2019</v>
      </c>
      <c r="E30" s="171">
        <f>'Raw Data'!E37</f>
        <v>2020</v>
      </c>
      <c r="F30" s="171">
        <f>'Raw Data'!F37</f>
        <v>2021</v>
      </c>
      <c r="G30" s="171">
        <f>'Raw Data'!G37</f>
        <v>2022</v>
      </c>
    </row>
    <row r="31" spans="1:17">
      <c r="A31" s="165"/>
      <c r="B31" s="165"/>
      <c r="C31" s="171" t="str">
        <f>'Raw Data'!C38</f>
        <v>£'M</v>
      </c>
      <c r="D31" s="171" t="str">
        <f>'Raw Data'!D38</f>
        <v>£'M</v>
      </c>
      <c r="E31" s="171" t="str">
        <f>'Raw Data'!E38</f>
        <v>£'M</v>
      </c>
      <c r="F31" s="171" t="str">
        <f>'Raw Data'!F38</f>
        <v>£'M</v>
      </c>
      <c r="G31" s="171" t="str">
        <f>'Raw Data'!G38</f>
        <v>£'M</v>
      </c>
    </row>
    <row r="32" spans="1:17">
      <c r="A32" s="47" t="s">
        <v>22</v>
      </c>
      <c r="B32" s="47"/>
      <c r="C32" s="9">
        <v>6.7000000000000135</v>
      </c>
      <c r="D32" s="9">
        <v>13.499999999999986</v>
      </c>
      <c r="E32" s="9">
        <v>6.3999999999999657</v>
      </c>
      <c r="F32" s="9">
        <v>9.9999999999999964</v>
      </c>
      <c r="G32" s="9">
        <v>23.000000000000018</v>
      </c>
    </row>
    <row r="33" spans="1:7">
      <c r="A33" s="47" t="s">
        <v>23</v>
      </c>
      <c r="B33" s="47"/>
      <c r="C33" s="9"/>
      <c r="D33" s="9"/>
      <c r="E33" s="9"/>
      <c r="F33" s="9"/>
      <c r="G33" s="9"/>
    </row>
    <row r="34" spans="1:7">
      <c r="A34" s="47" t="s">
        <v>24</v>
      </c>
      <c r="B34" s="47"/>
      <c r="C34" s="9">
        <v>0.3</v>
      </c>
      <c r="D34" s="9"/>
      <c r="E34" s="9"/>
      <c r="F34" s="9"/>
      <c r="G34" s="9"/>
    </row>
    <row r="35" spans="1:7">
      <c r="A35" s="47" t="s">
        <v>25</v>
      </c>
      <c r="B35" s="47"/>
      <c r="C35" s="9"/>
      <c r="D35" s="9"/>
      <c r="E35" s="9">
        <v>0</v>
      </c>
      <c r="F35" s="9">
        <v>-0.8</v>
      </c>
      <c r="G35" s="9">
        <v>-0.1</v>
      </c>
    </row>
    <row r="36" spans="1:7">
      <c r="A36" s="47" t="s">
        <v>26</v>
      </c>
      <c r="B36" s="47"/>
      <c r="C36" s="9"/>
      <c r="D36" s="9">
        <v>1.5</v>
      </c>
      <c r="E36" s="9">
        <v>4</v>
      </c>
      <c r="F36" s="9">
        <v>-11.6</v>
      </c>
      <c r="G36" s="9">
        <v>14.8</v>
      </c>
    </row>
    <row r="37" spans="1:7">
      <c r="A37" s="47" t="s">
        <v>27</v>
      </c>
      <c r="B37" s="47"/>
      <c r="C37" s="9">
        <v>0.3</v>
      </c>
      <c r="D37" s="9">
        <v>1.5</v>
      </c>
      <c r="E37" s="9">
        <v>4</v>
      </c>
      <c r="F37" s="9">
        <v>-12.4</v>
      </c>
      <c r="G37" s="9">
        <v>14.700000000000001</v>
      </c>
    </row>
    <row r="38" spans="1:7">
      <c r="A38" s="47" t="s">
        <v>28</v>
      </c>
      <c r="B38" s="47"/>
      <c r="C38" s="9">
        <v>7.0000000000000133</v>
      </c>
      <c r="D38" s="9">
        <v>14.999999999999986</v>
      </c>
      <c r="E38" s="9">
        <v>10.399999999999967</v>
      </c>
      <c r="F38" s="9">
        <v>-2.4000000000000039</v>
      </c>
      <c r="G38" s="9">
        <v>37.700000000000017</v>
      </c>
    </row>
    <row r="39" spans="1:7">
      <c r="A39" s="8"/>
      <c r="B39" s="8"/>
      <c r="C39" s="9"/>
      <c r="D39" s="9"/>
      <c r="E39" s="9"/>
      <c r="F39" s="9"/>
      <c r="G39" s="9"/>
    </row>
    <row r="45" spans="1:7">
      <c r="E45" s="18"/>
    </row>
    <row r="46" spans="1:7">
      <c r="E46" s="18"/>
    </row>
    <row r="50" spans="1:32" ht="20">
      <c r="A50" s="174" t="s">
        <v>163</v>
      </c>
      <c r="B50" s="28"/>
      <c r="C50" s="73">
        <v>2018</v>
      </c>
      <c r="D50" s="73">
        <f>C50+1</f>
        <v>2019</v>
      </c>
      <c r="E50" s="73">
        <f t="shared" ref="E50:G50" si="9">D50+1</f>
        <v>2020</v>
      </c>
      <c r="F50" s="73">
        <f t="shared" si="9"/>
        <v>2021</v>
      </c>
      <c r="G50" s="73">
        <f t="shared" si="9"/>
        <v>2022</v>
      </c>
      <c r="H50" s="167">
        <f t="shared" ref="H50:Q50" si="10">G50+1</f>
        <v>2023</v>
      </c>
      <c r="I50" s="167">
        <f t="shared" si="10"/>
        <v>2024</v>
      </c>
      <c r="J50" s="167">
        <f t="shared" si="10"/>
        <v>2025</v>
      </c>
      <c r="K50" s="167">
        <f t="shared" si="10"/>
        <v>2026</v>
      </c>
      <c r="L50" s="167">
        <f t="shared" si="10"/>
        <v>2027</v>
      </c>
      <c r="M50" s="167">
        <f t="shared" si="10"/>
        <v>2028</v>
      </c>
      <c r="N50" s="167">
        <f t="shared" si="10"/>
        <v>2029</v>
      </c>
      <c r="O50" s="167">
        <f t="shared" si="10"/>
        <v>2030</v>
      </c>
      <c r="P50" s="167">
        <f t="shared" si="10"/>
        <v>2031</v>
      </c>
      <c r="Q50" s="167">
        <f t="shared" si="10"/>
        <v>2032</v>
      </c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 ht="15">
      <c r="A51" s="28"/>
      <c r="B51" s="28"/>
      <c r="C51" s="3" t="s">
        <v>704</v>
      </c>
      <c r="D51" s="3" t="s">
        <v>704</v>
      </c>
      <c r="E51" s="3" t="s">
        <v>704</v>
      </c>
      <c r="F51" s="3" t="s">
        <v>704</v>
      </c>
      <c r="G51" s="3" t="s">
        <v>704</v>
      </c>
      <c r="H51" s="166" t="s">
        <v>704</v>
      </c>
      <c r="I51" s="166" t="s">
        <v>704</v>
      </c>
      <c r="J51" s="166" t="s">
        <v>704</v>
      </c>
      <c r="K51" s="166" t="s">
        <v>704</v>
      </c>
      <c r="L51" s="166" t="s">
        <v>704</v>
      </c>
      <c r="M51" s="166" t="s">
        <v>704</v>
      </c>
      <c r="N51" s="166" t="s">
        <v>704</v>
      </c>
      <c r="O51" s="166" t="s">
        <v>704</v>
      </c>
      <c r="P51" s="166" t="s">
        <v>704</v>
      </c>
      <c r="Q51" s="166" t="s">
        <v>704</v>
      </c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ht="15">
      <c r="A52" s="46" t="s">
        <v>0</v>
      </c>
      <c r="B52" s="46"/>
      <c r="C52" s="7">
        <v>233</v>
      </c>
      <c r="D52" s="7">
        <v>250.7</v>
      </c>
      <c r="E52" s="7">
        <v>263.7</v>
      </c>
      <c r="F52" s="7">
        <v>270.5</v>
      </c>
      <c r="G52" s="7">
        <v>314.8</v>
      </c>
      <c r="H52" s="17">
        <f>H4</f>
        <v>339.98400000000004</v>
      </c>
      <c r="I52" s="17">
        <f t="shared" ref="I52:Q52" si="11">I4</f>
        <v>367.18272000000007</v>
      </c>
      <c r="J52" s="17">
        <f t="shared" si="11"/>
        <v>396.5573376000001</v>
      </c>
      <c r="K52" s="17">
        <f t="shared" si="11"/>
        <v>428.28192460800011</v>
      </c>
      <c r="L52" s="17">
        <f t="shared" si="11"/>
        <v>462.54447857664013</v>
      </c>
      <c r="M52" s="17">
        <f t="shared" si="11"/>
        <v>499.54803686277137</v>
      </c>
      <c r="N52" s="17">
        <f t="shared" si="11"/>
        <v>539.51187981179316</v>
      </c>
      <c r="O52" s="17">
        <f t="shared" si="11"/>
        <v>582.67283019673664</v>
      </c>
      <c r="P52" s="17">
        <f t="shared" si="11"/>
        <v>629.28665661247567</v>
      </c>
      <c r="Q52" s="17">
        <f t="shared" si="11"/>
        <v>679.62958914147373</v>
      </c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ht="15">
      <c r="A53" s="47" t="s">
        <v>1</v>
      </c>
      <c r="B53" s="47"/>
      <c r="C53" s="9">
        <v>-137.1</v>
      </c>
      <c r="D53" s="9">
        <v>-148.9</v>
      </c>
      <c r="E53" s="9">
        <v>-159.30000000000001</v>
      </c>
      <c r="F53" s="9">
        <v>-159.9</v>
      </c>
      <c r="G53" s="9">
        <v>-182.2</v>
      </c>
      <c r="H53" s="9">
        <f>H5</f>
        <v>-201.02249445795962</v>
      </c>
      <c r="I53" s="9">
        <f t="shared" ref="I53:Q53" si="12">I5</f>
        <v>-217.10429401459643</v>
      </c>
      <c r="J53" s="9">
        <f t="shared" si="12"/>
        <v>-234.47263753576414</v>
      </c>
      <c r="K53" s="9">
        <f t="shared" si="12"/>
        <v>-253.23044853862527</v>
      </c>
      <c r="L53" s="9">
        <f t="shared" si="12"/>
        <v>-273.48888442171528</v>
      </c>
      <c r="M53" s="9">
        <f t="shared" si="12"/>
        <v>-295.36799517545256</v>
      </c>
      <c r="N53" s="9">
        <f t="shared" si="12"/>
        <v>-318.99743478948881</v>
      </c>
      <c r="O53" s="9">
        <f t="shared" si="12"/>
        <v>-344.51722957264792</v>
      </c>
      <c r="P53" s="9">
        <f t="shared" si="12"/>
        <v>-372.07860793845981</v>
      </c>
      <c r="Q53" s="9">
        <f t="shared" si="12"/>
        <v>-401.84489657353663</v>
      </c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ht="15">
      <c r="A54" s="48" t="s">
        <v>2</v>
      </c>
      <c r="B54" s="48"/>
      <c r="C54" s="12">
        <f>SUM(C52:C53)</f>
        <v>95.9</v>
      </c>
      <c r="D54" s="12">
        <f>SUM(D52:D53)</f>
        <v>101.79999999999998</v>
      </c>
      <c r="E54" s="12">
        <f t="shared" ref="E54" si="13">SUM(E52:E53)</f>
        <v>104.39999999999998</v>
      </c>
      <c r="F54" s="12">
        <f>SUM(F52:F53)</f>
        <v>110.6</v>
      </c>
      <c r="G54" s="12">
        <f>SUM(G52:G53)</f>
        <v>132.60000000000002</v>
      </c>
      <c r="H54" s="12">
        <f t="shared" ref="H54:Q54" si="14">SUM(H52:H53)</f>
        <v>138.96150554204041</v>
      </c>
      <c r="I54" s="12">
        <f t="shared" si="14"/>
        <v>150.07842598540364</v>
      </c>
      <c r="J54" s="12">
        <f t="shared" si="14"/>
        <v>162.08470006423596</v>
      </c>
      <c r="K54" s="12">
        <f t="shared" si="14"/>
        <v>175.05147606937484</v>
      </c>
      <c r="L54" s="12">
        <f t="shared" si="14"/>
        <v>189.05559415492485</v>
      </c>
      <c r="M54" s="12">
        <f t="shared" si="14"/>
        <v>204.18004168731881</v>
      </c>
      <c r="N54" s="12">
        <f t="shared" si="14"/>
        <v>220.51444502230436</v>
      </c>
      <c r="O54" s="12">
        <f t="shared" si="14"/>
        <v>238.15560062408872</v>
      </c>
      <c r="P54" s="12">
        <f t="shared" si="14"/>
        <v>257.20804867401586</v>
      </c>
      <c r="Q54" s="12">
        <f t="shared" si="14"/>
        <v>277.7846925679371</v>
      </c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ht="15">
      <c r="A55" s="47" t="s">
        <v>134</v>
      </c>
      <c r="B55" s="47"/>
      <c r="C55" s="9"/>
      <c r="D55" s="9"/>
      <c r="E55" s="9"/>
      <c r="F55" s="9"/>
      <c r="G55" s="9"/>
      <c r="H55" s="8"/>
      <c r="I55" s="8"/>
      <c r="J55" s="8"/>
      <c r="K55" s="8"/>
      <c r="L55" s="8"/>
      <c r="M55" s="8"/>
      <c r="N55" s="8"/>
      <c r="O55" s="8"/>
      <c r="P55" s="8"/>
      <c r="Q55" s="8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ht="15">
      <c r="A56" s="47" t="s">
        <v>3</v>
      </c>
      <c r="B56" s="47"/>
      <c r="C56" s="9">
        <v>-9.4</v>
      </c>
      <c r="D56" s="9">
        <v>-19</v>
      </c>
      <c r="E56" s="9">
        <v>-23.6</v>
      </c>
      <c r="F56" s="9">
        <v>-19.7</v>
      </c>
      <c r="G56" s="9">
        <v>-19.7</v>
      </c>
      <c r="H56" s="9">
        <f>H9</f>
        <v>-23.1892405748032</v>
      </c>
      <c r="I56" s="9">
        <f t="shared" ref="I56:Q56" si="15">I9</f>
        <v>-25.702790400000008</v>
      </c>
      <c r="J56" s="9">
        <f t="shared" si="15"/>
        <v>-27.759013632000009</v>
      </c>
      <c r="K56" s="9">
        <f t="shared" si="15"/>
        <v>-29.979734722560011</v>
      </c>
      <c r="L56" s="9">
        <f t="shared" si="15"/>
        <v>-32.378113500364812</v>
      </c>
      <c r="M56" s="9">
        <f t="shared" si="15"/>
        <v>-34.968362580394</v>
      </c>
      <c r="N56" s="9">
        <f t="shared" si="15"/>
        <v>-37.765831586825527</v>
      </c>
      <c r="O56" s="9">
        <f t="shared" si="15"/>
        <v>-40.78709811377157</v>
      </c>
      <c r="P56" s="9">
        <f t="shared" si="15"/>
        <v>-44.050065962873298</v>
      </c>
      <c r="Q56" s="9">
        <f t="shared" si="15"/>
        <v>-47.574071239903162</v>
      </c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ht="15">
      <c r="A57" s="47" t="s">
        <v>4</v>
      </c>
      <c r="B57" s="47"/>
      <c r="C57" s="9">
        <v>-65.099999999999994</v>
      </c>
      <c r="D57" s="9">
        <v>-63.3</v>
      </c>
      <c r="E57" s="9">
        <v>-60.3</v>
      </c>
      <c r="F57" s="9">
        <v>-60.9</v>
      </c>
      <c r="G57" s="9">
        <v>-77.3</v>
      </c>
      <c r="H57" s="9">
        <f>H10</f>
        <v>-83.72122776249536</v>
      </c>
      <c r="I57" s="9">
        <f t="shared" ref="I57:Q57" si="16">I10</f>
        <v>-90.418925983494987</v>
      </c>
      <c r="J57" s="9">
        <f t="shared" si="16"/>
        <v>-97.652440062174591</v>
      </c>
      <c r="K57" s="9">
        <f t="shared" si="16"/>
        <v>-105.46463526714857</v>
      </c>
      <c r="L57" s="9">
        <f t="shared" si="16"/>
        <v>-113.90180608852046</v>
      </c>
      <c r="M57" s="9">
        <f t="shared" si="16"/>
        <v>-123.0139505756021</v>
      </c>
      <c r="N57" s="9">
        <f t="shared" si="16"/>
        <v>-132.85506662165028</v>
      </c>
      <c r="O57" s="9">
        <f t="shared" si="16"/>
        <v>-143.48347195138231</v>
      </c>
      <c r="P57" s="9">
        <f t="shared" si="16"/>
        <v>-154.96214970749293</v>
      </c>
      <c r="Q57" s="9">
        <f t="shared" si="16"/>
        <v>-167.35912168409234</v>
      </c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ht="15">
      <c r="A58" s="46" t="s">
        <v>7</v>
      </c>
      <c r="B58" s="47"/>
      <c r="C58" s="7">
        <f>SUM(C56:C57)</f>
        <v>-74.5</v>
      </c>
      <c r="D58" s="7">
        <f>SUM(D56:D57)</f>
        <v>-82.3</v>
      </c>
      <c r="E58" s="7">
        <f>SUM(E56:E57)</f>
        <v>-83.9</v>
      </c>
      <c r="F58" s="7">
        <f>SUM(F56:F57)</f>
        <v>-80.599999999999994</v>
      </c>
      <c r="G58" s="7">
        <f>SUM(G56:G57)</f>
        <v>-97</v>
      </c>
      <c r="H58" s="7">
        <f t="shared" ref="H58:Q58" si="17">SUM(H56:H57)</f>
        <v>-106.91046833729857</v>
      </c>
      <c r="I58" s="7">
        <f t="shared" si="17"/>
        <v>-116.121716383495</v>
      </c>
      <c r="J58" s="7">
        <f t="shared" si="17"/>
        <v>-125.4114536941746</v>
      </c>
      <c r="K58" s="7">
        <f t="shared" si="17"/>
        <v>-135.44436998970858</v>
      </c>
      <c r="L58" s="7">
        <f t="shared" si="17"/>
        <v>-146.27991958888526</v>
      </c>
      <c r="M58" s="7">
        <f t="shared" si="17"/>
        <v>-157.98231315599611</v>
      </c>
      <c r="N58" s="7">
        <f t="shared" si="17"/>
        <v>-170.62089820847581</v>
      </c>
      <c r="O58" s="7">
        <f t="shared" si="17"/>
        <v>-184.27057006515389</v>
      </c>
      <c r="P58" s="7">
        <f t="shared" si="17"/>
        <v>-199.01221567036623</v>
      </c>
      <c r="Q58" s="7">
        <f t="shared" si="17"/>
        <v>-214.93319292399551</v>
      </c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:32" ht="15">
      <c r="A59" s="48" t="s">
        <v>8</v>
      </c>
      <c r="B59" s="48"/>
      <c r="C59" s="12">
        <f>C54+C58</f>
        <v>21.400000000000006</v>
      </c>
      <c r="D59" s="12">
        <f>D54+D58</f>
        <v>19.499999999999986</v>
      </c>
      <c r="E59" s="12">
        <f>E54+E58</f>
        <v>20.499999999999972</v>
      </c>
      <c r="F59" s="12">
        <f>F54+F58</f>
        <v>30</v>
      </c>
      <c r="G59" s="12">
        <f>G54+G58</f>
        <v>35.600000000000023</v>
      </c>
      <c r="H59" s="12">
        <f t="shared" ref="H59:Q59" si="18">H54+H58</f>
        <v>32.051037204741846</v>
      </c>
      <c r="I59" s="12">
        <f t="shared" si="18"/>
        <v>33.956709601908642</v>
      </c>
      <c r="J59" s="12">
        <f t="shared" si="18"/>
        <v>36.673246370061364</v>
      </c>
      <c r="K59" s="12">
        <f t="shared" si="18"/>
        <v>39.607106079666266</v>
      </c>
      <c r="L59" s="12">
        <f t="shared" si="18"/>
        <v>42.775674566039584</v>
      </c>
      <c r="M59" s="12">
        <f t="shared" si="18"/>
        <v>46.197728531322696</v>
      </c>
      <c r="N59" s="12">
        <f t="shared" si="18"/>
        <v>49.89354681382855</v>
      </c>
      <c r="O59" s="12">
        <f t="shared" si="18"/>
        <v>53.88503055893483</v>
      </c>
      <c r="P59" s="12">
        <f t="shared" si="18"/>
        <v>58.195833003649625</v>
      </c>
      <c r="Q59" s="12">
        <f t="shared" si="18"/>
        <v>62.851499643941594</v>
      </c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:32" ht="15">
      <c r="A60" s="51" t="s">
        <v>162</v>
      </c>
      <c r="B60" s="51"/>
      <c r="C60" s="52">
        <f>C99</f>
        <v>0.54591836734693877</v>
      </c>
      <c r="D60" s="52">
        <f>-D99</f>
        <v>-4.7106741573033712</v>
      </c>
      <c r="E60" s="52">
        <f>-E99</f>
        <v>-3.7485714285714296</v>
      </c>
      <c r="F60" s="52">
        <f>-F99</f>
        <v>-5.2363636363636363</v>
      </c>
      <c r="G60" s="52">
        <f>-G99</f>
        <v>-8.9278996865203748</v>
      </c>
      <c r="H60" s="52">
        <f t="shared" ref="H60:Q60" si="19">-H99</f>
        <v>-8.0127593011854614</v>
      </c>
      <c r="I60" s="52">
        <f t="shared" si="19"/>
        <v>-8.4891774004771605</v>
      </c>
      <c r="J60" s="52">
        <f t="shared" si="19"/>
        <v>-9.1683115925153409</v>
      </c>
      <c r="K60" s="52">
        <f t="shared" si="19"/>
        <v>-9.9017765199165666</v>
      </c>
      <c r="L60" s="52">
        <f t="shared" si="19"/>
        <v>-10.693918641509896</v>
      </c>
      <c r="M60" s="52">
        <f t="shared" si="19"/>
        <v>-11.549432132830674</v>
      </c>
      <c r="N60" s="52">
        <f t="shared" si="19"/>
        <v>-12.473386703457138</v>
      </c>
      <c r="O60" s="52">
        <f t="shared" si="19"/>
        <v>-13.471257639733707</v>
      </c>
      <c r="P60" s="52">
        <f t="shared" si="19"/>
        <v>-14.548958250912406</v>
      </c>
      <c r="Q60" s="52">
        <f t="shared" si="19"/>
        <v>-15.712874910985398</v>
      </c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:32" ht="15">
      <c r="A61" s="46" t="s">
        <v>163</v>
      </c>
      <c r="C61" s="178">
        <f>C59+C60</f>
        <v>21.945918367346945</v>
      </c>
      <c r="D61" s="178">
        <f>D59+D60</f>
        <v>14.789325842696615</v>
      </c>
      <c r="E61" s="178">
        <f>E59+E60</f>
        <v>16.751428571428541</v>
      </c>
      <c r="F61" s="178">
        <f>F59+F60</f>
        <v>24.763636363636365</v>
      </c>
      <c r="G61" s="178">
        <f>G59+G60</f>
        <v>26.672100313479646</v>
      </c>
      <c r="H61" s="178">
        <f t="shared" ref="H61:Q61" si="20">H59+H60</f>
        <v>24.038277903556384</v>
      </c>
      <c r="I61" s="178">
        <f t="shared" si="20"/>
        <v>25.467532201431482</v>
      </c>
      <c r="J61" s="178">
        <f t="shared" si="20"/>
        <v>27.504934777546023</v>
      </c>
      <c r="K61" s="178">
        <f t="shared" si="20"/>
        <v>29.7053295597497</v>
      </c>
      <c r="L61" s="178">
        <f t="shared" si="20"/>
        <v>32.081755924529688</v>
      </c>
      <c r="M61" s="178">
        <f t="shared" si="20"/>
        <v>34.648296398492022</v>
      </c>
      <c r="N61" s="178">
        <f t="shared" si="20"/>
        <v>37.420160110371413</v>
      </c>
      <c r="O61" s="178">
        <f t="shared" si="20"/>
        <v>40.413772919201122</v>
      </c>
      <c r="P61" s="178">
        <f t="shared" si="20"/>
        <v>43.646874752737219</v>
      </c>
      <c r="Q61" s="178">
        <f t="shared" si="20"/>
        <v>47.138624732956195</v>
      </c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:32" ht="15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:32" ht="15">
      <c r="A63" s="47" t="s">
        <v>250</v>
      </c>
      <c r="C63" s="17">
        <f>-C94</f>
        <v>-4.5918367346938764E-2</v>
      </c>
      <c r="D63" s="17">
        <f>D94</f>
        <v>0.41067415730337109</v>
      </c>
      <c r="E63" s="17">
        <f>E94</f>
        <v>0.54857142857142949</v>
      </c>
      <c r="F63" s="17">
        <f>F94</f>
        <v>0.43636363636363634</v>
      </c>
      <c r="G63" s="17">
        <f>G94</f>
        <v>0.92789968652037547</v>
      </c>
      <c r="H63" s="17">
        <f t="shared" ref="H63:Q63" si="21">H94</f>
        <v>0.91874649999999991</v>
      </c>
      <c r="I63" s="17">
        <f t="shared" si="21"/>
        <v>0.93712143000000003</v>
      </c>
      <c r="J63" s="17">
        <f t="shared" si="21"/>
        <v>0.9558638586</v>
      </c>
      <c r="K63" s="17">
        <f t="shared" si="21"/>
        <v>0.97498113577199996</v>
      </c>
      <c r="L63" s="17">
        <f t="shared" si="21"/>
        <v>1.0809573461820001</v>
      </c>
      <c r="M63" s="17">
        <f t="shared" si="21"/>
        <v>1.1025764931056401</v>
      </c>
      <c r="N63" s="17">
        <f t="shared" si="21"/>
        <v>1.3495536275613034</v>
      </c>
      <c r="O63" s="17">
        <f t="shared" si="21"/>
        <v>1.3765447001125293</v>
      </c>
      <c r="P63" s="17">
        <f t="shared" si="21"/>
        <v>1.40407559411478</v>
      </c>
      <c r="Q63" s="17">
        <f t="shared" si="21"/>
        <v>1.4321571059970757</v>
      </c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:32" ht="15">
      <c r="A64" s="46" t="s">
        <v>251</v>
      </c>
      <c r="B64" s="5"/>
      <c r="C64" s="178">
        <f>C61+C63</f>
        <v>21.900000000000006</v>
      </c>
      <c r="D64" s="178">
        <f t="shared" ref="D64:Q64" si="22">D61+D63</f>
        <v>15.199999999999985</v>
      </c>
      <c r="E64" s="178">
        <f t="shared" si="22"/>
        <v>17.299999999999969</v>
      </c>
      <c r="F64" s="178">
        <f t="shared" si="22"/>
        <v>25.200000000000003</v>
      </c>
      <c r="G64" s="178">
        <f t="shared" si="22"/>
        <v>27.600000000000023</v>
      </c>
      <c r="H64" s="178">
        <f t="shared" si="22"/>
        <v>24.957024403556385</v>
      </c>
      <c r="I64" s="178">
        <f t="shared" si="22"/>
        <v>26.404653631431483</v>
      </c>
      <c r="J64" s="178">
        <f t="shared" si="22"/>
        <v>28.460798636146023</v>
      </c>
      <c r="K64" s="178">
        <f t="shared" si="22"/>
        <v>30.680310695521701</v>
      </c>
      <c r="L64" s="178">
        <f t="shared" si="22"/>
        <v>33.162713270711691</v>
      </c>
      <c r="M64" s="178">
        <f t="shared" si="22"/>
        <v>35.750872891597659</v>
      </c>
      <c r="N64" s="178">
        <f t="shared" si="22"/>
        <v>38.769713737932719</v>
      </c>
      <c r="O64" s="178">
        <f t="shared" si="22"/>
        <v>41.790317619313655</v>
      </c>
      <c r="P64" s="178">
        <f t="shared" si="22"/>
        <v>45.050950346851998</v>
      </c>
      <c r="Q64" s="178">
        <f t="shared" si="22"/>
        <v>48.570781838953273</v>
      </c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:32" ht="15"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:32" ht="15">
      <c r="A66" s="46" t="s">
        <v>164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:32" ht="15">
      <c r="A67" s="47" t="s">
        <v>165</v>
      </c>
      <c r="C67" s="9">
        <f>C18</f>
        <v>20.100000000000005</v>
      </c>
      <c r="D67" s="9">
        <f>D18</f>
        <v>13.499999999999986</v>
      </c>
      <c r="E67" s="9">
        <f>E18</f>
        <v>14.299999999999972</v>
      </c>
      <c r="F67" s="9">
        <f>F18</f>
        <v>22.7</v>
      </c>
      <c r="G67" s="9">
        <f>G18</f>
        <v>23.900000000000023</v>
      </c>
      <c r="H67" s="9">
        <f t="shared" ref="H67:Q67" si="23">H18</f>
        <v>21.282038403556385</v>
      </c>
      <c r="I67" s="9">
        <f t="shared" si="23"/>
        <v>22.656167911431481</v>
      </c>
      <c r="J67" s="9">
        <f t="shared" si="23"/>
        <v>24.63734320174602</v>
      </c>
      <c r="K67" s="9">
        <f t="shared" si="23"/>
        <v>26.780386152433699</v>
      </c>
      <c r="L67" s="9">
        <f t="shared" si="23"/>
        <v>28.838883885983687</v>
      </c>
      <c r="M67" s="9">
        <f t="shared" si="23"/>
        <v>31.3405669191751</v>
      </c>
      <c r="N67" s="9">
        <f t="shared" si="23"/>
        <v>33.371499227687508</v>
      </c>
      <c r="O67" s="9">
        <f t="shared" si="23"/>
        <v>36.284138818863539</v>
      </c>
      <c r="P67" s="9">
        <f t="shared" si="23"/>
        <v>39.434647970392881</v>
      </c>
      <c r="Q67" s="9">
        <f t="shared" si="23"/>
        <v>42.842153414964969</v>
      </c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1:32" ht="15">
      <c r="A68" s="47" t="s">
        <v>166</v>
      </c>
      <c r="C68" s="9">
        <f>-C14</f>
        <v>1.8</v>
      </c>
      <c r="D68" s="9">
        <f>-D14</f>
        <v>1.7</v>
      </c>
      <c r="E68" s="9">
        <f>-E14</f>
        <v>3</v>
      </c>
      <c r="F68" s="9">
        <f>-F14</f>
        <v>2.5</v>
      </c>
      <c r="G68" s="9">
        <f>-G14</f>
        <v>3.7</v>
      </c>
      <c r="H68" s="9">
        <f t="shared" ref="H68:Q68" si="24">-H14</f>
        <v>3.6749859999999996</v>
      </c>
      <c r="I68" s="9">
        <f t="shared" si="24"/>
        <v>3.7484857200000001</v>
      </c>
      <c r="J68" s="9">
        <f t="shared" si="24"/>
        <v>3.8234554344</v>
      </c>
      <c r="K68" s="9">
        <f t="shared" si="24"/>
        <v>3.8999245430879999</v>
      </c>
      <c r="L68" s="9">
        <f t="shared" si="24"/>
        <v>4.3238293847280005</v>
      </c>
      <c r="M68" s="9">
        <f t="shared" si="24"/>
        <v>4.4103059724225604</v>
      </c>
      <c r="N68" s="9">
        <f t="shared" si="24"/>
        <v>5.3982145102452135</v>
      </c>
      <c r="O68" s="9">
        <f t="shared" si="24"/>
        <v>5.5061788004501171</v>
      </c>
      <c r="P68" s="9">
        <f t="shared" si="24"/>
        <v>5.61630237645912</v>
      </c>
      <c r="Q68" s="9">
        <f t="shared" si="24"/>
        <v>5.7286284239883027</v>
      </c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1:32" ht="15">
      <c r="A69" s="46" t="s">
        <v>251</v>
      </c>
      <c r="B69" s="5"/>
      <c r="C69" s="7">
        <f>SUM(C67:C68)</f>
        <v>21.900000000000006</v>
      </c>
      <c r="D69" s="7">
        <f t="shared" ref="D69:G69" si="25">SUM(D67:D68)</f>
        <v>15.199999999999985</v>
      </c>
      <c r="E69" s="7">
        <f t="shared" si="25"/>
        <v>17.299999999999972</v>
      </c>
      <c r="F69" s="7">
        <f t="shared" si="25"/>
        <v>25.2</v>
      </c>
      <c r="G69" s="7">
        <f t="shared" si="25"/>
        <v>27.600000000000023</v>
      </c>
      <c r="H69" s="7">
        <f t="shared" ref="H69:Q69" si="26">SUM(H67:H68)</f>
        <v>24.957024403556385</v>
      </c>
      <c r="I69" s="7">
        <f t="shared" si="26"/>
        <v>26.404653631431483</v>
      </c>
      <c r="J69" s="7">
        <f t="shared" si="26"/>
        <v>28.46079863614602</v>
      </c>
      <c r="K69" s="7">
        <f t="shared" si="26"/>
        <v>30.680310695521698</v>
      </c>
      <c r="L69" s="7">
        <f t="shared" si="26"/>
        <v>33.162713270711691</v>
      </c>
      <c r="M69" s="7">
        <f t="shared" si="26"/>
        <v>35.750872891597659</v>
      </c>
      <c r="N69" s="7">
        <f t="shared" si="26"/>
        <v>38.769713737932719</v>
      </c>
      <c r="O69" s="7">
        <f t="shared" si="26"/>
        <v>41.790317619313655</v>
      </c>
      <c r="P69" s="7">
        <f t="shared" si="26"/>
        <v>45.050950346851998</v>
      </c>
      <c r="Q69" s="7">
        <f t="shared" si="26"/>
        <v>48.570781838953273</v>
      </c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1:32" ht="15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1:32" ht="15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:32" ht="15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spans="1:32" ht="18">
      <c r="A73" s="170" t="s">
        <v>164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:32" ht="15">
      <c r="A74" s="47" t="s">
        <v>165</v>
      </c>
      <c r="C74" s="9">
        <f t="shared" ref="C74:Q74" si="27">C18</f>
        <v>20.100000000000005</v>
      </c>
      <c r="D74" s="9">
        <f t="shared" si="27"/>
        <v>13.499999999999986</v>
      </c>
      <c r="E74" s="9">
        <f t="shared" si="27"/>
        <v>14.299999999999972</v>
      </c>
      <c r="F74" s="9">
        <f t="shared" si="27"/>
        <v>22.7</v>
      </c>
      <c r="G74" s="9">
        <f t="shared" si="27"/>
        <v>23.900000000000023</v>
      </c>
      <c r="H74" s="9">
        <f t="shared" si="27"/>
        <v>21.282038403556385</v>
      </c>
      <c r="I74" s="9">
        <f t="shared" si="27"/>
        <v>22.656167911431481</v>
      </c>
      <c r="J74" s="9">
        <f t="shared" si="27"/>
        <v>24.63734320174602</v>
      </c>
      <c r="K74" s="9">
        <f t="shared" si="27"/>
        <v>26.780386152433699</v>
      </c>
      <c r="L74" s="9">
        <f t="shared" si="27"/>
        <v>28.838883885983687</v>
      </c>
      <c r="M74" s="9">
        <f t="shared" si="27"/>
        <v>31.3405669191751</v>
      </c>
      <c r="N74" s="9">
        <f t="shared" si="27"/>
        <v>33.371499227687508</v>
      </c>
      <c r="O74" s="9">
        <f t="shared" si="27"/>
        <v>36.284138818863539</v>
      </c>
      <c r="P74" s="9">
        <f t="shared" si="27"/>
        <v>39.434647970392881</v>
      </c>
      <c r="Q74" s="9">
        <f t="shared" si="27"/>
        <v>42.842153414964969</v>
      </c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spans="1:32" ht="15">
      <c r="A75" s="47" t="s">
        <v>166</v>
      </c>
      <c r="C75" s="9">
        <f t="shared" ref="C75:Q75" si="28">-C14</f>
        <v>1.8</v>
      </c>
      <c r="D75" s="9">
        <f t="shared" si="28"/>
        <v>1.7</v>
      </c>
      <c r="E75" s="9">
        <f t="shared" si="28"/>
        <v>3</v>
      </c>
      <c r="F75" s="9">
        <f t="shared" si="28"/>
        <v>2.5</v>
      </c>
      <c r="G75" s="9">
        <f t="shared" si="28"/>
        <v>3.7</v>
      </c>
      <c r="H75" s="9">
        <f t="shared" si="28"/>
        <v>3.6749859999999996</v>
      </c>
      <c r="I75" s="9">
        <f t="shared" si="28"/>
        <v>3.7484857200000001</v>
      </c>
      <c r="J75" s="9">
        <f t="shared" si="28"/>
        <v>3.8234554344</v>
      </c>
      <c r="K75" s="9">
        <f t="shared" si="28"/>
        <v>3.8999245430879999</v>
      </c>
      <c r="L75" s="9">
        <f t="shared" si="28"/>
        <v>4.3238293847280005</v>
      </c>
      <c r="M75" s="9">
        <f t="shared" si="28"/>
        <v>4.4103059724225604</v>
      </c>
      <c r="N75" s="9">
        <f t="shared" si="28"/>
        <v>5.3982145102452135</v>
      </c>
      <c r="O75" s="9">
        <f t="shared" si="28"/>
        <v>5.5061788004501171</v>
      </c>
      <c r="P75" s="9">
        <f t="shared" si="28"/>
        <v>5.61630237645912</v>
      </c>
      <c r="Q75" s="9">
        <f t="shared" si="28"/>
        <v>5.7286284239883027</v>
      </c>
      <c r="T75"/>
      <c r="U75"/>
      <c r="V75"/>
      <c r="W75"/>
      <c r="X75"/>
      <c r="Y75"/>
      <c r="Z75"/>
      <c r="AA75"/>
      <c r="AB75"/>
      <c r="AC75"/>
      <c r="AD75"/>
      <c r="AE75"/>
      <c r="AF75"/>
    </row>
    <row r="76" spans="1:32" ht="15">
      <c r="A76" s="47" t="s">
        <v>167</v>
      </c>
      <c r="C76" s="54">
        <f t="shared" ref="C76:Q76" si="29">-(C16/C15)*C14</f>
        <v>4.5918367346938764E-2</v>
      </c>
      <c r="D76" s="54">
        <f t="shared" si="29"/>
        <v>-0.41067415730337109</v>
      </c>
      <c r="E76" s="54">
        <f t="shared" si="29"/>
        <v>-0.54857142857142949</v>
      </c>
      <c r="F76" s="54">
        <f t="shared" si="29"/>
        <v>-0.43636363636363634</v>
      </c>
      <c r="G76" s="54">
        <f t="shared" si="29"/>
        <v>-0.92789968652037547</v>
      </c>
      <c r="H76" s="54">
        <f t="shared" si="29"/>
        <v>-0.91874649999999991</v>
      </c>
      <c r="I76" s="54">
        <f t="shared" si="29"/>
        <v>-0.93712143000000003</v>
      </c>
      <c r="J76" s="54">
        <f t="shared" si="29"/>
        <v>-0.9558638586</v>
      </c>
      <c r="K76" s="54">
        <f t="shared" si="29"/>
        <v>-0.97498113577199996</v>
      </c>
      <c r="L76" s="54">
        <f t="shared" si="29"/>
        <v>-1.0809573461820001</v>
      </c>
      <c r="M76" s="54">
        <f t="shared" si="29"/>
        <v>-1.1025764931056401</v>
      </c>
      <c r="N76" s="54">
        <f t="shared" si="29"/>
        <v>-1.3495536275613034</v>
      </c>
      <c r="O76" s="54">
        <f t="shared" si="29"/>
        <v>-1.3765447001125293</v>
      </c>
      <c r="P76" s="54">
        <f t="shared" si="29"/>
        <v>-1.40407559411478</v>
      </c>
      <c r="Q76" s="54">
        <f t="shared" si="29"/>
        <v>-1.4321571059970757</v>
      </c>
      <c r="T76"/>
      <c r="U76"/>
      <c r="V76"/>
      <c r="W76"/>
      <c r="X76"/>
      <c r="Y76"/>
      <c r="Z76"/>
      <c r="AA76"/>
      <c r="AB76"/>
      <c r="AC76"/>
      <c r="AD76"/>
      <c r="AE76"/>
      <c r="AF76"/>
    </row>
    <row r="77" spans="1:32" ht="16" thickBot="1">
      <c r="A77" s="49" t="s">
        <v>163</v>
      </c>
      <c r="B77" s="13"/>
      <c r="C77" s="55">
        <f>SUM(C74:C76)</f>
        <v>21.945918367346945</v>
      </c>
      <c r="D77" s="55">
        <f t="shared" ref="D77:G77" si="30">SUM(D74:D76)</f>
        <v>14.789325842696615</v>
      </c>
      <c r="E77" s="55">
        <f t="shared" si="30"/>
        <v>16.751428571428544</v>
      </c>
      <c r="F77" s="55">
        <f t="shared" si="30"/>
        <v>24.763636363636362</v>
      </c>
      <c r="G77" s="55">
        <f t="shared" si="30"/>
        <v>26.672100313479646</v>
      </c>
      <c r="H77" s="55">
        <f t="shared" ref="H77:Q77" si="31">SUM(H74:H76)</f>
        <v>24.038277903556384</v>
      </c>
      <c r="I77" s="55">
        <f t="shared" si="31"/>
        <v>25.467532201431482</v>
      </c>
      <c r="J77" s="55">
        <f t="shared" si="31"/>
        <v>27.504934777546019</v>
      </c>
      <c r="K77" s="55">
        <f t="shared" si="31"/>
        <v>29.705329559749696</v>
      </c>
      <c r="L77" s="55">
        <f t="shared" si="31"/>
        <v>32.081755924529688</v>
      </c>
      <c r="M77" s="55">
        <f t="shared" si="31"/>
        <v>34.648296398492022</v>
      </c>
      <c r="N77" s="55">
        <f t="shared" si="31"/>
        <v>37.420160110371413</v>
      </c>
      <c r="O77" s="55">
        <f t="shared" si="31"/>
        <v>40.413772919201122</v>
      </c>
      <c r="P77" s="55">
        <f t="shared" si="31"/>
        <v>43.646874752737219</v>
      </c>
      <c r="Q77" s="55">
        <f t="shared" si="31"/>
        <v>47.138624732956195</v>
      </c>
      <c r="T77"/>
      <c r="U77"/>
      <c r="V77"/>
      <c r="W77"/>
      <c r="X77"/>
      <c r="Y77"/>
      <c r="Z77"/>
      <c r="AA77"/>
      <c r="AB77"/>
      <c r="AC77"/>
      <c r="AD77"/>
      <c r="AE77"/>
      <c r="AF77"/>
    </row>
    <row r="78" spans="1:32" ht="16" thickTop="1">
      <c r="A78" s="46"/>
      <c r="B78" s="5"/>
      <c r="C78" s="175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T78"/>
      <c r="U78"/>
      <c r="V78"/>
      <c r="W78"/>
      <c r="X78"/>
      <c r="Y78"/>
      <c r="Z78"/>
      <c r="AA78"/>
      <c r="AB78"/>
      <c r="AC78"/>
      <c r="AD78"/>
      <c r="AE78"/>
      <c r="AF78"/>
    </row>
    <row r="79" spans="1:32" ht="15">
      <c r="A79"/>
      <c r="B79"/>
      <c r="C79"/>
      <c r="D79"/>
      <c r="E79"/>
      <c r="F79"/>
      <c r="G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1:32" ht="15">
      <c r="A80"/>
      <c r="B80"/>
      <c r="C80"/>
      <c r="D80"/>
      <c r="E80"/>
      <c r="F80"/>
      <c r="G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1:32" ht="15">
      <c r="A81"/>
      <c r="B81"/>
      <c r="C81"/>
      <c r="D81"/>
      <c r="E81"/>
      <c r="F81"/>
      <c r="G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spans="1:32" ht="15">
      <c r="A82"/>
      <c r="B82"/>
      <c r="C82"/>
      <c r="D82"/>
      <c r="E82"/>
      <c r="F82"/>
      <c r="G82"/>
      <c r="T82"/>
      <c r="U82"/>
      <c r="V82"/>
      <c r="W82"/>
      <c r="X82"/>
      <c r="Y82"/>
      <c r="Z82"/>
      <c r="AA82"/>
      <c r="AB82"/>
      <c r="AC82"/>
      <c r="AD82"/>
      <c r="AE82"/>
      <c r="AF82"/>
    </row>
    <row r="83" spans="1:32" ht="15">
      <c r="A83" s="2" t="s">
        <v>219</v>
      </c>
      <c r="B83" s="2"/>
      <c r="C83" s="73">
        <f>C115</f>
        <v>2018</v>
      </c>
      <c r="D83" s="73">
        <f t="shared" ref="D83:G83" si="32">D115</f>
        <v>2019</v>
      </c>
      <c r="E83" s="73">
        <f t="shared" si="32"/>
        <v>2020</v>
      </c>
      <c r="F83" s="73">
        <f t="shared" si="32"/>
        <v>2021</v>
      </c>
      <c r="G83" s="73">
        <f t="shared" si="32"/>
        <v>2022</v>
      </c>
      <c r="H83" s="74">
        <f>H115</f>
        <v>2023</v>
      </c>
      <c r="I83" s="74">
        <f t="shared" ref="I83:Q83" si="33">I115</f>
        <v>2024</v>
      </c>
      <c r="J83" s="74">
        <f t="shared" si="33"/>
        <v>2025</v>
      </c>
      <c r="K83" s="74">
        <f t="shared" si="33"/>
        <v>2026</v>
      </c>
      <c r="L83" s="74">
        <f t="shared" si="33"/>
        <v>2027</v>
      </c>
      <c r="M83" s="74">
        <f t="shared" si="33"/>
        <v>2028</v>
      </c>
      <c r="N83" s="74">
        <f t="shared" si="33"/>
        <v>2029</v>
      </c>
      <c r="O83" s="74">
        <f t="shared" si="33"/>
        <v>2030</v>
      </c>
      <c r="P83" s="74">
        <f t="shared" si="33"/>
        <v>2031</v>
      </c>
      <c r="Q83" s="74">
        <f t="shared" si="33"/>
        <v>2032</v>
      </c>
      <c r="T83"/>
      <c r="U83"/>
      <c r="V83"/>
      <c r="W83"/>
      <c r="X83"/>
      <c r="Y83"/>
      <c r="Z83"/>
      <c r="AA83"/>
      <c r="AB83"/>
      <c r="AC83"/>
      <c r="AD83"/>
      <c r="AE83"/>
      <c r="AF83"/>
    </row>
    <row r="84" spans="1:32" ht="15">
      <c r="A84" s="4" t="s">
        <v>172</v>
      </c>
      <c r="C84" s="8">
        <f>'Decomposed SFP'!C88</f>
        <v>270.89999999999998</v>
      </c>
      <c r="D84" s="8">
        <f>'Decomposed SFP'!D88</f>
        <v>269.89999999999998</v>
      </c>
      <c r="E84" s="8">
        <f>'Decomposed SFP'!E88</f>
        <v>343.6</v>
      </c>
      <c r="F84" s="8">
        <f>'Decomposed SFP'!F88</f>
        <v>333.5</v>
      </c>
      <c r="G84" s="17">
        <f>'Decomposed SFP'!G88</f>
        <v>453</v>
      </c>
      <c r="H84" s="17">
        <f>'Decomposed SFP'!H88</f>
        <v>457.42891422418961</v>
      </c>
      <c r="I84" s="17">
        <f>'Decomposed SFP'!I88</f>
        <v>469.08156598364582</v>
      </c>
      <c r="J84" s="17">
        <f>'Decomposed SFP'!J88</f>
        <v>481.53070999959687</v>
      </c>
      <c r="K84" s="17">
        <f>'Decomposed SFP'!K88</f>
        <v>494.83735125487721</v>
      </c>
      <c r="L84" s="17">
        <f>'Decomposed SFP'!L88</f>
        <v>508.97824563383926</v>
      </c>
      <c r="M84" s="17">
        <f>'Decomposed SFP'!M88</f>
        <v>524.11172904872979</v>
      </c>
      <c r="N84" s="17">
        <f>'Decomposed SFP'!N88</f>
        <v>540.08275035312386</v>
      </c>
      <c r="O84" s="17">
        <f>'Decomposed SFP'!O88</f>
        <v>557.20106915104088</v>
      </c>
      <c r="P84" s="17">
        <f>'Decomposed SFP'!P88</f>
        <v>575.55586155774563</v>
      </c>
      <c r="Q84" s="17">
        <f>'Decomposed SFP'!Q88</f>
        <v>595.24338562404023</v>
      </c>
      <c r="T84"/>
      <c r="U84"/>
      <c r="V84"/>
      <c r="W84"/>
      <c r="X84"/>
      <c r="Y84"/>
      <c r="Z84"/>
      <c r="AA84"/>
      <c r="AB84"/>
      <c r="AC84"/>
      <c r="AD84"/>
      <c r="AE84"/>
      <c r="AF84"/>
    </row>
    <row r="85" spans="1:32" ht="15">
      <c r="A85" s="4" t="s">
        <v>220</v>
      </c>
      <c r="C85" s="9">
        <f t="shared" ref="C85:Q85" si="34">C59</f>
        <v>21.400000000000006</v>
      </c>
      <c r="D85" s="9">
        <f t="shared" si="34"/>
        <v>19.499999999999986</v>
      </c>
      <c r="E85" s="9">
        <f t="shared" si="34"/>
        <v>20.499999999999972</v>
      </c>
      <c r="F85" s="9">
        <f t="shared" si="34"/>
        <v>30</v>
      </c>
      <c r="G85" s="9">
        <f t="shared" si="34"/>
        <v>35.600000000000023</v>
      </c>
      <c r="H85" s="9">
        <f t="shared" si="34"/>
        <v>32.051037204741846</v>
      </c>
      <c r="I85" s="9">
        <f t="shared" si="34"/>
        <v>33.956709601908642</v>
      </c>
      <c r="J85" s="9">
        <f t="shared" si="34"/>
        <v>36.673246370061364</v>
      </c>
      <c r="K85" s="9">
        <f t="shared" si="34"/>
        <v>39.607106079666266</v>
      </c>
      <c r="L85" s="9">
        <f t="shared" si="34"/>
        <v>42.775674566039584</v>
      </c>
      <c r="M85" s="9">
        <f t="shared" si="34"/>
        <v>46.197728531322696</v>
      </c>
      <c r="N85" s="9">
        <f t="shared" si="34"/>
        <v>49.89354681382855</v>
      </c>
      <c r="O85" s="9">
        <f t="shared" si="34"/>
        <v>53.88503055893483</v>
      </c>
      <c r="P85" s="9">
        <f t="shared" si="34"/>
        <v>58.195833003649625</v>
      </c>
      <c r="Q85" s="9">
        <f t="shared" si="34"/>
        <v>62.851499643941594</v>
      </c>
      <c r="T85"/>
      <c r="U85"/>
      <c r="V85"/>
      <c r="W85"/>
      <c r="X85"/>
      <c r="Y85"/>
      <c r="Z85"/>
      <c r="AA85"/>
      <c r="AB85"/>
      <c r="AC85"/>
      <c r="AD85"/>
      <c r="AE85"/>
      <c r="AF85"/>
    </row>
    <row r="86" spans="1:32" ht="15">
      <c r="A86" s="719" t="s">
        <v>221</v>
      </c>
      <c r="C86" s="61">
        <v>0.19</v>
      </c>
      <c r="D86" s="61">
        <v>0.19</v>
      </c>
      <c r="E86" s="61">
        <v>0.19</v>
      </c>
      <c r="F86" s="61">
        <v>0.19</v>
      </c>
      <c r="G86" s="61">
        <v>0.19</v>
      </c>
      <c r="H86" s="61">
        <v>0.25</v>
      </c>
      <c r="I86" s="61">
        <v>0.25</v>
      </c>
      <c r="J86" s="61">
        <v>0.25</v>
      </c>
      <c r="K86" s="61">
        <v>0.25</v>
      </c>
      <c r="L86" s="61">
        <v>0.25</v>
      </c>
      <c r="M86" s="61">
        <v>0.25</v>
      </c>
      <c r="N86" s="61">
        <v>0.25</v>
      </c>
      <c r="O86" s="61">
        <v>0.25</v>
      </c>
      <c r="P86" s="61">
        <v>0.25</v>
      </c>
      <c r="Q86" s="61">
        <v>0.25</v>
      </c>
      <c r="T86"/>
      <c r="U86"/>
      <c r="V86"/>
      <c r="W86"/>
      <c r="X86"/>
      <c r="Y86"/>
      <c r="Z86"/>
      <c r="AA86"/>
      <c r="AB86"/>
      <c r="AC86"/>
      <c r="AD86"/>
      <c r="AE86"/>
      <c r="AF86"/>
    </row>
    <row r="87" spans="1:32" ht="15">
      <c r="A87" s="719" t="s">
        <v>222</v>
      </c>
      <c r="C87" s="61">
        <f>C16/C15</f>
        <v>2.5510204081632647E-2</v>
      </c>
      <c r="D87" s="61">
        <f>-D16/D15</f>
        <v>0.24157303370786534</v>
      </c>
      <c r="E87" s="61">
        <f>-E16/E15</f>
        <v>0.18285714285714316</v>
      </c>
      <c r="F87" s="61">
        <f>-F16/F15</f>
        <v>0.17454545454545453</v>
      </c>
      <c r="G87" s="61">
        <f>-G16/G15</f>
        <v>0.25078369905956094</v>
      </c>
      <c r="H87" s="63">
        <v>0.25</v>
      </c>
      <c r="I87" s="63">
        <v>0.25</v>
      </c>
      <c r="J87" s="63">
        <v>0.25</v>
      </c>
      <c r="K87" s="63">
        <v>0.25</v>
      </c>
      <c r="L87" s="63">
        <v>0.25</v>
      </c>
      <c r="M87" s="63">
        <v>0.25</v>
      </c>
      <c r="N87" s="63">
        <v>0.25</v>
      </c>
      <c r="O87" s="63">
        <v>0.25</v>
      </c>
      <c r="P87" s="63">
        <v>0.25</v>
      </c>
      <c r="Q87" s="63">
        <v>0.25</v>
      </c>
      <c r="T87"/>
      <c r="U87"/>
      <c r="V87"/>
      <c r="W87"/>
      <c r="X87"/>
      <c r="Y87"/>
      <c r="Z87"/>
      <c r="AA87"/>
      <c r="AB87"/>
      <c r="AC87"/>
      <c r="AD87"/>
      <c r="AE87"/>
      <c r="AF87"/>
    </row>
    <row r="88" spans="1:32" ht="15">
      <c r="A88" s="4" t="s">
        <v>223</v>
      </c>
      <c r="C88" s="8">
        <f>'Raw Data'!C18</f>
        <v>0.5</v>
      </c>
      <c r="D88" s="8">
        <f>-'Raw Data'!D18</f>
        <v>4.3</v>
      </c>
      <c r="E88" s="8">
        <f>-'Raw Data'!E18</f>
        <v>3.2</v>
      </c>
      <c r="F88" s="8">
        <f>-'Raw Data'!F18</f>
        <v>4.8</v>
      </c>
      <c r="G88" s="8">
        <f>-'Raw Data'!G18</f>
        <v>8</v>
      </c>
      <c r="H88" s="9">
        <f t="shared" ref="H88:Q88" si="35">-H16</f>
        <v>7.0940128011854613</v>
      </c>
      <c r="I88" s="9">
        <f t="shared" si="35"/>
        <v>7.5520559704771602</v>
      </c>
      <c r="J88" s="9">
        <f t="shared" si="35"/>
        <v>8.2124477339153401</v>
      </c>
      <c r="K88" s="9">
        <f t="shared" si="35"/>
        <v>8.9267953841445671</v>
      </c>
      <c r="L88" s="9">
        <f t="shared" si="35"/>
        <v>9.6129612953278958</v>
      </c>
      <c r="M88" s="9">
        <f t="shared" si="35"/>
        <v>10.446855639725033</v>
      </c>
      <c r="N88" s="9">
        <f t="shared" si="35"/>
        <v>11.123833075895835</v>
      </c>
      <c r="O88" s="9">
        <f t="shared" si="35"/>
        <v>12.094712939621179</v>
      </c>
      <c r="P88" s="9">
        <f t="shared" si="35"/>
        <v>13.144882656797627</v>
      </c>
      <c r="Q88" s="9">
        <f t="shared" si="35"/>
        <v>14.280717804988322</v>
      </c>
      <c r="T88"/>
      <c r="U88"/>
      <c r="V88"/>
      <c r="W88"/>
      <c r="X88"/>
      <c r="Y88"/>
      <c r="Z88"/>
      <c r="AA88"/>
      <c r="AB88"/>
      <c r="AC88"/>
      <c r="AD88"/>
      <c r="AE88"/>
      <c r="AF88"/>
    </row>
    <row r="89" spans="1:32" ht="15">
      <c r="A89" s="47" t="s">
        <v>224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T89"/>
      <c r="U89"/>
      <c r="V89"/>
      <c r="W89"/>
      <c r="X89"/>
      <c r="Y89"/>
      <c r="Z89"/>
      <c r="AA89"/>
      <c r="AB89"/>
      <c r="AC89"/>
      <c r="AD89"/>
      <c r="AE89"/>
      <c r="AF89"/>
    </row>
    <row r="90" spans="1:32" ht="15">
      <c r="A90" s="57" t="s">
        <v>225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T90"/>
      <c r="U90"/>
      <c r="V90"/>
      <c r="W90"/>
      <c r="X90"/>
      <c r="Y90"/>
      <c r="Z90"/>
      <c r="AA90"/>
      <c r="AB90"/>
      <c r="AC90"/>
      <c r="AD90"/>
      <c r="AE90"/>
      <c r="AF90"/>
    </row>
    <row r="91" spans="1:32" ht="15">
      <c r="A91" s="57" t="s">
        <v>226</v>
      </c>
      <c r="C91" s="8">
        <f>0</f>
        <v>0</v>
      </c>
      <c r="D91" s="8">
        <f>0</f>
        <v>0</v>
      </c>
      <c r="E91" s="8">
        <f>0</f>
        <v>0</v>
      </c>
      <c r="F91" s="8">
        <f>0</f>
        <v>0</v>
      </c>
      <c r="G91" s="8">
        <f>0</f>
        <v>0</v>
      </c>
      <c r="H91" s="8">
        <f>0</f>
        <v>0</v>
      </c>
      <c r="I91" s="8">
        <f>0</f>
        <v>0</v>
      </c>
      <c r="J91" s="8">
        <f>0</f>
        <v>0</v>
      </c>
      <c r="K91" s="8">
        <f>0</f>
        <v>0</v>
      </c>
      <c r="L91" s="8">
        <f>0</f>
        <v>0</v>
      </c>
      <c r="M91" s="8">
        <f>0</f>
        <v>0</v>
      </c>
      <c r="N91" s="8">
        <f>0</f>
        <v>0</v>
      </c>
      <c r="O91" s="8">
        <f>0</f>
        <v>0</v>
      </c>
      <c r="P91" s="8">
        <f>0</f>
        <v>0</v>
      </c>
      <c r="Q91" s="8">
        <f>0</f>
        <v>0</v>
      </c>
      <c r="T91"/>
      <c r="U91"/>
      <c r="V91"/>
      <c r="W91"/>
      <c r="X91"/>
      <c r="Y91"/>
      <c r="Z91"/>
      <c r="AA91"/>
      <c r="AB91"/>
      <c r="AC91"/>
      <c r="AD91"/>
      <c r="AE91"/>
      <c r="AF91"/>
    </row>
    <row r="92" spans="1:32" ht="15">
      <c r="A92" s="57" t="s">
        <v>227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T92"/>
      <c r="U92"/>
      <c r="V92"/>
      <c r="W92"/>
      <c r="X92"/>
      <c r="Y92"/>
      <c r="Z92"/>
      <c r="AA92"/>
      <c r="AB92"/>
      <c r="AC92"/>
      <c r="AD92"/>
      <c r="AE92"/>
      <c r="AF92"/>
    </row>
    <row r="93" spans="1:32" ht="15">
      <c r="A93" s="4" t="s">
        <v>228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T93"/>
      <c r="U93"/>
      <c r="V93"/>
      <c r="W93"/>
      <c r="X93"/>
      <c r="Y93"/>
      <c r="Z93"/>
      <c r="AA93"/>
      <c r="AB93"/>
      <c r="AC93"/>
      <c r="AD93"/>
      <c r="AE93"/>
      <c r="AF93"/>
    </row>
    <row r="94" spans="1:32" ht="15">
      <c r="A94" s="57" t="s">
        <v>229</v>
      </c>
      <c r="C94" s="17">
        <f t="shared" ref="C94:Q94" si="36">C87*-C14</f>
        <v>4.5918367346938764E-2</v>
      </c>
      <c r="D94" s="17">
        <f t="shared" si="36"/>
        <v>0.41067415730337109</v>
      </c>
      <c r="E94" s="17">
        <f t="shared" si="36"/>
        <v>0.54857142857142949</v>
      </c>
      <c r="F94" s="17">
        <f t="shared" si="36"/>
        <v>0.43636363636363634</v>
      </c>
      <c r="G94" s="17">
        <f t="shared" si="36"/>
        <v>0.92789968652037547</v>
      </c>
      <c r="H94" s="17">
        <f t="shared" si="36"/>
        <v>0.91874649999999991</v>
      </c>
      <c r="I94" s="17">
        <f t="shared" si="36"/>
        <v>0.93712143000000003</v>
      </c>
      <c r="J94" s="17">
        <f t="shared" si="36"/>
        <v>0.9558638586</v>
      </c>
      <c r="K94" s="17">
        <f t="shared" si="36"/>
        <v>0.97498113577199996</v>
      </c>
      <c r="L94" s="17">
        <f t="shared" si="36"/>
        <v>1.0809573461820001</v>
      </c>
      <c r="M94" s="17">
        <f t="shared" si="36"/>
        <v>1.1025764931056401</v>
      </c>
      <c r="N94" s="17">
        <f t="shared" si="36"/>
        <v>1.3495536275613034</v>
      </c>
      <c r="O94" s="17">
        <f t="shared" si="36"/>
        <v>1.3765447001125293</v>
      </c>
      <c r="P94" s="17">
        <f t="shared" si="36"/>
        <v>1.40407559411478</v>
      </c>
      <c r="Q94" s="17">
        <f t="shared" si="36"/>
        <v>1.4321571059970757</v>
      </c>
      <c r="T94"/>
      <c r="U94"/>
      <c r="V94"/>
      <c r="W94"/>
      <c r="X94"/>
      <c r="Y94"/>
      <c r="Z94"/>
      <c r="AA94"/>
      <c r="AB94"/>
      <c r="AC94"/>
      <c r="AD94"/>
      <c r="AE94"/>
      <c r="AF94"/>
    </row>
    <row r="95" spans="1:32" ht="15">
      <c r="A95" s="57" t="s">
        <v>230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T95"/>
      <c r="U95"/>
      <c r="V95"/>
      <c r="W95"/>
      <c r="X95"/>
      <c r="Y95"/>
      <c r="Z95"/>
      <c r="AA95"/>
      <c r="AB95"/>
      <c r="AC95"/>
      <c r="AD95"/>
      <c r="AE95"/>
      <c r="AF95"/>
    </row>
    <row r="96" spans="1:32" ht="15">
      <c r="A96" s="4" t="s">
        <v>231</v>
      </c>
      <c r="C96" s="17">
        <f>-(-C88-C90-C91-+C94+C95)</f>
        <v>0.54591836734693877</v>
      </c>
      <c r="D96" s="17">
        <f>D88-D90-D91+D94+D95</f>
        <v>4.7106741573033712</v>
      </c>
      <c r="E96" s="17">
        <f t="shared" ref="E96:Q96" si="37">E88-E90-E91+E94+E95</f>
        <v>3.7485714285714296</v>
      </c>
      <c r="F96" s="17">
        <f t="shared" si="37"/>
        <v>5.2363636363636363</v>
      </c>
      <c r="G96" s="17">
        <f t="shared" si="37"/>
        <v>8.9278996865203748</v>
      </c>
      <c r="H96" s="17">
        <f t="shared" si="37"/>
        <v>8.0127593011854614</v>
      </c>
      <c r="I96" s="17">
        <f t="shared" si="37"/>
        <v>8.4891774004771605</v>
      </c>
      <c r="J96" s="17">
        <f t="shared" si="37"/>
        <v>9.1683115925153409</v>
      </c>
      <c r="K96" s="17">
        <f t="shared" si="37"/>
        <v>9.9017765199165666</v>
      </c>
      <c r="L96" s="17">
        <f t="shared" si="37"/>
        <v>10.693918641509896</v>
      </c>
      <c r="M96" s="17">
        <f t="shared" si="37"/>
        <v>11.549432132830674</v>
      </c>
      <c r="N96" s="17">
        <f t="shared" si="37"/>
        <v>12.473386703457138</v>
      </c>
      <c r="O96" s="17">
        <f t="shared" si="37"/>
        <v>13.471257639733707</v>
      </c>
      <c r="P96" s="17">
        <f t="shared" si="37"/>
        <v>14.548958250912406</v>
      </c>
      <c r="Q96" s="17">
        <f t="shared" si="37"/>
        <v>15.712874910985398</v>
      </c>
      <c r="T96"/>
      <c r="U96"/>
      <c r="V96"/>
      <c r="W96"/>
      <c r="X96"/>
      <c r="Y96"/>
      <c r="Z96"/>
      <c r="AA96"/>
      <c r="AB96"/>
      <c r="AC96"/>
      <c r="AD96"/>
      <c r="AE96"/>
      <c r="AF96"/>
    </row>
    <row r="97" spans="1:32" ht="15">
      <c r="A97" s="4" t="s">
        <v>232</v>
      </c>
      <c r="C97" s="17">
        <f>C87*C85</f>
        <v>0.54591836734693877</v>
      </c>
      <c r="D97" s="17">
        <f t="shared" ref="D97:Q97" si="38">D87*D85</f>
        <v>4.7106741573033704</v>
      </c>
      <c r="E97" s="17">
        <f t="shared" si="38"/>
        <v>3.7485714285714296</v>
      </c>
      <c r="F97" s="17">
        <f t="shared" si="38"/>
        <v>5.2363636363636363</v>
      </c>
      <c r="G97" s="17">
        <f t="shared" si="38"/>
        <v>8.9278996865203748</v>
      </c>
      <c r="H97" s="17">
        <f t="shared" si="38"/>
        <v>8.0127593011854614</v>
      </c>
      <c r="I97" s="17">
        <f t="shared" si="38"/>
        <v>8.4891774004771605</v>
      </c>
      <c r="J97" s="17">
        <f t="shared" si="38"/>
        <v>9.1683115925153409</v>
      </c>
      <c r="K97" s="17">
        <f t="shared" si="38"/>
        <v>9.9017765199165666</v>
      </c>
      <c r="L97" s="17">
        <f t="shared" si="38"/>
        <v>10.693918641509896</v>
      </c>
      <c r="M97" s="17">
        <f t="shared" si="38"/>
        <v>11.549432132830674</v>
      </c>
      <c r="N97" s="17">
        <f t="shared" si="38"/>
        <v>12.473386703457138</v>
      </c>
      <c r="O97" s="17">
        <f t="shared" si="38"/>
        <v>13.471257639733707</v>
      </c>
      <c r="P97" s="17">
        <f t="shared" si="38"/>
        <v>14.548958250912406</v>
      </c>
      <c r="Q97" s="17">
        <f t="shared" si="38"/>
        <v>15.712874910985398</v>
      </c>
      <c r="T97"/>
      <c r="U97"/>
      <c r="V97"/>
      <c r="W97"/>
      <c r="X97"/>
      <c r="Y97"/>
      <c r="Z97"/>
      <c r="AA97"/>
      <c r="AB97"/>
      <c r="AC97"/>
      <c r="AD97"/>
      <c r="AE97"/>
      <c r="AF97"/>
    </row>
    <row r="98" spans="1:32" ht="15">
      <c r="A98" s="720" t="s">
        <v>826</v>
      </c>
      <c r="B98" s="58"/>
      <c r="C98" s="438"/>
      <c r="D98" s="439">
        <f>('Decomposed SFP'!D39-'Decomposed SFP'!D11)-('Decomposed SFP'!C39-'Decomposed SFP'!C11)</f>
        <v>-1</v>
      </c>
      <c r="E98" s="439">
        <f>('Decomposed SFP'!E39-'Decomposed SFP'!E11)-('Decomposed SFP'!D39-'Decomposed SFP'!D11)</f>
        <v>-3.7000000000000006</v>
      </c>
      <c r="F98" s="439">
        <f>('Decomposed SFP'!F39-'Decomposed SFP'!F11)-('Decomposed SFP'!E39-'Decomposed SFP'!E11)</f>
        <v>-1.4000000000000001</v>
      </c>
      <c r="G98" s="439">
        <f>('Decomposed SFP'!G39-'Decomposed SFP'!G11)-('Decomposed SFP'!F39-'Decomposed SFP'!F11)</f>
        <v>1.0000000000000002</v>
      </c>
      <c r="H98" s="439">
        <f>('Decomposed SFP'!H39-'Decomposed SFP'!H11)-('Decomposed SFP'!G39-'Decomposed SFP'!G11)</f>
        <v>1.3718245075964428</v>
      </c>
      <c r="I98" s="439">
        <f>('Decomposed SFP'!I39-'Decomposed SFP'!I11)-('Decomposed SFP'!H39-'Decomposed SFP'!H11)</f>
        <v>0.35944353520219563</v>
      </c>
      <c r="J98" s="439">
        <f>('Decomposed SFP'!J39-'Decomposed SFP'!J11)-('Decomposed SFP'!I39-'Decomposed SFP'!I11)</f>
        <v>0.38731343826701936</v>
      </c>
      <c r="K98" s="439">
        <f>('Decomposed SFP'!K39-'Decomposed SFP'!K11)-('Decomposed SFP'!J39-'Decomposed SFP'!J11)</f>
        <v>0.41739522198200385</v>
      </c>
      <c r="L98" s="439">
        <f>('Decomposed SFP'!L39-'Decomposed SFP'!L11)-('Decomposed SFP'!K39-'Decomposed SFP'!K11)</f>
        <v>0.4512274888234491</v>
      </c>
      <c r="M98" s="439">
        <f>('Decomposed SFP'!M39-'Decomposed SFP'!M11)-('Decomposed SFP'!L39-'Decomposed SFP'!L11)</f>
        <v>0.48630418323718372</v>
      </c>
      <c r="N98" s="439">
        <f>('Decomposed SFP'!N39-'Decomposed SFP'!N11)-('Decomposed SFP'!M39-'Decomposed SFP'!M11)</f>
        <v>0.52770916138252311</v>
      </c>
      <c r="O98" s="439">
        <f>('Decomposed SFP'!O39-'Decomposed SFP'!O11)-('Decomposed SFP'!N39-'Decomposed SFP'!N11)</f>
        <v>0.56865056611507825</v>
      </c>
      <c r="P98" s="439">
        <f>('Decomposed SFP'!P39-'Decomposed SFP'!P11)-('Decomposed SFP'!O39-'Decomposed SFP'!O11)</f>
        <v>0.61284177666267858</v>
      </c>
      <c r="Q98" s="439">
        <f>('Decomposed SFP'!Q39-'Decomposed SFP'!Q11)-('Decomposed SFP'!P39-'Decomposed SFP'!P11)</f>
        <v>0.66054226735925337</v>
      </c>
      <c r="T98"/>
      <c r="U98"/>
      <c r="V98"/>
      <c r="W98"/>
      <c r="X98"/>
      <c r="Y98"/>
      <c r="Z98"/>
      <c r="AA98"/>
      <c r="AB98"/>
      <c r="AC98"/>
      <c r="AD98"/>
      <c r="AE98"/>
      <c r="AF98"/>
    </row>
    <row r="99" spans="1:32" ht="15">
      <c r="A99" s="4" t="s">
        <v>233</v>
      </c>
      <c r="C99" s="17">
        <f>C96</f>
        <v>0.54591836734693877</v>
      </c>
      <c r="D99" s="17">
        <f>D96</f>
        <v>4.7106741573033712</v>
      </c>
      <c r="E99" s="17">
        <f t="shared" ref="E99:Q99" si="39">E96</f>
        <v>3.7485714285714296</v>
      </c>
      <c r="F99" s="17">
        <f t="shared" si="39"/>
        <v>5.2363636363636363</v>
      </c>
      <c r="G99" s="17">
        <f t="shared" si="39"/>
        <v>8.9278996865203748</v>
      </c>
      <c r="H99" s="17">
        <f t="shared" si="39"/>
        <v>8.0127593011854614</v>
      </c>
      <c r="I99" s="17">
        <f t="shared" si="39"/>
        <v>8.4891774004771605</v>
      </c>
      <c r="J99" s="17">
        <f t="shared" si="39"/>
        <v>9.1683115925153409</v>
      </c>
      <c r="K99" s="17">
        <f t="shared" si="39"/>
        <v>9.9017765199165666</v>
      </c>
      <c r="L99" s="17">
        <f t="shared" si="39"/>
        <v>10.693918641509896</v>
      </c>
      <c r="M99" s="17">
        <f t="shared" si="39"/>
        <v>11.549432132830674</v>
      </c>
      <c r="N99" s="17">
        <f t="shared" si="39"/>
        <v>12.473386703457138</v>
      </c>
      <c r="O99" s="17">
        <f t="shared" si="39"/>
        <v>13.471257639733707</v>
      </c>
      <c r="P99" s="17">
        <f t="shared" si="39"/>
        <v>14.548958250912406</v>
      </c>
      <c r="Q99" s="17">
        <f t="shared" si="39"/>
        <v>15.712874910985398</v>
      </c>
      <c r="T99"/>
      <c r="U99"/>
      <c r="V99"/>
      <c r="W99"/>
      <c r="X99"/>
      <c r="Y99"/>
      <c r="Z99"/>
      <c r="AA99"/>
      <c r="AB99"/>
      <c r="AC99"/>
      <c r="AD99"/>
      <c r="AE99"/>
      <c r="AF99"/>
    </row>
    <row r="100" spans="1:32" ht="15">
      <c r="A100" s="4" t="s">
        <v>234</v>
      </c>
      <c r="C100" s="61">
        <f>C99/C85</f>
        <v>2.5510204081632647E-2</v>
      </c>
      <c r="D100" s="61">
        <f>D99/D85</f>
        <v>0.24157303370786537</v>
      </c>
      <c r="E100" s="61">
        <f t="shared" ref="E100:Q100" si="40">E99/E85</f>
        <v>0.18285714285714316</v>
      </c>
      <c r="F100" s="61">
        <f t="shared" si="40"/>
        <v>0.17454545454545453</v>
      </c>
      <c r="G100" s="61">
        <f t="shared" si="40"/>
        <v>0.25078369905956094</v>
      </c>
      <c r="H100" s="61">
        <f t="shared" si="40"/>
        <v>0.25</v>
      </c>
      <c r="I100" s="61">
        <f t="shared" si="40"/>
        <v>0.25</v>
      </c>
      <c r="J100" s="61">
        <f t="shared" si="40"/>
        <v>0.25</v>
      </c>
      <c r="K100" s="61">
        <f t="shared" si="40"/>
        <v>0.25</v>
      </c>
      <c r="L100" s="61">
        <f t="shared" si="40"/>
        <v>0.25</v>
      </c>
      <c r="M100" s="61">
        <f t="shared" si="40"/>
        <v>0.25</v>
      </c>
      <c r="N100" s="61">
        <f t="shared" si="40"/>
        <v>0.25</v>
      </c>
      <c r="O100" s="61">
        <f t="shared" si="40"/>
        <v>0.25</v>
      </c>
      <c r="P100" s="61">
        <f t="shared" si="40"/>
        <v>0.25</v>
      </c>
      <c r="Q100" s="61">
        <f t="shared" si="40"/>
        <v>0.25</v>
      </c>
      <c r="T100"/>
      <c r="U100"/>
      <c r="V100"/>
      <c r="W100"/>
      <c r="X100"/>
      <c r="Y100"/>
      <c r="Z100"/>
      <c r="AA100"/>
      <c r="AB100"/>
      <c r="AC100"/>
      <c r="AD100"/>
      <c r="AE100"/>
      <c r="AF100"/>
    </row>
    <row r="101" spans="1:32" ht="15">
      <c r="A101" s="10" t="s">
        <v>163</v>
      </c>
      <c r="B101" s="59"/>
      <c r="C101" s="12">
        <f>C85+C99</f>
        <v>21.945918367346945</v>
      </c>
      <c r="D101" s="12">
        <f>D85-D99</f>
        <v>14.789325842696615</v>
      </c>
      <c r="E101" s="12">
        <f t="shared" ref="E101:Q101" si="41">E85-E99</f>
        <v>16.751428571428541</v>
      </c>
      <c r="F101" s="12">
        <f t="shared" si="41"/>
        <v>24.763636363636365</v>
      </c>
      <c r="G101" s="12">
        <f t="shared" si="41"/>
        <v>26.672100313479646</v>
      </c>
      <c r="H101" s="12">
        <f t="shared" si="41"/>
        <v>24.038277903556384</v>
      </c>
      <c r="I101" s="12">
        <f t="shared" si="41"/>
        <v>25.467532201431482</v>
      </c>
      <c r="J101" s="12">
        <f t="shared" si="41"/>
        <v>27.504934777546023</v>
      </c>
      <c r="K101" s="12">
        <f t="shared" si="41"/>
        <v>29.7053295597497</v>
      </c>
      <c r="L101" s="12">
        <f t="shared" si="41"/>
        <v>32.081755924529688</v>
      </c>
      <c r="M101" s="12">
        <f t="shared" si="41"/>
        <v>34.648296398492022</v>
      </c>
      <c r="N101" s="12">
        <f t="shared" si="41"/>
        <v>37.420160110371413</v>
      </c>
      <c r="O101" s="12">
        <f t="shared" si="41"/>
        <v>40.413772919201122</v>
      </c>
      <c r="P101" s="12">
        <f t="shared" si="41"/>
        <v>43.646874752737219</v>
      </c>
      <c r="Q101" s="12">
        <f t="shared" si="41"/>
        <v>47.138624732956195</v>
      </c>
      <c r="T101"/>
      <c r="U101"/>
      <c r="V101"/>
      <c r="W101"/>
      <c r="X101"/>
      <c r="Y101"/>
      <c r="Z101"/>
      <c r="AA101"/>
      <c r="AB101"/>
      <c r="AC101"/>
      <c r="AD101"/>
      <c r="AE101"/>
      <c r="AF101"/>
    </row>
    <row r="102" spans="1:32" ht="15">
      <c r="A102" s="4" t="s">
        <v>235</v>
      </c>
      <c r="C102" s="8"/>
      <c r="D102" s="61">
        <f>D101/C101-1</f>
        <v>-0.32610130070011256</v>
      </c>
      <c r="E102" s="61">
        <f t="shared" ref="E102:G102" si="42">E101/D101-1</f>
        <v>0.13267019400352642</v>
      </c>
      <c r="F102" s="61">
        <f t="shared" si="42"/>
        <v>0.47829997053944129</v>
      </c>
      <c r="G102" s="61">
        <f t="shared" si="42"/>
        <v>7.7067193275609736E-2</v>
      </c>
      <c r="H102" s="61">
        <f t="shared" ref="H102" si="43">H101/G101-1</f>
        <v>-9.8748219261614367E-2</v>
      </c>
      <c r="I102" s="61">
        <f t="shared" ref="I102" si="44">I101/H101-1</f>
        <v>5.9457432999542981E-2</v>
      </c>
      <c r="J102" s="61">
        <f t="shared" ref="J102" si="45">J101/I101-1</f>
        <v>8.0000000000000959E-2</v>
      </c>
      <c r="K102" s="61">
        <f t="shared" ref="K102" si="46">K101/J101-1</f>
        <v>7.9999999999999849E-2</v>
      </c>
      <c r="L102" s="61">
        <f t="shared" ref="L102" si="47">L101/K101-1</f>
        <v>8.0000000000000293E-2</v>
      </c>
      <c r="M102" s="61">
        <f t="shared" ref="M102" si="48">M101/L101-1</f>
        <v>7.9999999999998739E-2</v>
      </c>
      <c r="N102" s="61">
        <f t="shared" ref="N102" si="49">N101/M101-1</f>
        <v>8.0000000000000737E-2</v>
      </c>
      <c r="O102" s="61">
        <f t="shared" ref="O102" si="50">O101/N101-1</f>
        <v>7.9999999999999849E-2</v>
      </c>
      <c r="P102" s="61">
        <f t="shared" ref="P102" si="51">P101/O101-1</f>
        <v>8.0000000000000071E-2</v>
      </c>
      <c r="Q102" s="61">
        <f t="shared" ref="Q102" si="52">Q101/P101-1</f>
        <v>8.0000000000000071E-2</v>
      </c>
      <c r="T102"/>
      <c r="U102"/>
      <c r="V102"/>
      <c r="W102"/>
      <c r="X102"/>
      <c r="Y102"/>
      <c r="Z102"/>
      <c r="AA102"/>
      <c r="AB102"/>
      <c r="AC102"/>
      <c r="AD102"/>
      <c r="AE102"/>
      <c r="AF102"/>
    </row>
    <row r="103" spans="1:32" ht="15">
      <c r="A103" s="5" t="s">
        <v>236</v>
      </c>
      <c r="C103" s="60">
        <f>C101/C84</f>
        <v>8.1011141998327596E-2</v>
      </c>
      <c r="D103" s="60">
        <f>D61/AVERAGE('Decomposed SFP'!C88:D88)</f>
        <v>5.4694252376836595E-2</v>
      </c>
      <c r="E103" s="60">
        <f>E61/AVERAGE('Decomposed SFP'!D88:E88)</f>
        <v>5.4609384095936561E-2</v>
      </c>
      <c r="F103" s="60">
        <f>F61/AVERAGE('Decomposed SFP'!E88:F88)</f>
        <v>7.3146171506827243E-2</v>
      </c>
      <c r="G103" s="60">
        <f>G61/AVERAGE('Decomposed SFP'!F88:G88)</f>
        <v>6.7824794185580795E-2</v>
      </c>
      <c r="H103" s="60">
        <f>H61/AVERAGE('Decomposed SFP'!G88:H88)</f>
        <v>5.2806490496933076E-2</v>
      </c>
      <c r="I103" s="60">
        <f>I61/AVERAGE('Decomposed SFP'!H88:I88)</f>
        <v>5.4975162710989713E-2</v>
      </c>
      <c r="J103" s="60">
        <f>J61/AVERAGE('Decomposed SFP'!I88:J88)</f>
        <v>5.7867829971156144E-2</v>
      </c>
      <c r="K103" s="60">
        <f>K61/AVERAGE('Decomposed SFP'!J88:K88)</f>
        <v>6.0848630221646514E-2</v>
      </c>
      <c r="L103" s="60">
        <f>L61/AVERAGE('Decomposed SFP'!K88:L88)</f>
        <v>6.3919620344544792E-2</v>
      </c>
      <c r="M103" s="60">
        <f>M61/AVERAGE('Decomposed SFP'!L88:M88)</f>
        <v>6.7077016034616313E-2</v>
      </c>
      <c r="N103" s="60">
        <f>N61/AVERAGE('Decomposed SFP'!M88:N88)</f>
        <v>7.0325792577694959E-2</v>
      </c>
      <c r="O103" s="60">
        <f>O61/AVERAGE('Decomposed SFP'!N88:O88)</f>
        <v>7.3661476093693057E-2</v>
      </c>
      <c r="P103" s="60">
        <f>P61/AVERAGE('Decomposed SFP'!O88:P88)</f>
        <v>7.7063090181980307E-2</v>
      </c>
      <c r="Q103" s="60">
        <f>Q61/AVERAGE('Decomposed SFP'!P88:Q88)</f>
        <v>8.0523838474312145E-2</v>
      </c>
      <c r="T103"/>
      <c r="U103"/>
      <c r="V103"/>
      <c r="W103"/>
      <c r="X103"/>
      <c r="Y103"/>
      <c r="Z103"/>
      <c r="AA103"/>
      <c r="AB103"/>
      <c r="AC103"/>
      <c r="AD103"/>
      <c r="AE103"/>
      <c r="AF103"/>
    </row>
    <row r="104" spans="1:32" ht="15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T104"/>
      <c r="U104"/>
      <c r="V104"/>
      <c r="W104"/>
      <c r="X104"/>
      <c r="Y104"/>
      <c r="Z104"/>
      <c r="AA104"/>
      <c r="AB104"/>
      <c r="AC104"/>
      <c r="AD104"/>
      <c r="AE104"/>
      <c r="AF104"/>
    </row>
    <row r="105" spans="1:32" ht="15">
      <c r="C105" s="53"/>
      <c r="D105" s="53"/>
      <c r="E105" s="53"/>
      <c r="F105" s="53"/>
      <c r="G105" s="53"/>
      <c r="T105"/>
      <c r="U105"/>
      <c r="V105"/>
      <c r="W105"/>
      <c r="X105"/>
      <c r="Y105"/>
      <c r="Z105"/>
      <c r="AA105"/>
      <c r="AB105"/>
      <c r="AC105"/>
      <c r="AD105"/>
      <c r="AE105"/>
      <c r="AF105"/>
    </row>
    <row r="106" spans="1:32" ht="15">
      <c r="T106"/>
      <c r="U106"/>
      <c r="V106"/>
      <c r="W106"/>
      <c r="X106"/>
      <c r="Y106"/>
      <c r="Z106"/>
      <c r="AA106"/>
      <c r="AB106"/>
      <c r="AC106"/>
      <c r="AD106"/>
      <c r="AE106"/>
      <c r="AF106"/>
    </row>
    <row r="107" spans="1:32" ht="15">
      <c r="J107" s="69"/>
      <c r="T107"/>
      <c r="U107"/>
      <c r="V107"/>
      <c r="W107"/>
      <c r="X107"/>
      <c r="Y107"/>
      <c r="Z107"/>
      <c r="AA107"/>
      <c r="AB107"/>
      <c r="AC107"/>
      <c r="AD107"/>
      <c r="AE107"/>
      <c r="AF107"/>
    </row>
    <row r="108" spans="1:32">
      <c r="L108" s="69"/>
    </row>
    <row r="109" spans="1:32">
      <c r="J109" s="69"/>
    </row>
    <row r="115" spans="1:17" ht="18">
      <c r="A115" s="172" t="s">
        <v>829</v>
      </c>
      <c r="B115" s="28"/>
      <c r="C115" s="73">
        <f t="shared" ref="C115:Q115" si="53">C50</f>
        <v>2018</v>
      </c>
      <c r="D115" s="73">
        <f t="shared" si="53"/>
        <v>2019</v>
      </c>
      <c r="E115" s="73">
        <f t="shared" si="53"/>
        <v>2020</v>
      </c>
      <c r="F115" s="73">
        <f t="shared" si="53"/>
        <v>2021</v>
      </c>
      <c r="G115" s="73">
        <f t="shared" si="53"/>
        <v>2022</v>
      </c>
      <c r="H115" s="168">
        <f t="shared" si="53"/>
        <v>2023</v>
      </c>
      <c r="I115" s="168">
        <f t="shared" si="53"/>
        <v>2024</v>
      </c>
      <c r="J115" s="168">
        <f t="shared" si="53"/>
        <v>2025</v>
      </c>
      <c r="K115" s="168">
        <f t="shared" si="53"/>
        <v>2026</v>
      </c>
      <c r="L115" s="168">
        <f t="shared" si="53"/>
        <v>2027</v>
      </c>
      <c r="M115" s="168">
        <f t="shared" si="53"/>
        <v>2028</v>
      </c>
      <c r="N115" s="168">
        <f t="shared" si="53"/>
        <v>2029</v>
      </c>
      <c r="O115" s="168">
        <f t="shared" si="53"/>
        <v>2030</v>
      </c>
      <c r="P115" s="168">
        <f t="shared" si="53"/>
        <v>2031</v>
      </c>
      <c r="Q115" s="168">
        <f t="shared" si="53"/>
        <v>2032</v>
      </c>
    </row>
    <row r="116" spans="1:17">
      <c r="A116" s="46" t="s">
        <v>0</v>
      </c>
      <c r="B116" s="46"/>
      <c r="C116" s="61">
        <f>'IS normalized'!C4/'IS normalized'!C$4</f>
        <v>1</v>
      </c>
      <c r="D116" s="61">
        <f>'IS normalized'!D4/'IS normalized'!D$4</f>
        <v>1</v>
      </c>
      <c r="E116" s="61">
        <f>'IS normalized'!E4/'IS normalized'!E$4</f>
        <v>1</v>
      </c>
      <c r="F116" s="61">
        <f>'IS normalized'!F4/'IS normalized'!F$4</f>
        <v>1</v>
      </c>
      <c r="G116" s="61">
        <f>'IS normalized'!G4/'IS normalized'!G$4</f>
        <v>1</v>
      </c>
      <c r="H116" s="61">
        <f t="shared" ref="H116:Q116" si="54">H52/H$52</f>
        <v>1</v>
      </c>
      <c r="I116" s="61">
        <f t="shared" si="54"/>
        <v>1</v>
      </c>
      <c r="J116" s="61">
        <f t="shared" si="54"/>
        <v>1</v>
      </c>
      <c r="K116" s="61">
        <f t="shared" si="54"/>
        <v>1</v>
      </c>
      <c r="L116" s="61">
        <f t="shared" si="54"/>
        <v>1</v>
      </c>
      <c r="M116" s="61">
        <f t="shared" si="54"/>
        <v>1</v>
      </c>
      <c r="N116" s="61">
        <f t="shared" si="54"/>
        <v>1</v>
      </c>
      <c r="O116" s="61">
        <f t="shared" si="54"/>
        <v>1</v>
      </c>
      <c r="P116" s="61">
        <f t="shared" si="54"/>
        <v>1</v>
      </c>
      <c r="Q116" s="61">
        <f t="shared" si="54"/>
        <v>1</v>
      </c>
    </row>
    <row r="117" spans="1:17">
      <c r="A117" s="47" t="s">
        <v>1</v>
      </c>
      <c r="B117" s="47"/>
      <c r="C117" s="61">
        <f>-'IS normalized'!C5/'IS normalized'!C$4</f>
        <v>0.5884120171673819</v>
      </c>
      <c r="D117" s="61">
        <f>-'IS normalized'!D5/'IS normalized'!D$4</f>
        <v>0.59393697646589549</v>
      </c>
      <c r="E117" s="61">
        <f>-'IS normalized'!E5/'IS normalized'!E$4</f>
        <v>0.60409556313993185</v>
      </c>
      <c r="F117" s="61">
        <f>-'IS normalized'!F5/'IS normalized'!F$4</f>
        <v>0.59112754158964886</v>
      </c>
      <c r="G117" s="61">
        <f>-'IS normalized'!G5/'IS normalized'!G$4</f>
        <v>0.57878017789072422</v>
      </c>
      <c r="H117" s="61">
        <f>Assumptions!I6</f>
        <v>0.59127045525071653</v>
      </c>
      <c r="I117" s="61">
        <f>Assumptions!J6</f>
        <v>0.59127045525071653</v>
      </c>
      <c r="J117" s="61">
        <f>Assumptions!K6</f>
        <v>0.59127045525071653</v>
      </c>
      <c r="K117" s="61">
        <f>Assumptions!L6</f>
        <v>0.59127045525071653</v>
      </c>
      <c r="L117" s="61">
        <f>Assumptions!M6</f>
        <v>0.59127045525071653</v>
      </c>
      <c r="M117" s="61">
        <f>Assumptions!N6</f>
        <v>0.59127045525071653</v>
      </c>
      <c r="N117" s="61">
        <f>Assumptions!O6</f>
        <v>0.59127045525071653</v>
      </c>
      <c r="O117" s="61">
        <f>Assumptions!P6</f>
        <v>0.59127045525071653</v>
      </c>
      <c r="P117" s="61">
        <f>Assumptions!Q6</f>
        <v>0.59127045525071653</v>
      </c>
      <c r="Q117" s="61">
        <f>Assumptions!R6</f>
        <v>0.59127045525071653</v>
      </c>
    </row>
    <row r="118" spans="1:17">
      <c r="A118" s="48" t="s">
        <v>2</v>
      </c>
      <c r="B118" s="48"/>
      <c r="C118" s="520">
        <f>'IS normalized'!C6/'IS normalized'!C$4</f>
        <v>0.41158798283261805</v>
      </c>
      <c r="D118" s="520">
        <f>'IS normalized'!D6/'IS normalized'!D$4</f>
        <v>0.40606302353410445</v>
      </c>
      <c r="E118" s="520">
        <f>'IS normalized'!E6/'IS normalized'!E$4</f>
        <v>0.39590443686006821</v>
      </c>
      <c r="F118" s="520">
        <f>'IS normalized'!F6/'IS normalized'!F$4</f>
        <v>0.40887245841035119</v>
      </c>
      <c r="G118" s="520">
        <f>'IS normalized'!G6/'IS normalized'!G$4</f>
        <v>0.42121982210927578</v>
      </c>
      <c r="H118" s="521">
        <f>H6/H$4</f>
        <v>0.40872954474928347</v>
      </c>
      <c r="I118" s="521">
        <f t="shared" ref="I118:Q118" si="55">I6/I$4</f>
        <v>0.40872954474928341</v>
      </c>
      <c r="J118" s="521">
        <f t="shared" si="55"/>
        <v>0.40872954474928347</v>
      </c>
      <c r="K118" s="521">
        <f t="shared" si="55"/>
        <v>0.40872954474928352</v>
      </c>
      <c r="L118" s="521">
        <f t="shared" si="55"/>
        <v>0.40872954474928352</v>
      </c>
      <c r="M118" s="521">
        <f t="shared" si="55"/>
        <v>0.40872954474928347</v>
      </c>
      <c r="N118" s="521">
        <f t="shared" si="55"/>
        <v>0.40872954474928347</v>
      </c>
      <c r="O118" s="521">
        <f t="shared" si="55"/>
        <v>0.40872954474928347</v>
      </c>
      <c r="P118" s="521">
        <f t="shared" si="55"/>
        <v>0.40872954474928347</v>
      </c>
      <c r="Q118" s="521">
        <f t="shared" si="55"/>
        <v>0.40872954474928341</v>
      </c>
    </row>
    <row r="119" spans="1:17">
      <c r="A119" s="47" t="s">
        <v>134</v>
      </c>
      <c r="B119" s="47"/>
      <c r="C119" s="61"/>
      <c r="D119" s="61"/>
      <c r="E119" s="61"/>
      <c r="F119" s="61"/>
      <c r="G119" s="61"/>
      <c r="H119" s="63"/>
      <c r="I119" s="63"/>
      <c r="J119" s="63"/>
      <c r="K119" s="63"/>
      <c r="L119" s="63"/>
      <c r="M119" s="63"/>
      <c r="N119" s="63"/>
      <c r="O119" s="63"/>
      <c r="P119" s="63"/>
      <c r="Q119" s="63"/>
    </row>
    <row r="120" spans="1:17">
      <c r="A120" s="47" t="s">
        <v>3</v>
      </c>
      <c r="B120" s="47"/>
      <c r="C120" s="61">
        <f>-'IS normalized'!C9/'IS normalized'!C$4</f>
        <v>4.034334763948498E-2</v>
      </c>
      <c r="D120" s="61">
        <f>-'IS normalized'!D9/'IS normalized'!D$4</f>
        <v>7.578779417630635E-2</v>
      </c>
      <c r="E120" s="61">
        <f>-'IS normalized'!E9/'IS normalized'!E$4</f>
        <v>8.9495638983693601E-2</v>
      </c>
      <c r="F120" s="61">
        <f>-'IS normalized'!F9/'IS normalized'!F$4</f>
        <v>7.2828096118299449E-2</v>
      </c>
      <c r="G120" s="61">
        <f>-'IS normalized'!G9/'IS normalized'!G$4</f>
        <v>6.2579415501905974E-2</v>
      </c>
      <c r="H120" s="63">
        <f>-H9/H$4</f>
        <v>6.8206858483938065E-2</v>
      </c>
      <c r="I120" s="63">
        <f t="shared" ref="I120:Q120" si="56">-I9/I$4</f>
        <v>7.0000000000000007E-2</v>
      </c>
      <c r="J120" s="63">
        <f t="shared" si="56"/>
        <v>7.0000000000000007E-2</v>
      </c>
      <c r="K120" s="63">
        <f t="shared" si="56"/>
        <v>7.0000000000000007E-2</v>
      </c>
      <c r="L120" s="63">
        <f t="shared" si="56"/>
        <v>7.0000000000000007E-2</v>
      </c>
      <c r="M120" s="63">
        <f t="shared" si="56"/>
        <v>7.0000000000000007E-2</v>
      </c>
      <c r="N120" s="63">
        <f t="shared" si="56"/>
        <v>7.0000000000000007E-2</v>
      </c>
      <c r="O120" s="63">
        <f t="shared" si="56"/>
        <v>7.0000000000000007E-2</v>
      </c>
      <c r="P120" s="63">
        <f t="shared" si="56"/>
        <v>7.0000000000000007E-2</v>
      </c>
      <c r="Q120" s="63">
        <f t="shared" si="56"/>
        <v>7.0000000000000007E-2</v>
      </c>
    </row>
    <row r="121" spans="1:17">
      <c r="A121" s="47" t="s">
        <v>4</v>
      </c>
      <c r="B121" s="47"/>
      <c r="C121" s="61">
        <f>-'IS normalized'!C10/'IS normalized'!C$4</f>
        <v>0.27939914163090124</v>
      </c>
      <c r="D121" s="61">
        <f>-'IS normalized'!D10/'IS normalized'!D$4</f>
        <v>0.25249301954527326</v>
      </c>
      <c r="E121" s="61">
        <f>-'IS normalized'!E10/'IS normalized'!E$4</f>
        <v>0.22866894197952217</v>
      </c>
      <c r="F121" s="61">
        <f>-'IS normalized'!F10/'IS normalized'!F$4</f>
        <v>0.22513863216266172</v>
      </c>
      <c r="G121" s="61">
        <f>-'IS normalized'!G10/'IS normalized'!G$4</f>
        <v>0.24555273189326554</v>
      </c>
      <c r="H121" s="61">
        <f>-'IS normalized'!H10/'IS normalized'!H$4</f>
        <v>0.24625049344232477</v>
      </c>
      <c r="I121" s="61">
        <f>-'IS normalized'!I10/'IS normalized'!I$4</f>
        <v>0.24625049344232475</v>
      </c>
      <c r="J121" s="61">
        <f>-'IS normalized'!J10/'IS normalized'!J$4</f>
        <v>0.24625049344232477</v>
      </c>
      <c r="K121" s="61">
        <f>-'IS normalized'!K10/'IS normalized'!K$4</f>
        <v>0.24625049344232477</v>
      </c>
      <c r="L121" s="61">
        <f>-'IS normalized'!L10/'IS normalized'!L$4</f>
        <v>0.24625049344232477</v>
      </c>
      <c r="M121" s="61">
        <f>-'IS normalized'!M10/'IS normalized'!M$4</f>
        <v>0.24625049344232477</v>
      </c>
      <c r="N121" s="61">
        <f>-'IS normalized'!N10/'IS normalized'!N$4</f>
        <v>0.24625049344232477</v>
      </c>
      <c r="O121" s="61">
        <f>-'IS normalized'!O10/'IS normalized'!O$4</f>
        <v>0.24625049344232477</v>
      </c>
      <c r="P121" s="61">
        <f>-'IS normalized'!P10/'IS normalized'!P$4</f>
        <v>0.24625049344232477</v>
      </c>
      <c r="Q121" s="61">
        <f>-'IS normalized'!Q10/'IS normalized'!Q$4</f>
        <v>0.24625049344232475</v>
      </c>
    </row>
    <row r="122" spans="1:17">
      <c r="A122" s="46" t="s">
        <v>135</v>
      </c>
      <c r="B122" s="47"/>
      <c r="C122" s="61">
        <f>-'IS normalized'!C11/'IS normalized'!C$4</f>
        <v>0.31974248927038629</v>
      </c>
      <c r="D122" s="61">
        <f>-'IS normalized'!D11/'IS normalized'!D$4</f>
        <v>0.32828081372157958</v>
      </c>
      <c r="E122" s="61">
        <f>-'IS normalized'!E11/'IS normalized'!E$4</f>
        <v>0.31816458096321582</v>
      </c>
      <c r="F122" s="61">
        <f>-'IS normalized'!F11/'IS normalized'!F$4</f>
        <v>0.29796672828096116</v>
      </c>
      <c r="G122" s="61">
        <f>-'IS normalized'!G11/'IS normalized'!G$4</f>
        <v>0.30813214739517153</v>
      </c>
      <c r="H122" s="61">
        <f>-'IS normalized'!H11/'IS normalized'!H$4</f>
        <v>0.3144573519262629</v>
      </c>
      <c r="I122" s="61">
        <f>-'IS normalized'!I11/'IS normalized'!I$4</f>
        <v>0.31625049344232475</v>
      </c>
      <c r="J122" s="61">
        <f>-'IS normalized'!J11/'IS normalized'!J$4</f>
        <v>0.31625049344232475</v>
      </c>
      <c r="K122" s="61">
        <f>-'IS normalized'!K11/'IS normalized'!K$4</f>
        <v>0.31625049344232481</v>
      </c>
      <c r="L122" s="61">
        <f>-'IS normalized'!L11/'IS normalized'!L$4</f>
        <v>0.31625049344232475</v>
      </c>
      <c r="M122" s="61">
        <f>-'IS normalized'!M11/'IS normalized'!M$4</f>
        <v>0.31625049344232481</v>
      </c>
      <c r="N122" s="61">
        <f>-'IS normalized'!N11/'IS normalized'!N$4</f>
        <v>0.31625049344232475</v>
      </c>
      <c r="O122" s="61">
        <f>-'IS normalized'!O11/'IS normalized'!O$4</f>
        <v>0.31625049344232481</v>
      </c>
      <c r="P122" s="61">
        <f>-'IS normalized'!P11/'IS normalized'!P$4</f>
        <v>0.31625049344232481</v>
      </c>
      <c r="Q122" s="61">
        <f>-'IS normalized'!Q11/'IS normalized'!Q$4</f>
        <v>0.31625049344232475</v>
      </c>
    </row>
    <row r="123" spans="1:17">
      <c r="A123" s="48" t="s">
        <v>8</v>
      </c>
      <c r="B123" s="48"/>
      <c r="C123" s="520">
        <f>'IS normalized'!C12/'IS normalized'!C$4</f>
        <v>9.1845493562231789E-2</v>
      </c>
      <c r="D123" s="520">
        <f>'IS normalized'!D12/'IS normalized'!D$4</f>
        <v>7.7782209812524872E-2</v>
      </c>
      <c r="E123" s="520">
        <f>'IS normalized'!E12/'IS normalized'!E$4</f>
        <v>7.7739855896852381E-2</v>
      </c>
      <c r="F123" s="520">
        <f>'IS normalized'!F12/'IS normalized'!F$4</f>
        <v>0.11090573012939002</v>
      </c>
      <c r="G123" s="520">
        <f>'IS normalized'!G12/'IS normalized'!G$4</f>
        <v>0.11308767471410426</v>
      </c>
      <c r="H123" s="520">
        <f>'IS normalized'!H12/'IS normalized'!H$4</f>
        <v>9.4272192823020615E-2</v>
      </c>
      <c r="I123" s="520">
        <f>'IS normalized'!I12/'IS normalized'!I$4</f>
        <v>9.2479051306958659E-2</v>
      </c>
      <c r="J123" s="520">
        <f>'IS normalized'!J12/'IS normalized'!J$4</f>
        <v>9.2479051306958729E-2</v>
      </c>
      <c r="K123" s="520">
        <f>'IS normalized'!K12/'IS normalized'!K$4</f>
        <v>9.2479051306958715E-2</v>
      </c>
      <c r="L123" s="520">
        <f>'IS normalized'!L12/'IS normalized'!L$4</f>
        <v>9.2479051306958743E-2</v>
      </c>
      <c r="M123" s="520">
        <f>'IS normalized'!M12/'IS normalized'!M$4</f>
        <v>9.2479051306958632E-2</v>
      </c>
      <c r="N123" s="520">
        <f>'IS normalized'!N12/'IS normalized'!N$4</f>
        <v>9.2479051306958687E-2</v>
      </c>
      <c r="O123" s="520">
        <f>'IS normalized'!O12/'IS normalized'!O$4</f>
        <v>9.2479051306958673E-2</v>
      </c>
      <c r="P123" s="520">
        <f>'IS normalized'!P12/'IS normalized'!P$4</f>
        <v>9.2479051306958673E-2</v>
      </c>
      <c r="Q123" s="520">
        <f>'IS normalized'!Q12/'IS normalized'!Q$4</f>
        <v>9.2479051306958673E-2</v>
      </c>
    </row>
    <row r="124" spans="1:17">
      <c r="A124" s="47" t="s">
        <v>9</v>
      </c>
      <c r="B124" s="47"/>
      <c r="C124" s="61">
        <f>-'IS normalized'!C14/'IS normalized'!C$4</f>
        <v>7.725321888412017E-3</v>
      </c>
      <c r="D124" s="61">
        <f>-'IS normalized'!D14/'IS normalized'!D$4</f>
        <v>6.7810131631431993E-3</v>
      </c>
      <c r="E124" s="61">
        <f>-'IS normalized'!E14/'IS normalized'!E$4</f>
        <v>1.1376564277588168E-2</v>
      </c>
      <c r="F124" s="61">
        <f>-'IS normalized'!F14/'IS normalized'!F$4</f>
        <v>9.242144177449169E-3</v>
      </c>
      <c r="G124" s="61">
        <f>-'IS normalized'!G14/'IS normalized'!G$4</f>
        <v>1.1753494282083863E-2</v>
      </c>
      <c r="H124" s="61">
        <f>-'IS normalized'!H14/'IS normalized'!H$4</f>
        <v>1.080929102546002E-2</v>
      </c>
      <c r="I124" s="61">
        <f>-'IS normalized'!I14/'IS normalized'!I$4</f>
        <v>1.0208774857378908E-2</v>
      </c>
      <c r="J124" s="61">
        <f>-'IS normalized'!J14/'IS normalized'!J$4</f>
        <v>9.6416206986356338E-3</v>
      </c>
      <c r="K124" s="61">
        <f>-'IS normalized'!K14/'IS normalized'!K$4</f>
        <v>9.1059751042669879E-3</v>
      </c>
      <c r="L124" s="61">
        <f>-'IS normalized'!L14/'IS normalized'!L$4</f>
        <v>9.3479213026895422E-3</v>
      </c>
      <c r="M124" s="61">
        <f>-'IS normalized'!M14/'IS normalized'!M$4</f>
        <v>8.8285923414290115E-3</v>
      </c>
      <c r="N124" s="61">
        <f>-'IS normalized'!N14/'IS normalized'!N$4</f>
        <v>1.0005737986952876E-2</v>
      </c>
      <c r="O124" s="61">
        <f>-'IS normalized'!O14/'IS normalized'!O$4</f>
        <v>9.4498636543443818E-3</v>
      </c>
      <c r="P124" s="61">
        <f>-'IS normalized'!P14/'IS normalized'!P$4</f>
        <v>8.9248712291030274E-3</v>
      </c>
      <c r="Q124" s="61">
        <f>-'IS normalized'!Q14/'IS normalized'!Q$4</f>
        <v>8.4290450497084141E-3</v>
      </c>
    </row>
    <row r="125" spans="1:17">
      <c r="A125" s="46" t="s">
        <v>10</v>
      </c>
      <c r="B125" s="46"/>
      <c r="C125" s="61">
        <f>'IS normalized'!C15/'IS normalized'!C$4</f>
        <v>8.4120171673819757E-2</v>
      </c>
      <c r="D125" s="61">
        <f>'IS normalized'!D15/'IS normalized'!D$4</f>
        <v>7.1001196649381676E-2</v>
      </c>
      <c r="E125" s="61">
        <f>'IS normalized'!E15/'IS normalized'!E$4</f>
        <v>6.6363291619264214E-2</v>
      </c>
      <c r="F125" s="61">
        <f>'IS normalized'!F15/'IS normalized'!F$4</f>
        <v>0.10166358595194085</v>
      </c>
      <c r="G125" s="61">
        <f>'IS normalized'!G15/'IS normalized'!G$4</f>
        <v>0.1013341804320204</v>
      </c>
      <c r="H125" s="61">
        <f>'IS normalized'!H15/'IS normalized'!H$4</f>
        <v>8.3462901797560593E-2</v>
      </c>
      <c r="I125" s="61">
        <f>'IS normalized'!I15/'IS normalized'!I$4</f>
        <v>8.2270276449579752E-2</v>
      </c>
      <c r="J125" s="61">
        <f>'IS normalized'!J15/'IS normalized'!J$4</f>
        <v>8.283743060832309E-2</v>
      </c>
      <c r="K125" s="61">
        <f>'IS normalized'!K15/'IS normalized'!K$4</f>
        <v>8.3373076202691729E-2</v>
      </c>
      <c r="L125" s="61">
        <f>'IS normalized'!L15/'IS normalized'!L$4</f>
        <v>8.3131130004269208E-2</v>
      </c>
      <c r="M125" s="61">
        <f>'IS normalized'!M15/'IS normalized'!M$4</f>
        <v>8.3650458965529612E-2</v>
      </c>
      <c r="N125" s="61">
        <f>'IS normalized'!N15/'IS normalized'!N$4</f>
        <v>8.247331332000582E-2</v>
      </c>
      <c r="O125" s="61">
        <f>'IS normalized'!O15/'IS normalized'!O$4</f>
        <v>8.30291876526143E-2</v>
      </c>
      <c r="P125" s="61">
        <f>'IS normalized'!P15/'IS normalized'!P$4</f>
        <v>8.3554180077855658E-2</v>
      </c>
      <c r="Q125" s="61">
        <f>'IS normalized'!Q15/'IS normalized'!Q$4</f>
        <v>8.4050006257250259E-2</v>
      </c>
    </row>
    <row r="126" spans="1:17">
      <c r="A126" s="47" t="s">
        <v>11</v>
      </c>
      <c r="B126" s="47"/>
      <c r="C126" s="61">
        <f>'IS normalized'!C16/'IS normalized'!C$4</f>
        <v>2.1459227467811159E-3</v>
      </c>
      <c r="D126" s="61">
        <f>-'IS normalized'!D16/'IS normalized'!D$4</f>
        <v>1.7151974471479856E-2</v>
      </c>
      <c r="E126" s="61">
        <f>-'IS normalized'!E16/'IS normalized'!E$4</f>
        <v>1.2135001896094047E-2</v>
      </c>
      <c r="F126" s="61">
        <f>-'IS normalized'!F16/'IS normalized'!F$4</f>
        <v>1.7744916820702401E-2</v>
      </c>
      <c r="G126" s="61">
        <f>-'IS normalized'!G16/'IS normalized'!G$4</f>
        <v>2.5412960609911054E-2</v>
      </c>
      <c r="H126" s="61">
        <f>-'IS normalized'!H16/'IS normalized'!H$4</f>
        <v>2.0865725449390148E-2</v>
      </c>
      <c r="I126" s="61">
        <f>-'IS normalized'!I16/'IS normalized'!I$4</f>
        <v>2.0567569112394938E-2</v>
      </c>
      <c r="J126" s="61">
        <f>-'IS normalized'!J16/'IS normalized'!J$4</f>
        <v>2.0709357652080772E-2</v>
      </c>
      <c r="K126" s="61">
        <f>-'IS normalized'!K16/'IS normalized'!K$4</f>
        <v>2.0843269050672932E-2</v>
      </c>
      <c r="L126" s="61">
        <f>-'IS normalized'!L16/'IS normalized'!L$4</f>
        <v>2.0782782501067302E-2</v>
      </c>
      <c r="M126" s="61">
        <f>-'IS normalized'!M16/'IS normalized'!M$4</f>
        <v>2.0912614741382403E-2</v>
      </c>
      <c r="N126" s="61">
        <f>-'IS normalized'!N16/'IS normalized'!N$4</f>
        <v>2.0618328330001455E-2</v>
      </c>
      <c r="O126" s="61">
        <f>-'IS normalized'!O16/'IS normalized'!O$4</f>
        <v>2.0757296913153575E-2</v>
      </c>
      <c r="P126" s="61">
        <f>-'IS normalized'!P16/'IS normalized'!P$4</f>
        <v>2.0888545019463915E-2</v>
      </c>
      <c r="Q126" s="61">
        <f>-'IS normalized'!Q16/'IS normalized'!Q$4</f>
        <v>2.1012501564312565E-2</v>
      </c>
    </row>
    <row r="127" spans="1:17" ht="15" thickBot="1">
      <c r="A127" s="49" t="s">
        <v>14</v>
      </c>
      <c r="B127" s="49"/>
      <c r="C127" s="108">
        <f>'IS normalized'!C18/'IS normalized'!C$4</f>
        <v>8.6266094420600875E-2</v>
      </c>
      <c r="D127" s="108">
        <f>'IS normalized'!D18/'IS normalized'!D$4</f>
        <v>5.384922217790182E-2</v>
      </c>
      <c r="E127" s="108">
        <f>'IS normalized'!E18/'IS normalized'!E$4</f>
        <v>5.4228289723170169E-2</v>
      </c>
      <c r="F127" s="108">
        <f>'IS normalized'!F18/'IS normalized'!F$4</f>
        <v>8.3918669131238438E-2</v>
      </c>
      <c r="G127" s="108">
        <f>'IS normalized'!G18/'IS normalized'!G$4</f>
        <v>7.5921219822109351E-2</v>
      </c>
      <c r="H127" s="108">
        <f>'IS normalized'!H18/'IS normalized'!H$4</f>
        <v>6.2597176348170455E-2</v>
      </c>
      <c r="I127" s="108">
        <f>'IS normalized'!I18/'IS normalized'!I$4</f>
        <v>6.170270733718481E-2</v>
      </c>
      <c r="J127" s="108">
        <f>'IS normalized'!J18/'IS normalized'!J$4</f>
        <v>6.2128072956242314E-2</v>
      </c>
      <c r="K127" s="108">
        <f>'IS normalized'!K18/'IS normalized'!K$4</f>
        <v>6.2529807152018793E-2</v>
      </c>
      <c r="L127" s="108">
        <f>'IS normalized'!L18/'IS normalized'!L$4</f>
        <v>6.2348347503201902E-2</v>
      </c>
      <c r="M127" s="108">
        <f>'IS normalized'!M18/'IS normalized'!M$4</f>
        <v>6.2737844224147216E-2</v>
      </c>
      <c r="N127" s="108">
        <f>'IS normalized'!N18/'IS normalized'!N$4</f>
        <v>6.1854984990004372E-2</v>
      </c>
      <c r="O127" s="108">
        <f>'IS normalized'!O18/'IS normalized'!O$4</f>
        <v>6.2271890739460732E-2</v>
      </c>
      <c r="P127" s="108">
        <f>'IS normalized'!P18/'IS normalized'!P$4</f>
        <v>6.2665635058391747E-2</v>
      </c>
      <c r="Q127" s="108">
        <f>'IS normalized'!Q18/'IS normalized'!Q$4</f>
        <v>6.3037504692937701E-2</v>
      </c>
    </row>
    <row r="128" spans="1:17" ht="15" thickTop="1">
      <c r="A128" s="47"/>
      <c r="B128" s="47"/>
      <c r="C128" s="9"/>
      <c r="D128" s="9"/>
      <c r="E128" s="9"/>
      <c r="F128" s="9"/>
      <c r="G128" s="9"/>
    </row>
    <row r="137" spans="1:17" ht="18">
      <c r="A137" s="172" t="s">
        <v>728</v>
      </c>
      <c r="B137" s="28"/>
      <c r="C137" s="73">
        <f>C115</f>
        <v>2018</v>
      </c>
      <c r="D137" s="73">
        <f t="shared" ref="D137:G137" si="57">D115</f>
        <v>2019</v>
      </c>
      <c r="E137" s="73">
        <f t="shared" si="57"/>
        <v>2020</v>
      </c>
      <c r="F137" s="73">
        <f t="shared" si="57"/>
        <v>2021</v>
      </c>
      <c r="G137" s="73">
        <f t="shared" si="57"/>
        <v>2022</v>
      </c>
      <c r="H137" s="169">
        <f>H115</f>
        <v>2023</v>
      </c>
      <c r="I137" s="169">
        <f t="shared" ref="I137:Q137" si="58">I115</f>
        <v>2024</v>
      </c>
      <c r="J137" s="169">
        <f t="shared" si="58"/>
        <v>2025</v>
      </c>
      <c r="K137" s="169">
        <f t="shared" si="58"/>
        <v>2026</v>
      </c>
      <c r="L137" s="169">
        <f t="shared" si="58"/>
        <v>2027</v>
      </c>
      <c r="M137" s="169">
        <f t="shared" si="58"/>
        <v>2028</v>
      </c>
      <c r="N137" s="169">
        <f t="shared" si="58"/>
        <v>2029</v>
      </c>
      <c r="O137" s="169">
        <f t="shared" si="58"/>
        <v>2030</v>
      </c>
      <c r="P137" s="169">
        <f t="shared" si="58"/>
        <v>2031</v>
      </c>
      <c r="Q137" s="169">
        <f t="shared" si="58"/>
        <v>2032</v>
      </c>
    </row>
    <row r="138" spans="1:17">
      <c r="A138" s="46" t="s">
        <v>0</v>
      </c>
      <c r="B138" s="46"/>
      <c r="C138" s="65"/>
      <c r="D138" s="60">
        <f>'IS normalized'!D4/'IS normalized'!C4-1</f>
        <v>7.5965665236051416E-2</v>
      </c>
      <c r="E138" s="60">
        <f>'IS normalized'!E4/'IS normalized'!D4-1</f>
        <v>5.1854806541683285E-2</v>
      </c>
      <c r="F138" s="60">
        <f>'IS normalized'!F4/'IS normalized'!E4-1</f>
        <v>2.5786879029199961E-2</v>
      </c>
      <c r="G138" s="60">
        <f>'IS normalized'!G4/'IS normalized'!F4-1</f>
        <v>0.16377079482439938</v>
      </c>
      <c r="H138" s="66">
        <f>IFERROR(H4/G4-1,"")</f>
        <v>8.0000000000000071E-2</v>
      </c>
      <c r="I138" s="66">
        <f t="shared" ref="I138:Q138" si="59">IFERROR(I4/H4-1,"")</f>
        <v>8.0000000000000071E-2</v>
      </c>
      <c r="J138" s="66">
        <f t="shared" si="59"/>
        <v>8.0000000000000071E-2</v>
      </c>
      <c r="K138" s="66">
        <f t="shared" si="59"/>
        <v>8.0000000000000071E-2</v>
      </c>
      <c r="L138" s="66">
        <f t="shared" si="59"/>
        <v>8.0000000000000071E-2</v>
      </c>
      <c r="M138" s="66">
        <f t="shared" si="59"/>
        <v>8.0000000000000071E-2</v>
      </c>
      <c r="N138" s="66">
        <f t="shared" si="59"/>
        <v>8.0000000000000071E-2</v>
      </c>
      <c r="O138" s="66">
        <f t="shared" si="59"/>
        <v>8.0000000000000071E-2</v>
      </c>
      <c r="P138" s="66">
        <f t="shared" si="59"/>
        <v>8.0000000000000071E-2</v>
      </c>
      <c r="Q138" s="66">
        <f t="shared" si="59"/>
        <v>8.0000000000000071E-2</v>
      </c>
    </row>
    <row r="139" spans="1:17">
      <c r="A139" s="47" t="s">
        <v>1</v>
      </c>
      <c r="B139" s="47"/>
      <c r="C139" s="65"/>
      <c r="D139" s="61">
        <f>'IS normalized'!D5/'IS normalized'!C5-1</f>
        <v>8.6068563092633221E-2</v>
      </c>
      <c r="E139" s="61">
        <f>'IS normalized'!E5/'IS normalized'!D5-1</f>
        <v>6.9845533915379399E-2</v>
      </c>
      <c r="F139" s="61">
        <f>'IS normalized'!F5/'IS normalized'!E5-1</f>
        <v>3.7664783427495685E-3</v>
      </c>
      <c r="G139" s="61">
        <f>'IS normalized'!G5/'IS normalized'!F5-1</f>
        <v>0.13946216385240762</v>
      </c>
      <c r="H139" s="66">
        <f t="shared" ref="H139:Q149" si="60">IFERROR(H5/G5-1,"")</f>
        <v>0.10330677529066756</v>
      </c>
      <c r="I139" s="66">
        <f t="shared" si="60"/>
        <v>8.0000000000000293E-2</v>
      </c>
      <c r="J139" s="66">
        <f t="shared" si="60"/>
        <v>7.9999999999999849E-2</v>
      </c>
      <c r="K139" s="66">
        <f t="shared" si="60"/>
        <v>8.0000000000000071E-2</v>
      </c>
      <c r="L139" s="66">
        <f t="shared" si="60"/>
        <v>8.0000000000000071E-2</v>
      </c>
      <c r="M139" s="66">
        <f t="shared" si="60"/>
        <v>8.0000000000000293E-2</v>
      </c>
      <c r="N139" s="66">
        <f t="shared" si="60"/>
        <v>8.0000000000000071E-2</v>
      </c>
      <c r="O139" s="66">
        <f t="shared" si="60"/>
        <v>8.0000000000000071E-2</v>
      </c>
      <c r="P139" s="66">
        <f t="shared" si="60"/>
        <v>8.0000000000000071E-2</v>
      </c>
      <c r="Q139" s="66">
        <f t="shared" si="60"/>
        <v>8.0000000000000071E-2</v>
      </c>
    </row>
    <row r="140" spans="1:17">
      <c r="A140" s="48" t="s">
        <v>2</v>
      </c>
      <c r="B140" s="48"/>
      <c r="C140" s="67"/>
      <c r="D140" s="62">
        <f>'IS normalized'!D6/'IS normalized'!C6-1</f>
        <v>6.1522419186652577E-2</v>
      </c>
      <c r="E140" s="62">
        <f>'IS normalized'!E6/'IS normalized'!D6-1</f>
        <v>2.5540275049115824E-2</v>
      </c>
      <c r="F140" s="62">
        <f>'IS normalized'!F6/'IS normalized'!E6-1</f>
        <v>5.9386973180076907E-2</v>
      </c>
      <c r="G140" s="62">
        <f>'IS normalized'!G6/'IS normalized'!F6-1</f>
        <v>0.19891500904159165</v>
      </c>
      <c r="H140" s="176">
        <f t="shared" si="60"/>
        <v>4.7975154917348384E-2</v>
      </c>
      <c r="I140" s="176">
        <f t="shared" si="60"/>
        <v>7.9999999999999849E-2</v>
      </c>
      <c r="J140" s="176">
        <f t="shared" si="60"/>
        <v>8.0000000000000293E-2</v>
      </c>
      <c r="K140" s="176">
        <f t="shared" si="60"/>
        <v>8.0000000000000071E-2</v>
      </c>
      <c r="L140" s="176">
        <f t="shared" si="60"/>
        <v>8.0000000000000071E-2</v>
      </c>
      <c r="M140" s="176">
        <f t="shared" si="60"/>
        <v>7.9999999999999849E-2</v>
      </c>
      <c r="N140" s="176">
        <f t="shared" si="60"/>
        <v>8.0000000000000293E-2</v>
      </c>
      <c r="O140" s="176">
        <f t="shared" si="60"/>
        <v>8.0000000000000071E-2</v>
      </c>
      <c r="P140" s="176">
        <f t="shared" si="60"/>
        <v>8.0000000000000071E-2</v>
      </c>
      <c r="Q140" s="176">
        <f t="shared" si="60"/>
        <v>7.9999999999999849E-2</v>
      </c>
    </row>
    <row r="141" spans="1:17">
      <c r="A141" s="47" t="s">
        <v>134</v>
      </c>
      <c r="B141" s="47"/>
      <c r="C141" s="65"/>
      <c r="D141" s="60"/>
      <c r="E141" s="60"/>
      <c r="F141" s="60"/>
      <c r="G141" s="60"/>
      <c r="H141" s="66" t="str">
        <f t="shared" si="60"/>
        <v/>
      </c>
      <c r="I141" s="66" t="str">
        <f t="shared" si="60"/>
        <v/>
      </c>
      <c r="J141" s="66" t="str">
        <f t="shared" si="60"/>
        <v/>
      </c>
      <c r="K141" s="66" t="str">
        <f t="shared" si="60"/>
        <v/>
      </c>
      <c r="L141" s="66" t="str">
        <f t="shared" si="60"/>
        <v/>
      </c>
      <c r="M141" s="66" t="str">
        <f t="shared" si="60"/>
        <v/>
      </c>
      <c r="N141" s="66" t="str">
        <f t="shared" si="60"/>
        <v/>
      </c>
      <c r="O141" s="66" t="str">
        <f t="shared" si="60"/>
        <v/>
      </c>
      <c r="P141" s="66" t="str">
        <f t="shared" si="60"/>
        <v/>
      </c>
      <c r="Q141" s="66" t="str">
        <f t="shared" si="60"/>
        <v/>
      </c>
    </row>
    <row r="142" spans="1:17">
      <c r="A142" s="47" t="s">
        <v>3</v>
      </c>
      <c r="B142" s="47"/>
      <c r="C142" s="65"/>
      <c r="D142" s="61">
        <f>'IS normalized'!D9/'IS normalized'!C9-1</f>
        <v>1.021276595744681</v>
      </c>
      <c r="E142" s="61">
        <f>'IS normalized'!E9/'IS normalized'!D9-1</f>
        <v>0.24210526315789482</v>
      </c>
      <c r="F142" s="61">
        <f>'IS normalized'!F9/'IS normalized'!E9-1</f>
        <v>-0.16525423728813571</v>
      </c>
      <c r="G142" s="61">
        <f>'IS normalized'!G9/'IS normalized'!F9-1</f>
        <v>0</v>
      </c>
      <c r="H142" s="66" t="str">
        <f t="shared" si="60"/>
        <v/>
      </c>
      <c r="I142" s="66" t="str">
        <f t="shared" si="60"/>
        <v/>
      </c>
      <c r="J142" s="66" t="str">
        <f t="shared" si="60"/>
        <v/>
      </c>
      <c r="K142" s="66" t="str">
        <f t="shared" si="60"/>
        <v/>
      </c>
      <c r="L142" s="66" t="str">
        <f t="shared" si="60"/>
        <v/>
      </c>
      <c r="M142" s="66" t="str">
        <f t="shared" si="60"/>
        <v/>
      </c>
      <c r="N142" s="66" t="str">
        <f t="shared" si="60"/>
        <v/>
      </c>
      <c r="O142" s="66" t="str">
        <f t="shared" si="60"/>
        <v/>
      </c>
      <c r="P142" s="66" t="str">
        <f t="shared" si="60"/>
        <v/>
      </c>
      <c r="Q142" s="66" t="str">
        <f t="shared" si="60"/>
        <v/>
      </c>
    </row>
    <row r="143" spans="1:17">
      <c r="A143" s="47" t="s">
        <v>4</v>
      </c>
      <c r="B143" s="47"/>
      <c r="C143" s="65"/>
      <c r="D143" s="61">
        <f>'IS normalized'!D10/'IS normalized'!C10-1</f>
        <v>-2.7649769585253448E-2</v>
      </c>
      <c r="E143" s="61">
        <f>'IS normalized'!E10/'IS normalized'!D10-1</f>
        <v>-4.7393364928909998E-2</v>
      </c>
      <c r="F143" s="61">
        <f>'IS normalized'!F10/'IS normalized'!E10-1</f>
        <v>9.9502487562188602E-3</v>
      </c>
      <c r="G143" s="61">
        <f>'IS normalized'!G10/'IS normalized'!F10-1</f>
        <v>0.26929392446633815</v>
      </c>
      <c r="H143" s="66">
        <f t="shared" si="60"/>
        <v>0.17711881090371584</v>
      </c>
      <c r="I143" s="66">
        <f t="shared" si="60"/>
        <v>0.10839293408892248</v>
      </c>
      <c r="J143" s="66">
        <f t="shared" si="60"/>
        <v>8.0000000000000071E-2</v>
      </c>
      <c r="K143" s="66">
        <f t="shared" si="60"/>
        <v>8.0000000000000071E-2</v>
      </c>
      <c r="L143" s="66">
        <f t="shared" si="60"/>
        <v>8.0000000000000071E-2</v>
      </c>
      <c r="M143" s="66">
        <f t="shared" si="60"/>
        <v>8.0000000000000071E-2</v>
      </c>
      <c r="N143" s="66">
        <f t="shared" si="60"/>
        <v>8.0000000000000293E-2</v>
      </c>
      <c r="O143" s="66">
        <f t="shared" si="60"/>
        <v>8.0000000000000071E-2</v>
      </c>
      <c r="P143" s="66">
        <f t="shared" si="60"/>
        <v>8.0000000000000071E-2</v>
      </c>
      <c r="Q143" s="66">
        <f t="shared" si="60"/>
        <v>8.0000000000000071E-2</v>
      </c>
    </row>
    <row r="144" spans="1:17">
      <c r="A144" s="46" t="s">
        <v>135</v>
      </c>
      <c r="B144" s="47"/>
      <c r="C144" s="65"/>
      <c r="D144" s="60">
        <f>'IS normalized'!D11/'IS normalized'!C11-1</f>
        <v>0.1046979865771811</v>
      </c>
      <c r="E144" s="60">
        <f>'IS normalized'!E11/'IS normalized'!D11-1</f>
        <v>1.9441069258809396E-2</v>
      </c>
      <c r="F144" s="60">
        <f>'IS normalized'!F11/'IS normalized'!E11-1</f>
        <v>-3.933253873659126E-2</v>
      </c>
      <c r="G144" s="60">
        <f>'IS normalized'!G11/'IS normalized'!F11-1</f>
        <v>0.20347394540942942</v>
      </c>
      <c r="H144" s="66">
        <f t="shared" si="60"/>
        <v>8.3068923188814425E-2</v>
      </c>
      <c r="I144" s="66">
        <f t="shared" si="60"/>
        <v>8.0000000000000071E-2</v>
      </c>
      <c r="J144" s="66">
        <f t="shared" si="60"/>
        <v>8.0000000000000071E-2</v>
      </c>
      <c r="K144" s="66">
        <f t="shared" si="60"/>
        <v>8.0000000000000071E-2</v>
      </c>
      <c r="L144" s="66">
        <f t="shared" si="60"/>
        <v>8.0000000000000071E-2</v>
      </c>
      <c r="M144" s="66">
        <f t="shared" si="60"/>
        <v>8.0000000000000071E-2</v>
      </c>
      <c r="N144" s="66">
        <f t="shared" si="60"/>
        <v>8.0000000000000071E-2</v>
      </c>
      <c r="O144" s="66">
        <f t="shared" si="60"/>
        <v>8.0000000000000071E-2</v>
      </c>
      <c r="P144" s="66">
        <f t="shared" si="60"/>
        <v>8.0000000000000293E-2</v>
      </c>
      <c r="Q144" s="66">
        <f t="shared" si="60"/>
        <v>7.9999999999999849E-2</v>
      </c>
    </row>
    <row r="145" spans="1:17">
      <c r="A145" s="48" t="s">
        <v>8</v>
      </c>
      <c r="B145" s="48"/>
      <c r="C145" s="67"/>
      <c r="D145" s="62">
        <f>'IS normalized'!D12/'IS normalized'!C12-1</f>
        <v>-8.8785046728972916E-2</v>
      </c>
      <c r="E145" s="62">
        <f>'IS normalized'!E12/'IS normalized'!D12-1</f>
        <v>5.1282051282050656E-2</v>
      </c>
      <c r="F145" s="62">
        <f>'IS normalized'!F12/'IS normalized'!E12-1</f>
        <v>0.46341463414634343</v>
      </c>
      <c r="G145" s="62">
        <f>'IS normalized'!G12/'IS normalized'!F12-1</f>
        <v>0.18666666666666742</v>
      </c>
      <c r="H145" s="176">
        <f t="shared" si="60"/>
        <v>0.10216977667318106</v>
      </c>
      <c r="I145" s="176">
        <f t="shared" si="60"/>
        <v>8.6158523009508103E-2</v>
      </c>
      <c r="J145" s="176">
        <f t="shared" si="60"/>
        <v>8.0000000000000071E-2</v>
      </c>
      <c r="K145" s="176">
        <f t="shared" si="60"/>
        <v>8.0000000000000071E-2</v>
      </c>
      <c r="L145" s="176">
        <f t="shared" si="60"/>
        <v>8.0000000000000071E-2</v>
      </c>
      <c r="M145" s="176">
        <f t="shared" si="60"/>
        <v>8.0000000000000071E-2</v>
      </c>
      <c r="N145" s="176">
        <f t="shared" si="60"/>
        <v>8.0000000000000071E-2</v>
      </c>
      <c r="O145" s="176">
        <f t="shared" si="60"/>
        <v>8.0000000000000071E-2</v>
      </c>
      <c r="P145" s="176">
        <f t="shared" si="60"/>
        <v>8.0000000000000071E-2</v>
      </c>
      <c r="Q145" s="176">
        <f t="shared" si="60"/>
        <v>7.9999999999999849E-2</v>
      </c>
    </row>
    <row r="146" spans="1:17">
      <c r="A146" s="47" t="s">
        <v>9</v>
      </c>
      <c r="B146" s="47"/>
      <c r="C146" s="65"/>
      <c r="D146" s="61">
        <f>'IS normalized'!D14/'IS normalized'!C14-1</f>
        <v>-5.555555555555558E-2</v>
      </c>
      <c r="E146" s="61">
        <f>'IS normalized'!E14/'IS normalized'!D14-1</f>
        <v>0.76470588235294112</v>
      </c>
      <c r="F146" s="61">
        <f>'IS normalized'!F14/'IS normalized'!E14-1</f>
        <v>-0.16666666666666663</v>
      </c>
      <c r="G146" s="61">
        <f>'IS normalized'!G14/'IS normalized'!F14-1</f>
        <v>0.48</v>
      </c>
      <c r="H146" s="66">
        <f t="shared" si="60"/>
        <v>-9.9689966158937549E-2</v>
      </c>
      <c r="I146" s="66">
        <f t="shared" si="60"/>
        <v>5.9457432999542981E-2</v>
      </c>
      <c r="J146" s="66">
        <f t="shared" si="60"/>
        <v>8.0000000000000959E-2</v>
      </c>
      <c r="K146" s="66">
        <f t="shared" si="60"/>
        <v>7.9999999999999849E-2</v>
      </c>
      <c r="L146" s="66">
        <f t="shared" si="60"/>
        <v>8.0000000000000293E-2</v>
      </c>
      <c r="M146" s="66">
        <f t="shared" si="60"/>
        <v>7.9999999999998739E-2</v>
      </c>
      <c r="N146" s="66">
        <f t="shared" si="60"/>
        <v>8.0000000000000737E-2</v>
      </c>
      <c r="O146" s="66">
        <f t="shared" si="60"/>
        <v>7.9999999999999849E-2</v>
      </c>
      <c r="P146" s="66">
        <f t="shared" si="60"/>
        <v>8.0000000000000071E-2</v>
      </c>
      <c r="Q146" s="66">
        <f t="shared" si="60"/>
        <v>8.0000000000000071E-2</v>
      </c>
    </row>
    <row r="147" spans="1:17">
      <c r="A147" s="46" t="s">
        <v>10</v>
      </c>
      <c r="B147" s="46"/>
      <c r="C147" s="65"/>
      <c r="D147" s="60">
        <f>'IS normalized'!D15/'IS normalized'!C15-1</f>
        <v>-9.183673469387843E-2</v>
      </c>
      <c r="E147" s="60">
        <f>'IS normalized'!E15/'IS normalized'!D15-1</f>
        <v>-1.6853932584270481E-2</v>
      </c>
      <c r="F147" s="60">
        <f>'IS normalized'!F15/'IS normalized'!E15-1</f>
        <v>0.57142857142857406</v>
      </c>
      <c r="G147" s="60">
        <f>'IS normalized'!G15/'IS normalized'!F15-1</f>
        <v>0.16000000000000081</v>
      </c>
      <c r="H147" s="66">
        <f>IFERROR(H15/G15-1,"")</f>
        <v>-0.11046861427141619</v>
      </c>
      <c r="I147" s="66">
        <f t="shared" ref="I147:Q147" si="61">IFERROR(I15/H15-1,"")</f>
        <v>6.4567570164964616E-2</v>
      </c>
      <c r="J147" s="66">
        <f t="shared" si="61"/>
        <v>8.7445295164629844E-2</v>
      </c>
      <c r="K147" s="66">
        <f t="shared" si="61"/>
        <v>8.6983524690105618E-2</v>
      </c>
      <c r="L147" s="66">
        <f t="shared" si="61"/>
        <v>7.6865871979329814E-2</v>
      </c>
      <c r="M147" s="66">
        <f t="shared" si="61"/>
        <v>8.6746874223079251E-2</v>
      </c>
      <c r="N147" s="66">
        <f t="shared" si="61"/>
        <v>6.4802028430118064E-2</v>
      </c>
      <c r="O147" s="66">
        <f t="shared" si="61"/>
        <v>8.7279255010499712E-2</v>
      </c>
      <c r="P147" s="66">
        <f t="shared" si="61"/>
        <v>8.6828825323847836E-2</v>
      </c>
      <c r="Q147" s="66">
        <f t="shared" si="61"/>
        <v>8.6408922608625982E-2</v>
      </c>
    </row>
    <row r="148" spans="1:17">
      <c r="A148" s="47" t="s">
        <v>11</v>
      </c>
      <c r="B148" s="47"/>
      <c r="C148" s="65"/>
      <c r="D148" s="61">
        <f>'IS normalized'!D16/'IS normalized'!C16-1</f>
        <v>-9.6</v>
      </c>
      <c r="E148" s="61">
        <f>'IS normalized'!E16/'IS normalized'!D16-1</f>
        <v>-0.25581395348837199</v>
      </c>
      <c r="F148" s="61">
        <f>'IS normalized'!F16/'IS normalized'!E16-1</f>
        <v>0.49999999999999978</v>
      </c>
      <c r="G148" s="61">
        <f>'IS normalized'!G16/'IS normalized'!F16-1</f>
        <v>0.66666666666666674</v>
      </c>
      <c r="H148" s="66">
        <f t="shared" si="60"/>
        <v>-6.7605405405406493E-3</v>
      </c>
      <c r="I148" s="66">
        <f t="shared" si="60"/>
        <v>2.000000000000024E-2</v>
      </c>
      <c r="J148" s="66">
        <f t="shared" si="60"/>
        <v>2.0000000000000018E-2</v>
      </c>
      <c r="K148" s="66">
        <f t="shared" si="60"/>
        <v>2.0000000000000018E-2</v>
      </c>
      <c r="L148" s="66">
        <f t="shared" si="60"/>
        <v>0.1086956521739133</v>
      </c>
      <c r="M148" s="66">
        <f t="shared" si="60"/>
        <v>2.0000000000000018E-2</v>
      </c>
      <c r="N148" s="66">
        <f t="shared" si="60"/>
        <v>0.22399999999999998</v>
      </c>
      <c r="O148" s="66">
        <f t="shared" si="60"/>
        <v>1.9999999999999796E-2</v>
      </c>
      <c r="P148" s="66">
        <f t="shared" si="60"/>
        <v>2.0000000000000018E-2</v>
      </c>
      <c r="Q148" s="66">
        <f t="shared" si="60"/>
        <v>2.0000000000000018E-2</v>
      </c>
    </row>
    <row r="149" spans="1:17" ht="15" thickBot="1">
      <c r="A149" s="49" t="s">
        <v>14</v>
      </c>
      <c r="B149" s="49"/>
      <c r="C149" s="68"/>
      <c r="D149" s="64">
        <f>'IS normalized'!D18/'IS normalized'!C18-1</f>
        <v>-0.32835820895522472</v>
      </c>
      <c r="E149" s="64">
        <f>'IS normalized'!E18/'IS normalized'!D18-1</f>
        <v>5.9259259259258235E-2</v>
      </c>
      <c r="F149" s="64">
        <f>'IS normalized'!F18/'IS normalized'!E18-1</f>
        <v>0.58741258741259039</v>
      </c>
      <c r="G149" s="64">
        <f>'IS normalized'!G18/'IS normalized'!F18-1</f>
        <v>5.2863436123349095E-2</v>
      </c>
      <c r="H149" s="177">
        <f t="shared" si="60"/>
        <v>-0.11046861427141619</v>
      </c>
      <c r="I149" s="177">
        <f t="shared" si="60"/>
        <v>6.4567570164964616E-2</v>
      </c>
      <c r="J149" s="177">
        <f t="shared" si="60"/>
        <v>8.7445295164629844E-2</v>
      </c>
      <c r="K149" s="177">
        <f t="shared" si="60"/>
        <v>8.6983524690105618E-2</v>
      </c>
      <c r="L149" s="177">
        <f t="shared" si="60"/>
        <v>7.6865871979329814E-2</v>
      </c>
      <c r="M149" s="177">
        <f t="shared" si="60"/>
        <v>8.6746874223079251E-2</v>
      </c>
      <c r="N149" s="177">
        <f t="shared" si="60"/>
        <v>6.4802028430118064E-2</v>
      </c>
      <c r="O149" s="177">
        <f t="shared" si="60"/>
        <v>8.7279255010499712E-2</v>
      </c>
      <c r="P149" s="177">
        <f t="shared" si="60"/>
        <v>8.6828825323847836E-2</v>
      </c>
      <c r="Q149" s="177">
        <f t="shared" si="60"/>
        <v>8.6408922608625982E-2</v>
      </c>
    </row>
    <row r="150" spans="1:17" ht="15" thickTop="1">
      <c r="A150" s="47"/>
      <c r="B150" s="47"/>
      <c r="C150" s="9"/>
      <c r="D150" s="9"/>
      <c r="E150" s="9"/>
      <c r="F150" s="9"/>
      <c r="G150" s="9"/>
    </row>
    <row r="151" spans="1:17">
      <c r="A151" s="47"/>
      <c r="B151" s="47"/>
      <c r="C151" s="9"/>
      <c r="D151" s="9"/>
      <c r="E151" s="9"/>
      <c r="F151" s="9"/>
      <c r="G151" s="9"/>
    </row>
  </sheetData>
  <pageMargins left="0.7" right="0.7" top="0.75" bottom="0.75" header="0.3" footer="0.3"/>
  <pageSetup paperSize="9" orientation="portrait" r:id="rId1"/>
  <ignoredErrors>
    <ignoredError sqref="H16:Q16 H147:Q14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BB6D-1872-554D-975E-D9C03DDC7DE7}">
  <sheetPr codeName="Sheet7"/>
  <dimension ref="A2:V296"/>
  <sheetViews>
    <sheetView showGridLines="0" topLeftCell="A62" zoomScale="70" zoomScaleNormal="70" workbookViewId="0">
      <selection activeCell="G123" sqref="G123"/>
    </sheetView>
  </sheetViews>
  <sheetFormatPr baseColWidth="10" defaultColWidth="8.83203125" defaultRowHeight="14"/>
  <cols>
    <col min="1" max="1" width="30.83203125" style="72" customWidth="1"/>
    <col min="2" max="2" width="6.83203125" style="72" bestFit="1" customWidth="1"/>
    <col min="3" max="17" width="15.6640625" style="72" customWidth="1"/>
    <col min="18" max="18" width="9" style="72" bestFit="1" customWidth="1"/>
    <col min="19" max="19" width="13.6640625" style="72" customWidth="1"/>
    <col min="20" max="20" width="9" style="72" bestFit="1" customWidth="1"/>
    <col min="21" max="16384" width="8.83203125" style="72"/>
  </cols>
  <sheetData>
    <row r="2" spans="1:19" ht="18">
      <c r="A2" s="115" t="s">
        <v>827</v>
      </c>
      <c r="B2" s="116"/>
      <c r="C2" s="116"/>
      <c r="D2" s="116"/>
      <c r="E2" s="116"/>
      <c r="F2" s="116"/>
      <c r="G2" s="116"/>
      <c r="H2" s="117"/>
      <c r="I2" s="117"/>
      <c r="J2" s="117"/>
      <c r="K2" s="117"/>
      <c r="L2" s="117"/>
      <c r="M2" s="117"/>
      <c r="N2" s="117"/>
      <c r="O2" s="117"/>
      <c r="P2" s="117"/>
      <c r="Q2" s="117"/>
    </row>
    <row r="3" spans="1:19">
      <c r="A3" s="2"/>
      <c r="B3" s="2"/>
      <c r="C3" s="73">
        <f>'IS normalized'!C50</f>
        <v>2018</v>
      </c>
      <c r="D3" s="73">
        <f>'IS normalized'!D50</f>
        <v>2019</v>
      </c>
      <c r="E3" s="73">
        <f>'IS normalized'!E50</f>
        <v>2020</v>
      </c>
      <c r="F3" s="73">
        <f>'IS normalized'!F50</f>
        <v>2021</v>
      </c>
      <c r="G3" s="73">
        <f>'IS normalized'!G50</f>
        <v>2022</v>
      </c>
      <c r="H3" s="74">
        <f>'IS normalized'!H50</f>
        <v>2023</v>
      </c>
      <c r="I3" s="74">
        <f>'IS normalized'!I50</f>
        <v>2024</v>
      </c>
      <c r="J3" s="74">
        <f>'IS normalized'!J50</f>
        <v>2025</v>
      </c>
      <c r="K3" s="74">
        <f>'IS normalized'!K50</f>
        <v>2026</v>
      </c>
      <c r="L3" s="74">
        <f>'IS normalized'!L50</f>
        <v>2027</v>
      </c>
      <c r="M3" s="74">
        <f>'IS normalized'!M50</f>
        <v>2028</v>
      </c>
      <c r="N3" s="74">
        <f>'IS normalized'!N50</f>
        <v>2029</v>
      </c>
      <c r="O3" s="74">
        <f>'IS normalized'!O50</f>
        <v>2030</v>
      </c>
      <c r="P3" s="74">
        <f>'IS normalized'!P50</f>
        <v>2031</v>
      </c>
      <c r="Q3" s="74">
        <f>'IS normalized'!Q50</f>
        <v>2032</v>
      </c>
    </row>
    <row r="4" spans="1:19">
      <c r="A4" s="2"/>
      <c r="B4" s="2"/>
      <c r="C4" s="3" t="str">
        <f>'IS normalized'!C51</f>
        <v>£'M</v>
      </c>
      <c r="D4" s="3" t="str">
        <f>'IS normalized'!D51</f>
        <v>£'M</v>
      </c>
      <c r="E4" s="3" t="str">
        <f>'IS normalized'!E51</f>
        <v>£'M</v>
      </c>
      <c r="F4" s="3" t="str">
        <f>'IS normalized'!F51</f>
        <v>£'M</v>
      </c>
      <c r="G4" s="3" t="str">
        <f>'IS normalized'!G51</f>
        <v>£'M</v>
      </c>
      <c r="H4" s="75" t="str">
        <f>'IS normalized'!H51</f>
        <v>£'M</v>
      </c>
      <c r="I4" s="75" t="str">
        <f>'IS normalized'!I51</f>
        <v>£'M</v>
      </c>
      <c r="J4" s="75" t="str">
        <f>'IS normalized'!J51</f>
        <v>£'M</v>
      </c>
      <c r="K4" s="75" t="str">
        <f>'IS normalized'!K51</f>
        <v>£'M</v>
      </c>
      <c r="L4" s="75" t="str">
        <f>'IS normalized'!L51</f>
        <v>£'M</v>
      </c>
      <c r="M4" s="75" t="str">
        <f>'IS normalized'!M51</f>
        <v>£'M</v>
      </c>
      <c r="N4" s="75" t="str">
        <f>'IS normalized'!N51</f>
        <v>£'M</v>
      </c>
      <c r="O4" s="75" t="str">
        <f>'IS normalized'!O51</f>
        <v>£'M</v>
      </c>
      <c r="P4" s="75" t="str">
        <f>'IS normalized'!P51</f>
        <v>£'M</v>
      </c>
      <c r="Q4" s="75" t="str">
        <f>'IS normalized'!Q51</f>
        <v>£'M</v>
      </c>
    </row>
    <row r="5" spans="1:19">
      <c r="A5" s="5" t="s">
        <v>29</v>
      </c>
      <c r="B5" s="4"/>
      <c r="C5" s="4"/>
      <c r="D5" s="4"/>
      <c r="E5" s="4"/>
      <c r="F5" s="4"/>
      <c r="G5" s="18"/>
      <c r="H5" s="76"/>
      <c r="I5" s="76"/>
      <c r="J5" s="76"/>
      <c r="K5" s="76"/>
      <c r="L5" s="76"/>
      <c r="M5" s="76"/>
      <c r="N5" s="76"/>
      <c r="O5" s="76"/>
      <c r="P5" s="76"/>
      <c r="Q5" s="76"/>
    </row>
    <row r="6" spans="1:19">
      <c r="A6" s="4" t="s">
        <v>30</v>
      </c>
      <c r="B6" s="8" t="s">
        <v>136</v>
      </c>
      <c r="C6" s="17">
        <v>187.2</v>
      </c>
      <c r="D6" s="17">
        <v>189.4</v>
      </c>
      <c r="E6" s="17">
        <v>193.1</v>
      </c>
      <c r="F6" s="17">
        <v>182.9</v>
      </c>
      <c r="G6" s="17">
        <v>266.10000000000002</v>
      </c>
      <c r="H6" s="77">
        <f>H164*H22</f>
        <v>258.68325856074432</v>
      </c>
      <c r="I6" s="77">
        <f t="shared" ref="I6:Q6" si="0">I164*I22</f>
        <v>279.37791924560389</v>
      </c>
      <c r="J6" s="77">
        <f t="shared" si="0"/>
        <v>301.72815278525223</v>
      </c>
      <c r="K6" s="77">
        <f t="shared" si="0"/>
        <v>325.86640500807238</v>
      </c>
      <c r="L6" s="77">
        <f t="shared" si="0"/>
        <v>351.93571740871823</v>
      </c>
      <c r="M6" s="77">
        <f t="shared" si="0"/>
        <v>380.09057480141564</v>
      </c>
      <c r="N6" s="77">
        <f t="shared" si="0"/>
        <v>410.49782078552903</v>
      </c>
      <c r="O6" s="77">
        <f t="shared" si="0"/>
        <v>443.33764644837134</v>
      </c>
      <c r="P6" s="77">
        <f t="shared" si="0"/>
        <v>478.80465816424112</v>
      </c>
      <c r="Q6" s="77">
        <f t="shared" si="0"/>
        <v>517.10903081738036</v>
      </c>
    </row>
    <row r="7" spans="1:19">
      <c r="A7" s="4" t="s">
        <v>31</v>
      </c>
      <c r="B7" s="8" t="s">
        <v>136</v>
      </c>
      <c r="C7" s="17">
        <v>52.8</v>
      </c>
      <c r="D7" s="17">
        <v>41.8</v>
      </c>
      <c r="E7" s="17">
        <v>29</v>
      </c>
      <c r="F7" s="17">
        <v>21</v>
      </c>
      <c r="G7" s="17">
        <v>118.6</v>
      </c>
      <c r="H7" s="77">
        <f>H22*H165</f>
        <v>105.05151043215741</v>
      </c>
      <c r="I7" s="77">
        <f t="shared" ref="I7:Q7" si="1">I22*I165</f>
        <v>113.45563126673001</v>
      </c>
      <c r="J7" s="77">
        <f t="shared" si="1"/>
        <v>122.53208176806844</v>
      </c>
      <c r="K7" s="77">
        <f t="shared" si="1"/>
        <v>132.33464830951391</v>
      </c>
      <c r="L7" s="77">
        <f t="shared" si="1"/>
        <v>142.92142017427503</v>
      </c>
      <c r="M7" s="77">
        <f t="shared" si="1"/>
        <v>154.35513378821702</v>
      </c>
      <c r="N7" s="77">
        <f t="shared" si="1"/>
        <v>166.70354449127444</v>
      </c>
      <c r="O7" s="77">
        <f t="shared" si="1"/>
        <v>180.0398280505764</v>
      </c>
      <c r="P7" s="77">
        <f t="shared" si="1"/>
        <v>194.44301429462254</v>
      </c>
      <c r="Q7" s="77">
        <f t="shared" si="1"/>
        <v>209.99845543819234</v>
      </c>
    </row>
    <row r="8" spans="1:19">
      <c r="A8" s="4" t="s">
        <v>32</v>
      </c>
      <c r="B8" s="8" t="s">
        <v>136</v>
      </c>
      <c r="C8" s="17">
        <v>19.399999999999999</v>
      </c>
      <c r="D8" s="17">
        <v>16.899999999999999</v>
      </c>
      <c r="E8" s="17">
        <v>13.9</v>
      </c>
      <c r="F8" s="17">
        <v>11.5</v>
      </c>
      <c r="G8" s="17">
        <v>12.9</v>
      </c>
      <c r="H8" s="77">
        <f>H22*H166</f>
        <v>30.922854865670949</v>
      </c>
      <c r="I8" s="77">
        <f t="shared" ref="I8:Q8" si="2">I22*I166</f>
        <v>33.396683254924632</v>
      </c>
      <c r="J8" s="77">
        <f t="shared" si="2"/>
        <v>36.068417915318605</v>
      </c>
      <c r="K8" s="77">
        <f t="shared" si="2"/>
        <v>38.95389134854409</v>
      </c>
      <c r="L8" s="77">
        <f t="shared" si="2"/>
        <v>42.070202656427625</v>
      </c>
      <c r="M8" s="77">
        <f t="shared" si="2"/>
        <v>45.43581886894183</v>
      </c>
      <c r="N8" s="77">
        <f t="shared" si="2"/>
        <v>49.070684378457187</v>
      </c>
      <c r="O8" s="77">
        <f t="shared" si="2"/>
        <v>52.996339128733766</v>
      </c>
      <c r="P8" s="77">
        <f t="shared" si="2"/>
        <v>57.236046259032477</v>
      </c>
      <c r="Q8" s="77">
        <f t="shared" si="2"/>
        <v>61.814929959755069</v>
      </c>
      <c r="S8" s="53"/>
    </row>
    <row r="9" spans="1:19">
      <c r="A9" s="4" t="s">
        <v>33</v>
      </c>
      <c r="B9" s="8" t="s">
        <v>136</v>
      </c>
      <c r="C9" s="17">
        <v>0</v>
      </c>
      <c r="D9" s="17">
        <v>0</v>
      </c>
      <c r="E9" s="17">
        <v>28.7</v>
      </c>
      <c r="F9" s="17">
        <v>23.8</v>
      </c>
      <c r="G9" s="17">
        <v>22</v>
      </c>
      <c r="H9" s="77">
        <f>H22*H167</f>
        <v>17.11718071230969</v>
      </c>
      <c r="I9" s="77">
        <f t="shared" ref="I9:Q9" si="3">I22*I167</f>
        <v>18.486555169294466</v>
      </c>
      <c r="J9" s="77">
        <f t="shared" si="3"/>
        <v>19.965479582838025</v>
      </c>
      <c r="K9" s="77">
        <f t="shared" si="3"/>
        <v>21.562717949465068</v>
      </c>
      <c r="L9" s="77">
        <f t="shared" si="3"/>
        <v>23.287735385422277</v>
      </c>
      <c r="M9" s="77">
        <f t="shared" si="3"/>
        <v>25.150754216256058</v>
      </c>
      <c r="N9" s="77">
        <f t="shared" si="3"/>
        <v>27.162814553556547</v>
      </c>
      <c r="O9" s="77">
        <f t="shared" si="3"/>
        <v>29.335839717841072</v>
      </c>
      <c r="P9" s="77">
        <f t="shared" si="3"/>
        <v>31.682706895268364</v>
      </c>
      <c r="Q9" s="77">
        <f t="shared" si="3"/>
        <v>34.217323446889829</v>
      </c>
    </row>
    <row r="10" spans="1:19">
      <c r="A10" s="4" t="s">
        <v>34</v>
      </c>
      <c r="B10" s="8" t="s">
        <v>142</v>
      </c>
      <c r="C10" s="17">
        <v>0.4</v>
      </c>
      <c r="D10" s="17">
        <v>0.3</v>
      </c>
      <c r="E10" s="17">
        <v>0.3</v>
      </c>
      <c r="F10" s="17">
        <v>0.3</v>
      </c>
      <c r="G10" s="17">
        <v>0.3</v>
      </c>
      <c r="H10" s="77">
        <f>G10</f>
        <v>0.3</v>
      </c>
      <c r="I10" s="77">
        <f t="shared" ref="I10:Q10" si="4">H10</f>
        <v>0.3</v>
      </c>
      <c r="J10" s="77">
        <f t="shared" si="4"/>
        <v>0.3</v>
      </c>
      <c r="K10" s="77">
        <f t="shared" si="4"/>
        <v>0.3</v>
      </c>
      <c r="L10" s="77">
        <f t="shared" si="4"/>
        <v>0.3</v>
      </c>
      <c r="M10" s="77">
        <f t="shared" si="4"/>
        <v>0.3</v>
      </c>
      <c r="N10" s="77">
        <f t="shared" si="4"/>
        <v>0.3</v>
      </c>
      <c r="O10" s="77">
        <f t="shared" si="4"/>
        <v>0.3</v>
      </c>
      <c r="P10" s="77">
        <f t="shared" si="4"/>
        <v>0.3</v>
      </c>
      <c r="Q10" s="77">
        <f t="shared" si="4"/>
        <v>0.3</v>
      </c>
    </row>
    <row r="11" spans="1:19">
      <c r="A11" s="4" t="s">
        <v>35</v>
      </c>
      <c r="B11" s="8" t="s">
        <v>137</v>
      </c>
      <c r="C11" s="17">
        <v>4.5</v>
      </c>
      <c r="D11" s="17">
        <v>1.1000000000000001</v>
      </c>
      <c r="E11" s="17">
        <v>2.2999999999999998</v>
      </c>
      <c r="F11" s="17">
        <v>2</v>
      </c>
      <c r="G11" s="17">
        <v>1.4</v>
      </c>
      <c r="H11" s="77">
        <f>H$22*H169</f>
        <v>2.1010302086431483</v>
      </c>
      <c r="I11" s="77">
        <f t="shared" ref="I11:Q11" si="5">I$22*I169</f>
        <v>2.2691126253345999</v>
      </c>
      <c r="J11" s="77">
        <f t="shared" si="5"/>
        <v>2.4506416353613685</v>
      </c>
      <c r="K11" s="77">
        <f t="shared" si="5"/>
        <v>2.6466929661902778</v>
      </c>
      <c r="L11" s="77">
        <f t="shared" si="5"/>
        <v>2.8584284034855005</v>
      </c>
      <c r="M11" s="77">
        <f t="shared" si="5"/>
        <v>3.0871026757643403</v>
      </c>
      <c r="N11" s="77">
        <f t="shared" si="5"/>
        <v>3.3340708898254885</v>
      </c>
      <c r="O11" s="77">
        <f t="shared" si="5"/>
        <v>3.6007965610115273</v>
      </c>
      <c r="P11" s="77">
        <f t="shared" si="5"/>
        <v>3.8888602858924504</v>
      </c>
      <c r="Q11" s="77">
        <f t="shared" si="5"/>
        <v>4.1999691087638462</v>
      </c>
    </row>
    <row r="12" spans="1:19">
      <c r="A12" s="19" t="s">
        <v>36</v>
      </c>
      <c r="B12" s="20"/>
      <c r="C12" s="21">
        <f>SUM(C6:C11)</f>
        <v>264.29999999999995</v>
      </c>
      <c r="D12" s="21">
        <f>SUM(D6:D11)</f>
        <v>249.5</v>
      </c>
      <c r="E12" s="21">
        <f>SUM(E6:E11)</f>
        <v>267.3</v>
      </c>
      <c r="F12" s="21">
        <f>SUM(F6:F11)</f>
        <v>241.50000000000003</v>
      </c>
      <c r="G12" s="21">
        <f>SUM(G6:G11)</f>
        <v>421.3</v>
      </c>
      <c r="H12" s="21">
        <f t="shared" ref="H12:Q12" si="6">SUM(H6:H11)</f>
        <v>414.17583477952553</v>
      </c>
      <c r="I12" s="21">
        <f t="shared" si="6"/>
        <v>447.28590156188761</v>
      </c>
      <c r="J12" s="21">
        <f t="shared" si="6"/>
        <v>483.04477368683871</v>
      </c>
      <c r="K12" s="21">
        <f t="shared" si="6"/>
        <v>521.66435558178568</v>
      </c>
      <c r="L12" s="21">
        <f t="shared" si="6"/>
        <v>563.37350402832851</v>
      </c>
      <c r="M12" s="21">
        <f t="shared" si="6"/>
        <v>608.41938435059478</v>
      </c>
      <c r="N12" s="21">
        <f t="shared" si="6"/>
        <v>657.06893509864267</v>
      </c>
      <c r="O12" s="21">
        <f t="shared" si="6"/>
        <v>709.61044990653409</v>
      </c>
      <c r="P12" s="21">
        <f t="shared" si="6"/>
        <v>766.35528589905687</v>
      </c>
      <c r="Q12" s="21">
        <f t="shared" si="6"/>
        <v>827.63970877098143</v>
      </c>
    </row>
    <row r="13" spans="1:19">
      <c r="A13" s="4"/>
      <c r="B13" s="8"/>
      <c r="C13" s="17"/>
      <c r="D13" s="17"/>
      <c r="E13" s="17"/>
      <c r="F13" s="17"/>
      <c r="G13" s="17"/>
      <c r="H13" s="77"/>
      <c r="I13" s="77"/>
      <c r="J13" s="77"/>
      <c r="K13" s="77"/>
      <c r="L13" s="77"/>
      <c r="M13" s="77"/>
      <c r="N13" s="77"/>
      <c r="O13" s="77"/>
      <c r="P13" s="77"/>
      <c r="Q13" s="77"/>
      <c r="S13" s="53"/>
    </row>
    <row r="14" spans="1:19">
      <c r="A14" s="5" t="s">
        <v>37</v>
      </c>
      <c r="B14" s="8"/>
      <c r="C14" s="17"/>
      <c r="D14" s="17"/>
      <c r="E14" s="17"/>
      <c r="F14" s="17"/>
      <c r="G14" s="1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1:19">
      <c r="A15" s="4" t="s">
        <v>38</v>
      </c>
      <c r="B15" s="8" t="s">
        <v>136</v>
      </c>
      <c r="C15" s="17">
        <v>0.8</v>
      </c>
      <c r="D15" s="17">
        <v>0.7</v>
      </c>
      <c r="E15" s="17">
        <v>0.9</v>
      </c>
      <c r="F15" s="17">
        <v>1.1000000000000001</v>
      </c>
      <c r="G15" s="17">
        <v>0.9</v>
      </c>
      <c r="H15" s="77">
        <f>(Assumptions!I27*-'IS normalized'!H5)/365</f>
        <v>1.1259246751084768</v>
      </c>
      <c r="I15" s="77">
        <f>(Assumptions!J27*-'IS normalized'!I5)/365</f>
        <v>1.2159986491171553</v>
      </c>
      <c r="J15" s="77">
        <f>(Assumptions!K27*-'IS normalized'!J5)/365</f>
        <v>1.3132785410465275</v>
      </c>
      <c r="K15" s="77">
        <f>(Assumptions!L27*-'IS normalized'!K5)/365</f>
        <v>1.4183408243302498</v>
      </c>
      <c r="L15" s="77">
        <f>(Assumptions!M27*-'IS normalized'!L5)/365</f>
        <v>1.5318080902766695</v>
      </c>
      <c r="M15" s="77">
        <f>(Assumptions!N27*-'IS normalized'!M5)/365</f>
        <v>1.6543527374988036</v>
      </c>
      <c r="N15" s="77">
        <f>(Assumptions!O27*-'IS normalized'!N5)/365</f>
        <v>1.786700956498708</v>
      </c>
      <c r="O15" s="77">
        <f>(Assumptions!P27*-'IS normalized'!O5)/365</f>
        <v>1.9296370330186046</v>
      </c>
      <c r="P15" s="77">
        <f>(Assumptions!Q27*-'IS normalized'!P5)/365</f>
        <v>2.0840079956600932</v>
      </c>
      <c r="Q15" s="77">
        <f>(Assumptions!R27*-'IS normalized'!Q5)/365</f>
        <v>2.250728635312901</v>
      </c>
    </row>
    <row r="16" spans="1:19">
      <c r="A16" s="4" t="s">
        <v>39</v>
      </c>
      <c r="B16" s="8" t="s">
        <v>136</v>
      </c>
      <c r="C16" s="17">
        <v>66</v>
      </c>
      <c r="D16" s="17">
        <v>61.6</v>
      </c>
      <c r="E16" s="17">
        <v>73.400000000000006</v>
      </c>
      <c r="F16" s="17">
        <v>68.7</v>
      </c>
      <c r="G16" s="17">
        <v>77.7</v>
      </c>
      <c r="H16" s="77">
        <f>(Assumptions!I26*'IS normalized'!H4)/365</f>
        <v>88.947832369755218</v>
      </c>
      <c r="I16" s="77">
        <f>(Assumptions!J26*'IS normalized'!I4)/365</f>
        <v>96.063658959335655</v>
      </c>
      <c r="J16" s="77">
        <f>(Assumptions!K26*'IS normalized'!J4)/365</f>
        <v>103.74875167608249</v>
      </c>
      <c r="K16" s="77">
        <f>(Assumptions!L26*'IS normalized'!K4)/365</f>
        <v>112.04865181016909</v>
      </c>
      <c r="L16" s="77">
        <f>(Assumptions!M26*'IS normalized'!L4)/365</f>
        <v>121.01254395498263</v>
      </c>
      <c r="M16" s="77">
        <f>(Assumptions!N26*'IS normalized'!M4)/365</f>
        <v>130.69354747138127</v>
      </c>
      <c r="N16" s="77">
        <f>(Assumptions!O26*'IS normalized'!N4)/365</f>
        <v>141.14903126909178</v>
      </c>
      <c r="O16" s="77">
        <f>(Assumptions!P26*'IS normalized'!O4)/365</f>
        <v>152.44095377061913</v>
      </c>
      <c r="P16" s="77">
        <f>(Assumptions!Q26*'IS normalized'!P4)/365</f>
        <v>164.63623007226869</v>
      </c>
      <c r="Q16" s="77">
        <f>(Assumptions!R26*'IS normalized'!Q4)/365</f>
        <v>177.80712847805017</v>
      </c>
      <c r="R16" s="99"/>
    </row>
    <row r="17" spans="1:19">
      <c r="A17" s="4" t="s">
        <v>40</v>
      </c>
      <c r="B17" s="8" t="s">
        <v>142</v>
      </c>
      <c r="C17" s="17"/>
      <c r="D17" s="17"/>
      <c r="E17" s="17"/>
      <c r="F17" s="17">
        <v>0</v>
      </c>
      <c r="G17" s="17">
        <v>0.2</v>
      </c>
      <c r="H17" s="77">
        <f>H$22*H175</f>
        <v>5.387256945238842E-2</v>
      </c>
      <c r="I17" s="77">
        <f t="shared" ref="I17:Q17" si="7">I$22*I175</f>
        <v>5.8182375008579493E-2</v>
      </c>
      <c r="J17" s="77">
        <f t="shared" si="7"/>
        <v>6.283696500926586E-2</v>
      </c>
      <c r="K17" s="77">
        <f t="shared" si="7"/>
        <v>6.786392221000713E-2</v>
      </c>
      <c r="L17" s="77">
        <f t="shared" si="7"/>
        <v>7.3293035986807711E-2</v>
      </c>
      <c r="M17" s="77">
        <f t="shared" si="7"/>
        <v>7.9156478865752319E-2</v>
      </c>
      <c r="N17" s="77">
        <f t="shared" si="7"/>
        <v>8.5488997175012529E-2</v>
      </c>
      <c r="O17" s="77">
        <f t="shared" si="7"/>
        <v>9.2328116949013536E-2</v>
      </c>
      <c r="P17" s="77">
        <f t="shared" si="7"/>
        <v>9.9714366304934632E-2</v>
      </c>
      <c r="Q17" s="77">
        <f t="shared" si="7"/>
        <v>0.10769151560932939</v>
      </c>
    </row>
    <row r="18" spans="1:19">
      <c r="A18" s="4" t="s">
        <v>41</v>
      </c>
      <c r="B18" s="8" t="s">
        <v>142</v>
      </c>
      <c r="C18" s="17">
        <v>1.5</v>
      </c>
      <c r="D18" s="17"/>
      <c r="E18" s="17"/>
      <c r="F18" s="17">
        <v>0</v>
      </c>
      <c r="G18" s="17">
        <v>0</v>
      </c>
      <c r="H18" s="77">
        <f>H$22*H176</f>
        <v>0</v>
      </c>
      <c r="I18" s="77">
        <f t="shared" ref="I18:Q18" si="8">I$22*I176</f>
        <v>0</v>
      </c>
      <c r="J18" s="77">
        <f t="shared" si="8"/>
        <v>0</v>
      </c>
      <c r="K18" s="77">
        <f t="shared" si="8"/>
        <v>0</v>
      </c>
      <c r="L18" s="77">
        <f t="shared" si="8"/>
        <v>0</v>
      </c>
      <c r="M18" s="77">
        <f t="shared" si="8"/>
        <v>0</v>
      </c>
      <c r="N18" s="77">
        <f t="shared" si="8"/>
        <v>0</v>
      </c>
      <c r="O18" s="77">
        <f t="shared" si="8"/>
        <v>0</v>
      </c>
      <c r="P18" s="77">
        <f t="shared" si="8"/>
        <v>0</v>
      </c>
      <c r="Q18" s="77">
        <f t="shared" si="8"/>
        <v>0</v>
      </c>
    </row>
    <row r="19" spans="1:19">
      <c r="A19" s="4" t="s">
        <v>42</v>
      </c>
      <c r="B19" s="8" t="s">
        <v>136</v>
      </c>
      <c r="C19" s="17">
        <v>0</v>
      </c>
      <c r="D19" s="17">
        <v>0.6</v>
      </c>
      <c r="E19" s="17">
        <v>0.6</v>
      </c>
      <c r="F19" s="17">
        <v>4.5</v>
      </c>
      <c r="G19" s="17">
        <v>3.1</v>
      </c>
      <c r="H19" s="77">
        <f>H$22*H177</f>
        <v>1.6161770835716525</v>
      </c>
      <c r="I19" s="77">
        <f t="shared" ref="I19:Q19" si="9">I$22*I177</f>
        <v>1.7454712502573848</v>
      </c>
      <c r="J19" s="77">
        <f t="shared" si="9"/>
        <v>1.8851089502779759</v>
      </c>
      <c r="K19" s="77">
        <f t="shared" si="9"/>
        <v>2.0359176663002136</v>
      </c>
      <c r="L19" s="77">
        <f t="shared" si="9"/>
        <v>2.1987910796042311</v>
      </c>
      <c r="M19" s="77">
        <f t="shared" si="9"/>
        <v>2.3746943659725694</v>
      </c>
      <c r="N19" s="77">
        <f t="shared" si="9"/>
        <v>2.5646699152503758</v>
      </c>
      <c r="O19" s="77">
        <f t="shared" si="9"/>
        <v>2.7698435084704061</v>
      </c>
      <c r="P19" s="77">
        <f t="shared" si="9"/>
        <v>2.9914309891480388</v>
      </c>
      <c r="Q19" s="77">
        <f t="shared" si="9"/>
        <v>3.2307454682798817</v>
      </c>
    </row>
    <row r="20" spans="1:19">
      <c r="A20" s="4" t="s">
        <v>43</v>
      </c>
      <c r="B20" s="8" t="s">
        <v>133</v>
      </c>
      <c r="C20" s="17">
        <v>21.2</v>
      </c>
      <c r="D20" s="17">
        <v>34.9</v>
      </c>
      <c r="E20" s="17">
        <v>95</v>
      </c>
      <c r="F20" s="17">
        <v>116.5</v>
      </c>
      <c r="G20" s="17">
        <v>73.2</v>
      </c>
      <c r="H20" s="77">
        <f>H$22*H178</f>
        <v>32.80487396694118</v>
      </c>
      <c r="I20" s="77">
        <f t="shared" ref="I20:Q20" si="10">I$22*I178</f>
        <v>35.453263884296433</v>
      </c>
      <c r="J20" s="77">
        <f t="shared" si="10"/>
        <v>38.313524995040112</v>
      </c>
      <c r="K20" s="77">
        <f t="shared" si="10"/>
        <v>41.402606994643428</v>
      </c>
      <c r="L20" s="77">
        <f t="shared" si="10"/>
        <v>44.738815554215002</v>
      </c>
      <c r="M20" s="77">
        <f t="shared" si="10"/>
        <v>48.341920798552181</v>
      </c>
      <c r="N20" s="77">
        <f t="shared" si="10"/>
        <v>52.233274462436277</v>
      </c>
      <c r="O20" s="77">
        <f t="shared" si="10"/>
        <v>56.435936419431215</v>
      </c>
      <c r="P20" s="77">
        <f t="shared" si="10"/>
        <v>60.974811332985766</v>
      </c>
      <c r="Q20" s="77">
        <f t="shared" si="10"/>
        <v>65.876796239624539</v>
      </c>
    </row>
    <row r="21" spans="1:19">
      <c r="A21" s="4" t="s">
        <v>44</v>
      </c>
      <c r="B21" s="8"/>
      <c r="C21" s="17">
        <f>SUM(C15:C20)</f>
        <v>89.5</v>
      </c>
      <c r="D21" s="17">
        <f>SUM(D15:D20)</f>
        <v>97.800000000000011</v>
      </c>
      <c r="E21" s="17">
        <f>SUM(E15:E20)</f>
        <v>169.9</v>
      </c>
      <c r="F21" s="17">
        <f>SUM(F15:F20)</f>
        <v>190.8</v>
      </c>
      <c r="G21" s="17">
        <f>SUM(G15:G20)</f>
        <v>155.10000000000002</v>
      </c>
      <c r="H21" s="17">
        <f t="shared" ref="H21:Q21" si="11">SUM(H15:H20)</f>
        <v>124.54868066482894</v>
      </c>
      <c r="I21" s="17">
        <f t="shared" si="11"/>
        <v>134.53657511801521</v>
      </c>
      <c r="J21" s="17">
        <f t="shared" si="11"/>
        <v>145.32350112745638</v>
      </c>
      <c r="K21" s="17">
        <f t="shared" si="11"/>
        <v>156.97338121765299</v>
      </c>
      <c r="L21" s="17">
        <f t="shared" si="11"/>
        <v>169.55525171506534</v>
      </c>
      <c r="M21" s="17">
        <f t="shared" si="11"/>
        <v>183.14367185227059</v>
      </c>
      <c r="N21" s="17">
        <f t="shared" si="11"/>
        <v>197.81916560045215</v>
      </c>
      <c r="O21" s="17">
        <f t="shared" si="11"/>
        <v>213.66869884848836</v>
      </c>
      <c r="P21" s="17">
        <f t="shared" si="11"/>
        <v>230.78619475636754</v>
      </c>
      <c r="Q21" s="17">
        <f t="shared" si="11"/>
        <v>249.27309033687681</v>
      </c>
    </row>
    <row r="22" spans="1:19" ht="15" thickBot="1">
      <c r="A22" s="13" t="s">
        <v>45</v>
      </c>
      <c r="B22" s="14"/>
      <c r="C22" s="22">
        <f>C12+C21</f>
        <v>353.79999999999995</v>
      </c>
      <c r="D22" s="22">
        <f>D12+D21</f>
        <v>347.3</v>
      </c>
      <c r="E22" s="22">
        <f>E12+E21</f>
        <v>437.20000000000005</v>
      </c>
      <c r="F22" s="22">
        <f>F12+F21</f>
        <v>432.30000000000007</v>
      </c>
      <c r="G22" s="22">
        <f>G12+G21</f>
        <v>576.40000000000009</v>
      </c>
      <c r="H22" s="118">
        <f>'IS normalized'!H4/Assumptions!I23</f>
        <v>538.72569452388416</v>
      </c>
      <c r="I22" s="118">
        <f>'IS normalized'!I4/Assumptions!J23</f>
        <v>581.82375008579493</v>
      </c>
      <c r="J22" s="118">
        <f>'IS normalized'!J4/Assumptions!K23</f>
        <v>628.36965009265862</v>
      </c>
      <c r="K22" s="118">
        <f>'IS normalized'!K4/Assumptions!L23</f>
        <v>678.63922210007127</v>
      </c>
      <c r="L22" s="118">
        <f>'IS normalized'!L4/Assumptions!M23</f>
        <v>732.93035986807706</v>
      </c>
      <c r="M22" s="118">
        <f>'IS normalized'!M4/Assumptions!N23</f>
        <v>791.5647886575232</v>
      </c>
      <c r="N22" s="118">
        <f>'IS normalized'!N4/Assumptions!O23</f>
        <v>854.88997175012526</v>
      </c>
      <c r="O22" s="118">
        <f>'IS normalized'!O4/Assumptions!P23</f>
        <v>923.28116949013531</v>
      </c>
      <c r="P22" s="118">
        <f>'IS normalized'!P4/Assumptions!Q23</f>
        <v>997.14366304934629</v>
      </c>
      <c r="Q22" s="749">
        <f>'IS normalized'!Q4/Assumptions!R23</f>
        <v>1076.9151560932939</v>
      </c>
    </row>
    <row r="23" spans="1:19" ht="15" thickTop="1">
      <c r="A23" s="4"/>
      <c r="B23" s="8"/>
      <c r="C23" s="17"/>
      <c r="D23" s="17"/>
      <c r="E23" s="17"/>
      <c r="F23" s="17"/>
      <c r="G23" s="17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1:19">
      <c r="A24" s="5" t="s">
        <v>46</v>
      </c>
      <c r="B24" s="8"/>
      <c r="C24" s="17"/>
      <c r="D24" s="17"/>
      <c r="E24" s="17"/>
      <c r="F24" s="17"/>
      <c r="G24" s="17"/>
      <c r="H24" s="77"/>
      <c r="I24" s="77"/>
      <c r="J24" s="77"/>
      <c r="K24" s="77"/>
      <c r="L24" s="77"/>
      <c r="M24" s="77"/>
      <c r="N24" s="77"/>
      <c r="O24" s="77"/>
      <c r="P24" s="77"/>
      <c r="Q24" s="77"/>
      <c r="S24" s="79"/>
    </row>
    <row r="25" spans="1:19">
      <c r="A25" s="4" t="s">
        <v>47</v>
      </c>
      <c r="B25" s="8" t="s">
        <v>139</v>
      </c>
      <c r="C25" s="17">
        <v>35.700000000000003</v>
      </c>
      <c r="D25" s="17">
        <v>31.6</v>
      </c>
      <c r="E25" s="17">
        <v>46.4</v>
      </c>
      <c r="F25" s="17">
        <v>45.2</v>
      </c>
      <c r="G25" s="17">
        <v>48.3</v>
      </c>
      <c r="H25" s="77">
        <f>(Assumptions!I28*-'IS normalized'!H5)/365</f>
        <v>52.734678997034052</v>
      </c>
      <c r="I25" s="77">
        <f>(Assumptions!J28*-'IS normalized'!I5)/365</f>
        <v>56.953453316796789</v>
      </c>
      <c r="J25" s="77">
        <f>(Assumptions!K28*-'IS normalized'!J5)/365</f>
        <v>61.509729582140523</v>
      </c>
      <c r="K25" s="77">
        <f>(Assumptions!L28*-'IS normalized'!K5)/365</f>
        <v>66.430507948711778</v>
      </c>
      <c r="L25" s="77">
        <f>(Assumptions!M28*-'IS normalized'!L5)/365</f>
        <v>71.744948584608707</v>
      </c>
      <c r="M25" s="77">
        <f>(Assumptions!N28*-'IS normalized'!M5)/365</f>
        <v>77.484544471377419</v>
      </c>
      <c r="N25" s="77">
        <f>(Assumptions!O28*-'IS normalized'!N5)/365</f>
        <v>83.683308029087627</v>
      </c>
      <c r="O25" s="77">
        <f>(Assumptions!P28*-'IS normalized'!O5)/365</f>
        <v>90.377972671414639</v>
      </c>
      <c r="P25" s="77">
        <f>(Assumptions!Q28*-'IS normalized'!P5)/365</f>
        <v>97.608210485127827</v>
      </c>
      <c r="Q25" s="77">
        <f>(Assumptions!R28*-'IS normalized'!Q5)/365</f>
        <v>105.41686732393806</v>
      </c>
    </row>
    <row r="26" spans="1:19">
      <c r="A26" s="4" t="s">
        <v>179</v>
      </c>
      <c r="B26" s="8" t="s">
        <v>138</v>
      </c>
      <c r="C26" s="17">
        <v>0</v>
      </c>
      <c r="D26" s="17">
        <v>5</v>
      </c>
      <c r="E26" s="17">
        <v>0</v>
      </c>
      <c r="F26" s="17">
        <v>0</v>
      </c>
      <c r="G26" s="17">
        <v>18.5</v>
      </c>
      <c r="H26" s="77">
        <f>G26*(1+Assumptions!I32)</f>
        <v>18.87</v>
      </c>
      <c r="I26" s="77">
        <f>H26*(1+Assumptions!J32)</f>
        <v>19.247400000000003</v>
      </c>
      <c r="J26" s="77">
        <f>I26*(1+Assumptions!K32)</f>
        <v>19.632348000000004</v>
      </c>
      <c r="K26" s="77">
        <f>J26*(1+Assumptions!L32)</f>
        <v>20.024994960000004</v>
      </c>
      <c r="L26" s="77">
        <f>K26*(1+Assumptions!M32)</f>
        <v>20.425494859200004</v>
      </c>
      <c r="M26" s="77">
        <f>L26*(1+Assumptions!N32)</f>
        <v>20.834004756384005</v>
      </c>
      <c r="N26" s="77">
        <f>M26*(1+Assumptions!O32)</f>
        <v>21.250684851511686</v>
      </c>
      <c r="O26" s="77">
        <f>N26*(1+Assumptions!P32)</f>
        <v>21.67569854854192</v>
      </c>
      <c r="P26" s="77">
        <f>O26*(1+Assumptions!Q32)</f>
        <v>22.109212519512759</v>
      </c>
      <c r="Q26" s="77">
        <f>P26*(1+Assumptions!R32)</f>
        <v>22.551396769903015</v>
      </c>
    </row>
    <row r="27" spans="1:19">
      <c r="A27" s="4" t="s">
        <v>178</v>
      </c>
      <c r="B27" s="8" t="s">
        <v>138</v>
      </c>
      <c r="C27" s="17"/>
      <c r="D27" s="17">
        <v>0</v>
      </c>
      <c r="E27" s="17">
        <v>5.3</v>
      </c>
      <c r="F27" s="17">
        <v>5.0999999999999996</v>
      </c>
      <c r="G27" s="17">
        <v>5.4</v>
      </c>
      <c r="H27" s="77">
        <f>G27*(1+Assumptions!I32)</f>
        <v>5.5080000000000009</v>
      </c>
      <c r="I27" s="77">
        <f>H27*(1+Assumptions!J32)</f>
        <v>5.6181600000000014</v>
      </c>
      <c r="J27" s="77">
        <f>I27*(1+Assumptions!K32)</f>
        <v>5.7305232000000013</v>
      </c>
      <c r="K27" s="77">
        <f>J27*(1+Assumptions!L32)</f>
        <v>5.8451336640000013</v>
      </c>
      <c r="L27" s="77">
        <f>K27*(1+Assumptions!M32)</f>
        <v>5.9620363372800016</v>
      </c>
      <c r="M27" s="77">
        <f>L27*(1+Assumptions!N32)</f>
        <v>6.0812770640256018</v>
      </c>
      <c r="N27" s="77">
        <f>M27*(1+Assumptions!O32)</f>
        <v>6.2029026053061136</v>
      </c>
      <c r="O27" s="77">
        <f>N27*(1+Assumptions!P32)</f>
        <v>6.3269606574122363</v>
      </c>
      <c r="P27" s="77">
        <f>O27*(1+Assumptions!Q32)</f>
        <v>6.4534998705604814</v>
      </c>
      <c r="Q27" s="77">
        <f>P27*(1+Assumptions!R32)</f>
        <v>6.5825698679716913</v>
      </c>
    </row>
    <row r="28" spans="1:19">
      <c r="A28" s="4" t="s">
        <v>50</v>
      </c>
      <c r="B28" s="8" t="s">
        <v>139</v>
      </c>
      <c r="C28" s="17">
        <v>1.3</v>
      </c>
      <c r="D28" s="17">
        <v>0</v>
      </c>
      <c r="E28" s="17">
        <v>0</v>
      </c>
      <c r="F28" s="17">
        <v>4</v>
      </c>
      <c r="G28" s="17">
        <v>7.4</v>
      </c>
      <c r="H28" s="77">
        <f t="shared" ref="H28:Q28" si="12">H$43*H220</f>
        <v>4.848168225436261</v>
      </c>
      <c r="I28" s="77">
        <f t="shared" si="12"/>
        <v>5.5445024819358748</v>
      </c>
      <c r="J28" s="77">
        <f t="shared" si="12"/>
        <v>6.2953745136836758</v>
      </c>
      <c r="K28" s="77">
        <f t="shared" si="12"/>
        <v>7.1051239633940808</v>
      </c>
      <c r="L28" s="77">
        <f t="shared" si="12"/>
        <v>7.9802350258707282</v>
      </c>
      <c r="M28" s="77">
        <f t="shared" si="12"/>
        <v>8.9240065871518794</v>
      </c>
      <c r="N28" s="77">
        <f t="shared" si="12"/>
        <v>9.9465807227375258</v>
      </c>
      <c r="O28" s="77">
        <f t="shared" si="12"/>
        <v>11.049277355975001</v>
      </c>
      <c r="P28" s="77">
        <f t="shared" si="12"/>
        <v>12.238472618012555</v>
      </c>
      <c r="Q28" s="77">
        <f t="shared" si="12"/>
        <v>13.521052057117013</v>
      </c>
    </row>
    <row r="29" spans="1:19">
      <c r="A29" s="4" t="s">
        <v>40</v>
      </c>
      <c r="B29" s="8" t="s">
        <v>143</v>
      </c>
      <c r="C29" s="17"/>
      <c r="D29" s="17">
        <v>0</v>
      </c>
      <c r="E29" s="17">
        <v>0</v>
      </c>
      <c r="F29" s="17">
        <v>0.8</v>
      </c>
      <c r="G29" s="17">
        <v>0</v>
      </c>
      <c r="H29" s="77">
        <f t="shared" ref="H29:Q29" si="13">H$43*H221</f>
        <v>0.97942792433055781</v>
      </c>
      <c r="I29" s="77">
        <f t="shared" si="13"/>
        <v>1.1201015115021968</v>
      </c>
      <c r="J29" s="77">
        <f t="shared" si="13"/>
        <v>1.2717928310472071</v>
      </c>
      <c r="K29" s="77">
        <f t="shared" si="13"/>
        <v>1.4353785784634505</v>
      </c>
      <c r="L29" s="77">
        <f t="shared" si="13"/>
        <v>1.6121686920950966</v>
      </c>
      <c r="M29" s="77">
        <f t="shared" si="13"/>
        <v>1.802829613566036</v>
      </c>
      <c r="N29" s="77">
        <f t="shared" si="13"/>
        <v>2.0094102470176818</v>
      </c>
      <c r="O29" s="77">
        <f t="shared" si="13"/>
        <v>2.232177243631313</v>
      </c>
      <c r="P29" s="77">
        <f t="shared" si="13"/>
        <v>2.4724187107096069</v>
      </c>
      <c r="Q29" s="77">
        <f t="shared" si="13"/>
        <v>2.7315256681044469</v>
      </c>
    </row>
    <row r="30" spans="1:19">
      <c r="A30" s="4" t="s">
        <v>51</v>
      </c>
      <c r="B30" s="8" t="s">
        <v>143</v>
      </c>
      <c r="C30" s="17"/>
      <c r="D30" s="17"/>
      <c r="E30" s="17"/>
      <c r="F30" s="17">
        <v>0</v>
      </c>
      <c r="G30" s="17">
        <v>1.9</v>
      </c>
      <c r="H30" s="77">
        <f t="shared" ref="H30:Q30" si="14">H$43*H222</f>
        <v>0</v>
      </c>
      <c r="I30" s="77">
        <f t="shared" si="14"/>
        <v>0</v>
      </c>
      <c r="J30" s="77">
        <f t="shared" si="14"/>
        <v>0</v>
      </c>
      <c r="K30" s="77">
        <f t="shared" si="14"/>
        <v>0</v>
      </c>
      <c r="L30" s="77">
        <f t="shared" si="14"/>
        <v>0</v>
      </c>
      <c r="M30" s="77">
        <f t="shared" si="14"/>
        <v>0</v>
      </c>
      <c r="N30" s="77">
        <f t="shared" si="14"/>
        <v>0</v>
      </c>
      <c r="O30" s="77">
        <f t="shared" si="14"/>
        <v>0</v>
      </c>
      <c r="P30" s="77">
        <f t="shared" si="14"/>
        <v>0</v>
      </c>
      <c r="Q30" s="77">
        <f t="shared" si="14"/>
        <v>0</v>
      </c>
    </row>
    <row r="31" spans="1:19">
      <c r="A31" s="4" t="s">
        <v>52</v>
      </c>
      <c r="B31" s="8" t="s">
        <v>139</v>
      </c>
      <c r="C31" s="17">
        <v>2.6</v>
      </c>
      <c r="D31" s="17">
        <v>2.7</v>
      </c>
      <c r="E31" s="17">
        <v>2</v>
      </c>
      <c r="F31" s="17">
        <v>2.4</v>
      </c>
      <c r="G31" s="17">
        <v>2.7</v>
      </c>
      <c r="H31" s="77">
        <f t="shared" ref="H31:Q31" si="15">H$43*H223</f>
        <v>3.1831407540743126</v>
      </c>
      <c r="I31" s="77">
        <f t="shared" si="15"/>
        <v>3.6403299123821395</v>
      </c>
      <c r="J31" s="77">
        <f t="shared" si="15"/>
        <v>4.1333267009034227</v>
      </c>
      <c r="K31" s="77">
        <f t="shared" si="15"/>
        <v>4.664980380006214</v>
      </c>
      <c r="L31" s="77">
        <f t="shared" si="15"/>
        <v>5.2395482493090633</v>
      </c>
      <c r="M31" s="77">
        <f t="shared" si="15"/>
        <v>5.8591962440896168</v>
      </c>
      <c r="N31" s="77">
        <f t="shared" si="15"/>
        <v>6.5305833028074654</v>
      </c>
      <c r="O31" s="77">
        <f t="shared" si="15"/>
        <v>7.2545760418017675</v>
      </c>
      <c r="P31" s="77">
        <f t="shared" si="15"/>
        <v>8.035360809806221</v>
      </c>
      <c r="Q31" s="77">
        <f t="shared" si="15"/>
        <v>8.8774584213394512</v>
      </c>
    </row>
    <row r="32" spans="1:19">
      <c r="A32" s="4" t="s">
        <v>53</v>
      </c>
      <c r="B32" s="8" t="s">
        <v>143</v>
      </c>
      <c r="C32" s="17">
        <v>11.9</v>
      </c>
      <c r="D32" s="17"/>
      <c r="E32" s="17"/>
      <c r="F32" s="17"/>
      <c r="G32" s="17"/>
      <c r="H32" s="77">
        <f t="shared" ref="H32:Q32" si="16">H$43*H224</f>
        <v>0</v>
      </c>
      <c r="I32" s="77">
        <f t="shared" si="16"/>
        <v>0</v>
      </c>
      <c r="J32" s="77">
        <f t="shared" si="16"/>
        <v>0</v>
      </c>
      <c r="K32" s="77">
        <f t="shared" si="16"/>
        <v>0</v>
      </c>
      <c r="L32" s="77">
        <f t="shared" si="16"/>
        <v>0</v>
      </c>
      <c r="M32" s="77">
        <f t="shared" si="16"/>
        <v>0</v>
      </c>
      <c r="N32" s="77">
        <f t="shared" si="16"/>
        <v>0</v>
      </c>
      <c r="O32" s="77">
        <f t="shared" si="16"/>
        <v>0</v>
      </c>
      <c r="P32" s="77">
        <f t="shared" si="16"/>
        <v>0</v>
      </c>
      <c r="Q32" s="77">
        <f t="shared" si="16"/>
        <v>0</v>
      </c>
    </row>
    <row r="33" spans="1:17">
      <c r="A33" s="4" t="s">
        <v>54</v>
      </c>
      <c r="B33" s="8" t="s">
        <v>139</v>
      </c>
      <c r="C33" s="17">
        <v>30.6</v>
      </c>
      <c r="D33" s="17">
        <v>36.200000000000003</v>
      </c>
      <c r="E33" s="17">
        <v>39.5</v>
      </c>
      <c r="F33" s="17">
        <v>43.6</v>
      </c>
      <c r="G33" s="17">
        <v>61.7</v>
      </c>
      <c r="H33" s="77">
        <f t="shared" ref="H33:Q33" si="17">H$43*H225</f>
        <v>55.092820743593876</v>
      </c>
      <c r="I33" s="77">
        <f t="shared" si="17"/>
        <v>63.005710021998574</v>
      </c>
      <c r="J33" s="77">
        <f t="shared" si="17"/>
        <v>71.538346746405395</v>
      </c>
      <c r="K33" s="77">
        <f t="shared" si="17"/>
        <v>80.740045038569093</v>
      </c>
      <c r="L33" s="77">
        <f t="shared" si="17"/>
        <v>90.684488930349175</v>
      </c>
      <c r="M33" s="77">
        <f t="shared" si="17"/>
        <v>101.40916576308952</v>
      </c>
      <c r="N33" s="77">
        <f t="shared" si="17"/>
        <v>113.0293263947446</v>
      </c>
      <c r="O33" s="77">
        <f t="shared" si="17"/>
        <v>125.55996995426136</v>
      </c>
      <c r="P33" s="77">
        <f t="shared" si="17"/>
        <v>139.07355247741538</v>
      </c>
      <c r="Q33" s="77">
        <f t="shared" si="17"/>
        <v>153.64831883087513</v>
      </c>
    </row>
    <row r="34" spans="1:17">
      <c r="A34" s="19" t="s">
        <v>55</v>
      </c>
      <c r="B34" s="20"/>
      <c r="C34" s="21">
        <f>SUM(C25:C33)</f>
        <v>82.1</v>
      </c>
      <c r="D34" s="21">
        <f>SUM(D25:D33)</f>
        <v>75.5</v>
      </c>
      <c r="E34" s="21">
        <f>SUM(E25:E33)</f>
        <v>93.199999999999989</v>
      </c>
      <c r="F34" s="21">
        <f>SUM(F25:F33)</f>
        <v>101.1</v>
      </c>
      <c r="G34" s="21">
        <f>SUM(G25:G33)</f>
        <v>145.90000000000003</v>
      </c>
      <c r="H34" s="21">
        <f t="shared" ref="H34:Q34" si="18">SUM(H25:H33)</f>
        <v>141.21623664446906</v>
      </c>
      <c r="I34" s="21">
        <f t="shared" si="18"/>
        <v>155.1296572446156</v>
      </c>
      <c r="J34" s="21">
        <f t="shared" si="18"/>
        <v>170.11144157418025</v>
      </c>
      <c r="K34" s="21">
        <f t="shared" si="18"/>
        <v>186.24616453314462</v>
      </c>
      <c r="L34" s="21">
        <f t="shared" si="18"/>
        <v>203.64892067871278</v>
      </c>
      <c r="M34" s="21">
        <f t="shared" si="18"/>
        <v>222.39502449968407</v>
      </c>
      <c r="N34" s="21">
        <f t="shared" si="18"/>
        <v>242.65279615321268</v>
      </c>
      <c r="O34" s="21">
        <f t="shared" si="18"/>
        <v>264.47663247303819</v>
      </c>
      <c r="P34" s="21">
        <f t="shared" si="18"/>
        <v>287.99072749114481</v>
      </c>
      <c r="Q34" s="21">
        <f t="shared" si="18"/>
        <v>313.32918893924875</v>
      </c>
    </row>
    <row r="35" spans="1:17">
      <c r="A35" s="4"/>
      <c r="B35" s="8"/>
      <c r="C35" s="17"/>
      <c r="D35" s="17"/>
      <c r="E35" s="17"/>
      <c r="F35" s="17"/>
      <c r="G35" s="1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1:17">
      <c r="A36" s="5" t="s">
        <v>56</v>
      </c>
      <c r="B36" s="8"/>
      <c r="C36" s="17"/>
      <c r="D36" s="17"/>
      <c r="E36" s="17"/>
      <c r="F36" s="17"/>
      <c r="G36" s="1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1:17">
      <c r="A37" s="4" t="s">
        <v>48</v>
      </c>
      <c r="B37" s="8" t="s">
        <v>138</v>
      </c>
      <c r="C37" s="17">
        <v>49</v>
      </c>
      <c r="D37" s="17">
        <v>50.1</v>
      </c>
      <c r="E37" s="17">
        <v>99.2</v>
      </c>
      <c r="F37" s="17">
        <v>33.200000000000003</v>
      </c>
      <c r="G37" s="17">
        <v>107.1</v>
      </c>
      <c r="H37" s="77">
        <f>G37*(1+Assumptions!I32)</f>
        <v>109.24199999999999</v>
      </c>
      <c r="I37" s="77">
        <f>H37*(1+Assumptions!J32)</f>
        <v>111.42684</v>
      </c>
      <c r="J37" s="77">
        <f>I37*(1+Assumptions!K32)</f>
        <v>113.6553768</v>
      </c>
      <c r="K37" s="77">
        <f>J37*(1+Assumptions!L32)</f>
        <v>115.928484336</v>
      </c>
      <c r="L37" s="77">
        <f>K37*(1+Assumptions!M32)</f>
        <v>118.24705402271999</v>
      </c>
      <c r="M37" s="77">
        <f>L37*(1+Assumptions!N32)</f>
        <v>120.61199510317439</v>
      </c>
      <c r="N37" s="77">
        <f>M37*(1+Assumptions!O32)</f>
        <v>123.02423500523788</v>
      </c>
      <c r="O37" s="77">
        <f>N37*(1+Assumptions!P32)</f>
        <v>125.48471970534264</v>
      </c>
      <c r="P37" s="77">
        <f>O37*(1+Assumptions!Q32)</f>
        <v>127.9944140994495</v>
      </c>
      <c r="Q37" s="77">
        <f>P37*(1+Assumptions!R32)</f>
        <v>130.5543023814385</v>
      </c>
    </row>
    <row r="38" spans="1:17">
      <c r="A38" s="4" t="s">
        <v>49</v>
      </c>
      <c r="B38" s="8" t="s">
        <v>138</v>
      </c>
      <c r="C38" s="17"/>
      <c r="D38" s="17">
        <v>0</v>
      </c>
      <c r="E38" s="17">
        <v>32.9</v>
      </c>
      <c r="F38" s="17">
        <v>29.3</v>
      </c>
      <c r="G38" s="17">
        <v>27.2</v>
      </c>
      <c r="H38" s="77">
        <f>G38*(1+Assumptions!I32)</f>
        <v>27.744</v>
      </c>
      <c r="I38" s="77">
        <f>H38*(1+Assumptions!J32)</f>
        <v>28.29888</v>
      </c>
      <c r="J38" s="77">
        <f>I38*(1+Assumptions!K32)</f>
        <v>28.864857600000001</v>
      </c>
      <c r="K38" s="77">
        <f>J38*(1+Assumptions!L32)</f>
        <v>29.442154752</v>
      </c>
      <c r="L38" s="77">
        <f>K38*(1+Assumptions!M32)</f>
        <v>30.030997847040002</v>
      </c>
      <c r="M38" s="77">
        <f>L38*(1+Assumptions!N32)</f>
        <v>30.631617803980802</v>
      </c>
      <c r="N38" s="77">
        <f>M38*(1+Assumptions!O32)</f>
        <v>31.244250160060417</v>
      </c>
      <c r="O38" s="77">
        <f>N38*(1+Assumptions!P32)</f>
        <v>31.869135163261625</v>
      </c>
      <c r="P38" s="77">
        <f>O38*(1+Assumptions!Q32)</f>
        <v>32.506517866526856</v>
      </c>
      <c r="Q38" s="77">
        <f>P38*(1+Assumptions!R32)</f>
        <v>33.156648223857395</v>
      </c>
    </row>
    <row r="39" spans="1:17">
      <c r="A39" s="4" t="s">
        <v>57</v>
      </c>
      <c r="B39" s="8" t="s">
        <v>140</v>
      </c>
      <c r="C39" s="17">
        <v>9.8000000000000007</v>
      </c>
      <c r="D39" s="17">
        <v>5.4</v>
      </c>
      <c r="E39" s="17">
        <v>2.9</v>
      </c>
      <c r="F39" s="17">
        <v>1.2</v>
      </c>
      <c r="G39" s="17">
        <v>1.6</v>
      </c>
      <c r="H39" s="77">
        <f t="shared" ref="H39:Q39" si="19">H$43*H231</f>
        <v>3.6728547162395913</v>
      </c>
      <c r="I39" s="77">
        <f t="shared" si="19"/>
        <v>4.2003806681332385</v>
      </c>
      <c r="J39" s="77">
        <f t="shared" si="19"/>
        <v>4.7692231164270265</v>
      </c>
      <c r="K39" s="77">
        <f t="shared" si="19"/>
        <v>5.3826696692379397</v>
      </c>
      <c r="L39" s="77">
        <f t="shared" si="19"/>
        <v>6.0456325953566115</v>
      </c>
      <c r="M39" s="77">
        <f t="shared" si="19"/>
        <v>6.7606110508726349</v>
      </c>
      <c r="N39" s="77">
        <f t="shared" si="19"/>
        <v>7.5352884263163062</v>
      </c>
      <c r="O39" s="77">
        <f t="shared" si="19"/>
        <v>8.3706646636174238</v>
      </c>
      <c r="P39" s="77">
        <f t="shared" si="19"/>
        <v>9.2715701651610249</v>
      </c>
      <c r="Q39" s="77">
        <f t="shared" si="19"/>
        <v>10.243221255391674</v>
      </c>
    </row>
    <row r="40" spans="1:17">
      <c r="A40" s="4" t="s">
        <v>52</v>
      </c>
      <c r="B40" s="8" t="s">
        <v>139</v>
      </c>
      <c r="C40" s="17">
        <v>6.3</v>
      </c>
      <c r="D40" s="17">
        <v>5.5</v>
      </c>
      <c r="E40" s="17">
        <v>1.7</v>
      </c>
      <c r="F40" s="17">
        <v>0.6</v>
      </c>
      <c r="G40" s="17">
        <v>0.8</v>
      </c>
      <c r="H40" s="77">
        <f t="shared" ref="H40:Q40" si="20">H$43*H232</f>
        <v>-37.997538202399724</v>
      </c>
      <c r="I40" s="77">
        <f t="shared" si="20"/>
        <v>-20.150481548701752</v>
      </c>
      <c r="J40" s="77">
        <f t="shared" si="20"/>
        <v>-0.72448415985268255</v>
      </c>
      <c r="K40" s="77">
        <f t="shared" si="20"/>
        <v>20.40979274701662</v>
      </c>
      <c r="L40" s="77">
        <f t="shared" si="20"/>
        <v>43.457399187849639</v>
      </c>
      <c r="M40" s="77">
        <f t="shared" si="20"/>
        <v>68.505325320231037</v>
      </c>
      <c r="N40" s="77">
        <f t="shared" si="20"/>
        <v>95.886581762575489</v>
      </c>
      <c r="O40" s="77">
        <f t="shared" si="20"/>
        <v>125.61098165893698</v>
      </c>
      <c r="P40" s="77">
        <f t="shared" si="20"/>
        <v>157.86902934440988</v>
      </c>
      <c r="Q40" s="77">
        <f t="shared" si="20"/>
        <v>192.86653055807079</v>
      </c>
    </row>
    <row r="41" spans="1:17">
      <c r="A41" s="4" t="s">
        <v>54</v>
      </c>
      <c r="B41" s="8" t="s">
        <v>139</v>
      </c>
      <c r="C41" s="17"/>
      <c r="D41" s="17">
        <v>0</v>
      </c>
      <c r="E41" s="17">
        <v>1.4</v>
      </c>
      <c r="F41" s="17">
        <v>0.7</v>
      </c>
      <c r="G41" s="17">
        <v>0.6</v>
      </c>
      <c r="H41" s="77">
        <f t="shared" ref="H41:Q41" si="21">H$43*H233</f>
        <v>0.97942792433055781</v>
      </c>
      <c r="I41" s="77">
        <f t="shared" si="21"/>
        <v>1.1201015115021968</v>
      </c>
      <c r="J41" s="77">
        <f t="shared" si="21"/>
        <v>1.2717928310472071</v>
      </c>
      <c r="K41" s="77">
        <f t="shared" si="21"/>
        <v>1.4353785784634505</v>
      </c>
      <c r="L41" s="77">
        <f t="shared" si="21"/>
        <v>1.6121686920950966</v>
      </c>
      <c r="M41" s="77">
        <f t="shared" si="21"/>
        <v>1.802829613566036</v>
      </c>
      <c r="N41" s="77">
        <f t="shared" si="21"/>
        <v>2.0094102470176818</v>
      </c>
      <c r="O41" s="77">
        <f t="shared" si="21"/>
        <v>2.232177243631313</v>
      </c>
      <c r="P41" s="77">
        <f t="shared" si="21"/>
        <v>2.4724187107096069</v>
      </c>
      <c r="Q41" s="77">
        <f t="shared" si="21"/>
        <v>2.7315256681044469</v>
      </c>
    </row>
    <row r="42" spans="1:17">
      <c r="A42" s="4" t="s">
        <v>58</v>
      </c>
      <c r="B42" s="8"/>
      <c r="C42" s="17">
        <f>SUM(C37:C41)</f>
        <v>65.099999999999994</v>
      </c>
      <c r="D42" s="17">
        <f>SUM(D37:D41)</f>
        <v>61</v>
      </c>
      <c r="E42" s="17">
        <f>SUM(E37:E41)</f>
        <v>138.1</v>
      </c>
      <c r="F42" s="17">
        <f>SUM(F37:F41)</f>
        <v>65</v>
      </c>
      <c r="G42" s="17">
        <f>SUM(G37:G41)</f>
        <v>137.29999999999998</v>
      </c>
      <c r="H42" s="17">
        <f t="shared" ref="H42:Q42" si="22">SUM(H37:H41)</f>
        <v>103.6407444381704</v>
      </c>
      <c r="I42" s="17">
        <f t="shared" si="22"/>
        <v>124.8957206309337</v>
      </c>
      <c r="J42" s="17">
        <f t="shared" si="22"/>
        <v>147.83676618762152</v>
      </c>
      <c r="K42" s="17">
        <f t="shared" si="22"/>
        <v>172.598480082718</v>
      </c>
      <c r="L42" s="17">
        <f t="shared" si="22"/>
        <v>199.39325234506134</v>
      </c>
      <c r="M42" s="17">
        <f t="shared" si="22"/>
        <v>228.31237889182489</v>
      </c>
      <c r="N42" s="17">
        <f t="shared" si="22"/>
        <v>259.69976560120779</v>
      </c>
      <c r="O42" s="17">
        <f t="shared" si="22"/>
        <v>293.56767843478997</v>
      </c>
      <c r="P42" s="17">
        <f t="shared" si="22"/>
        <v>330.11395018625689</v>
      </c>
      <c r="Q42" s="17">
        <f t="shared" si="22"/>
        <v>369.55222808686278</v>
      </c>
    </row>
    <row r="43" spans="1:17" ht="15" thickBot="1">
      <c r="A43" s="13" t="s">
        <v>59</v>
      </c>
      <c r="B43" s="14"/>
      <c r="C43" s="22">
        <f>C34+C42</f>
        <v>147.19999999999999</v>
      </c>
      <c r="D43" s="22">
        <f>D34+D42</f>
        <v>136.5</v>
      </c>
      <c r="E43" s="22">
        <f>E34+E42</f>
        <v>231.29999999999998</v>
      </c>
      <c r="F43" s="22">
        <f>F34+F42</f>
        <v>166.1</v>
      </c>
      <c r="G43" s="22">
        <f>G34+G42</f>
        <v>283.20000000000005</v>
      </c>
      <c r="H43" s="119">
        <f>H22-H55</f>
        <v>244.85698108263944</v>
      </c>
      <c r="I43" s="119">
        <f t="shared" ref="I43:Q43" si="23">I22-I55</f>
        <v>280.02537787554922</v>
      </c>
      <c r="J43" s="119">
        <f t="shared" si="23"/>
        <v>317.94820776180177</v>
      </c>
      <c r="K43" s="119">
        <f t="shared" si="23"/>
        <v>358.84464461586265</v>
      </c>
      <c r="L43" s="119">
        <f t="shared" si="23"/>
        <v>403.04217302377413</v>
      </c>
      <c r="M43" s="119">
        <f t="shared" si="23"/>
        <v>450.70740339150899</v>
      </c>
      <c r="N43" s="119">
        <f t="shared" si="23"/>
        <v>502.35256175442044</v>
      </c>
      <c r="O43" s="119">
        <f t="shared" si="23"/>
        <v>558.04431090782828</v>
      </c>
      <c r="P43" s="119">
        <f t="shared" si="23"/>
        <v>618.1046776774017</v>
      </c>
      <c r="Q43" s="119">
        <f t="shared" si="23"/>
        <v>682.88141702611165</v>
      </c>
    </row>
    <row r="44" spans="1:17" ht="15" thickTop="1">
      <c r="A44" s="4"/>
      <c r="B44" s="8"/>
      <c r="D44" s="17"/>
      <c r="E44" s="17"/>
      <c r="F44" s="17"/>
      <c r="G44" s="1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1:17">
      <c r="A45" s="4"/>
      <c r="B45" s="8"/>
      <c r="D45" s="17"/>
      <c r="E45" s="17"/>
      <c r="F45" s="17"/>
      <c r="G45" s="1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1:17">
      <c r="A46" s="23" t="s">
        <v>60</v>
      </c>
      <c r="B46" s="24"/>
      <c r="C46" s="80">
        <f>C22-C43</f>
        <v>206.59999999999997</v>
      </c>
      <c r="D46" s="80">
        <f t="shared" ref="D46:Q46" si="24">D22-D43</f>
        <v>210.8</v>
      </c>
      <c r="E46" s="80">
        <f t="shared" si="24"/>
        <v>205.90000000000006</v>
      </c>
      <c r="F46" s="80">
        <f t="shared" si="24"/>
        <v>266.20000000000005</v>
      </c>
      <c r="G46" s="80">
        <f t="shared" si="24"/>
        <v>293.20000000000005</v>
      </c>
      <c r="H46" s="80">
        <f>H22-H43</f>
        <v>293.86871344124472</v>
      </c>
      <c r="I46" s="80">
        <f t="shared" si="24"/>
        <v>301.7983722102457</v>
      </c>
      <c r="J46" s="80">
        <f t="shared" si="24"/>
        <v>310.42144233085685</v>
      </c>
      <c r="K46" s="80">
        <f t="shared" si="24"/>
        <v>319.79457748420862</v>
      </c>
      <c r="L46" s="80">
        <f t="shared" si="24"/>
        <v>329.88818684430294</v>
      </c>
      <c r="M46" s="80">
        <f t="shared" si="24"/>
        <v>340.85738526601421</v>
      </c>
      <c r="N46" s="80">
        <f t="shared" si="24"/>
        <v>352.53740999570482</v>
      </c>
      <c r="O46" s="80">
        <f t="shared" si="24"/>
        <v>365.23685858230704</v>
      </c>
      <c r="P46" s="80">
        <f t="shared" si="24"/>
        <v>379.03898537194459</v>
      </c>
      <c r="Q46" s="80">
        <f t="shared" si="24"/>
        <v>394.0337390671823</v>
      </c>
    </row>
    <row r="47" spans="1:17">
      <c r="A47" s="4"/>
      <c r="B47" s="8"/>
      <c r="C47" s="17"/>
      <c r="D47" s="17"/>
      <c r="E47" s="17"/>
      <c r="F47" s="17"/>
      <c r="G47" s="1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1:17">
      <c r="A48" s="5" t="s">
        <v>61</v>
      </c>
      <c r="B48" s="8"/>
      <c r="C48" s="17"/>
      <c r="D48" s="17"/>
      <c r="E48" s="17"/>
      <c r="F48" s="17"/>
      <c r="G48" s="1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1:17">
      <c r="A49" s="4" t="s">
        <v>62</v>
      </c>
      <c r="B49" s="8"/>
      <c r="C49" s="17">
        <v>2.8</v>
      </c>
      <c r="D49" s="17">
        <v>2.8</v>
      </c>
      <c r="E49" s="17">
        <v>2.8</v>
      </c>
      <c r="F49" s="17">
        <v>3.1</v>
      </c>
      <c r="G49" s="17">
        <v>3.1</v>
      </c>
      <c r="H49" s="77">
        <f>G49</f>
        <v>3.1</v>
      </c>
      <c r="I49" s="77">
        <f t="shared" ref="I49:Q49" si="25">H49</f>
        <v>3.1</v>
      </c>
      <c r="J49" s="77">
        <f t="shared" si="25"/>
        <v>3.1</v>
      </c>
      <c r="K49" s="77">
        <f t="shared" si="25"/>
        <v>3.1</v>
      </c>
      <c r="L49" s="77">
        <f t="shared" si="25"/>
        <v>3.1</v>
      </c>
      <c r="M49" s="77">
        <f t="shared" si="25"/>
        <v>3.1</v>
      </c>
      <c r="N49" s="77">
        <f t="shared" si="25"/>
        <v>3.1</v>
      </c>
      <c r="O49" s="77">
        <f t="shared" si="25"/>
        <v>3.1</v>
      </c>
      <c r="P49" s="77">
        <f t="shared" si="25"/>
        <v>3.1</v>
      </c>
      <c r="Q49" s="77">
        <f t="shared" si="25"/>
        <v>3.1</v>
      </c>
    </row>
    <row r="50" spans="1:17">
      <c r="A50" s="4" t="s">
        <v>63</v>
      </c>
      <c r="B50" s="8"/>
      <c r="C50" s="17">
        <v>149.5</v>
      </c>
      <c r="D50" s="17">
        <v>149.80000000000001</v>
      </c>
      <c r="E50" s="17">
        <v>150.9</v>
      </c>
      <c r="F50" s="17">
        <v>223.2</v>
      </c>
      <c r="G50" s="17">
        <v>224</v>
      </c>
      <c r="H50" s="77">
        <f>G50</f>
        <v>224</v>
      </c>
      <c r="I50" s="77">
        <f t="shared" ref="I50:Q50" si="26">H50</f>
        <v>224</v>
      </c>
      <c r="J50" s="77">
        <f t="shared" si="26"/>
        <v>224</v>
      </c>
      <c r="K50" s="77">
        <f t="shared" si="26"/>
        <v>224</v>
      </c>
      <c r="L50" s="77">
        <f t="shared" si="26"/>
        <v>224</v>
      </c>
      <c r="M50" s="77">
        <f t="shared" si="26"/>
        <v>224</v>
      </c>
      <c r="N50" s="77">
        <f t="shared" si="26"/>
        <v>224</v>
      </c>
      <c r="O50" s="77">
        <f t="shared" si="26"/>
        <v>224</v>
      </c>
      <c r="P50" s="77">
        <f t="shared" si="26"/>
        <v>224</v>
      </c>
      <c r="Q50" s="77">
        <f t="shared" si="26"/>
        <v>224</v>
      </c>
    </row>
    <row r="51" spans="1:17">
      <c r="A51" s="4" t="s">
        <v>64</v>
      </c>
      <c r="B51" s="8"/>
      <c r="C51" s="17"/>
      <c r="D51" s="17">
        <v>0</v>
      </c>
      <c r="E51" s="17">
        <v>0</v>
      </c>
      <c r="F51" s="17">
        <v>-0.8</v>
      </c>
      <c r="G51" s="17">
        <v>0</v>
      </c>
      <c r="H51" s="77">
        <f>G51</f>
        <v>0</v>
      </c>
      <c r="I51" s="77">
        <f t="shared" ref="I51:Q51" si="27">H51</f>
        <v>0</v>
      </c>
      <c r="J51" s="77">
        <f t="shared" si="27"/>
        <v>0</v>
      </c>
      <c r="K51" s="77">
        <f t="shared" si="27"/>
        <v>0</v>
      </c>
      <c r="L51" s="77">
        <f t="shared" si="27"/>
        <v>0</v>
      </c>
      <c r="M51" s="77">
        <f t="shared" si="27"/>
        <v>0</v>
      </c>
      <c r="N51" s="77">
        <f t="shared" si="27"/>
        <v>0</v>
      </c>
      <c r="O51" s="77">
        <f t="shared" si="27"/>
        <v>0</v>
      </c>
      <c r="P51" s="77">
        <f t="shared" si="27"/>
        <v>0</v>
      </c>
      <c r="Q51" s="77">
        <f t="shared" si="27"/>
        <v>0</v>
      </c>
    </row>
    <row r="52" spans="1:17">
      <c r="A52" s="4" t="s">
        <v>65</v>
      </c>
      <c r="B52" s="8"/>
      <c r="C52" s="17">
        <v>42.3</v>
      </c>
      <c r="D52" s="17">
        <v>42.3</v>
      </c>
      <c r="E52" s="17">
        <v>42.3</v>
      </c>
      <c r="F52" s="17">
        <v>42.3</v>
      </c>
      <c r="G52" s="17">
        <v>42.3</v>
      </c>
      <c r="H52" s="77">
        <f>G52</f>
        <v>42.3</v>
      </c>
      <c r="I52" s="77">
        <f t="shared" ref="I52:Q53" si="28">H52</f>
        <v>42.3</v>
      </c>
      <c r="J52" s="77">
        <f t="shared" si="28"/>
        <v>42.3</v>
      </c>
      <c r="K52" s="77">
        <f t="shared" si="28"/>
        <v>42.3</v>
      </c>
      <c r="L52" s="77">
        <f t="shared" si="28"/>
        <v>42.3</v>
      </c>
      <c r="M52" s="77">
        <f t="shared" si="28"/>
        <v>42.3</v>
      </c>
      <c r="N52" s="77">
        <f t="shared" si="28"/>
        <v>42.3</v>
      </c>
      <c r="O52" s="77">
        <f t="shared" si="28"/>
        <v>42.3</v>
      </c>
      <c r="P52" s="77">
        <f t="shared" si="28"/>
        <v>42.3</v>
      </c>
      <c r="Q52" s="77">
        <f t="shared" si="28"/>
        <v>42.3</v>
      </c>
    </row>
    <row r="53" spans="1:17">
      <c r="A53" s="4" t="s">
        <v>66</v>
      </c>
      <c r="B53" s="8"/>
      <c r="C53" s="17">
        <v>26.4</v>
      </c>
      <c r="D53" s="17">
        <v>27.9</v>
      </c>
      <c r="E53" s="17">
        <v>31.9</v>
      </c>
      <c r="F53" s="17">
        <v>20.3</v>
      </c>
      <c r="G53" s="17">
        <v>35.1</v>
      </c>
      <c r="H53" s="77">
        <f>AVERAGE(C53:G53)</f>
        <v>28.32</v>
      </c>
      <c r="I53" s="77">
        <f t="shared" si="28"/>
        <v>28.32</v>
      </c>
      <c r="J53" s="77">
        <f t="shared" si="28"/>
        <v>28.32</v>
      </c>
      <c r="K53" s="77">
        <f t="shared" si="28"/>
        <v>28.32</v>
      </c>
      <c r="L53" s="77">
        <f t="shared" si="28"/>
        <v>28.32</v>
      </c>
      <c r="M53" s="77">
        <f t="shared" si="28"/>
        <v>28.32</v>
      </c>
      <c r="N53" s="77">
        <f t="shared" si="28"/>
        <v>28.32</v>
      </c>
      <c r="O53" s="77">
        <f t="shared" si="28"/>
        <v>28.32</v>
      </c>
      <c r="P53" s="77">
        <f t="shared" si="28"/>
        <v>28.32</v>
      </c>
      <c r="Q53" s="77">
        <f t="shared" si="28"/>
        <v>28.32</v>
      </c>
    </row>
    <row r="54" spans="1:17">
      <c r="A54" s="4" t="s">
        <v>67</v>
      </c>
      <c r="B54" s="8"/>
      <c r="C54" s="17">
        <v>-14.4</v>
      </c>
      <c r="D54" s="17">
        <v>-12</v>
      </c>
      <c r="E54" s="17">
        <v>-22</v>
      </c>
      <c r="F54" s="17">
        <v>-21.9</v>
      </c>
      <c r="G54" s="17">
        <v>-11.3</v>
      </c>
      <c r="H54" s="77">
        <f>G54+('IS normalized'!H18*(1-Assumptions!I31))</f>
        <v>-3.8512865587552669</v>
      </c>
      <c r="I54" s="77">
        <f>H54+('IS normalized'!I18*(1-Assumptions!J31))</f>
        <v>4.0783722102457514</v>
      </c>
      <c r="J54" s="77">
        <f>I54+('IS normalized'!J18*(1-Assumptions!K31))</f>
        <v>12.701442330856858</v>
      </c>
      <c r="K54" s="77">
        <f>J54+('IS normalized'!K18*(1-Assumptions!L31))</f>
        <v>22.074577484208653</v>
      </c>
      <c r="L54" s="77">
        <f>K54+('IS normalized'!L18*(1-Assumptions!M31))</f>
        <v>32.168186844302944</v>
      </c>
      <c r="M54" s="77">
        <f>L54+('IS normalized'!M18*(1-Assumptions!N31))</f>
        <v>43.137385266014228</v>
      </c>
      <c r="N54" s="77">
        <f>M54+('IS normalized'!N18*(1-Assumptions!O31))</f>
        <v>54.817409995704857</v>
      </c>
      <c r="O54" s="77">
        <f>N54+('IS normalized'!O18*(1-Assumptions!P31))</f>
        <v>67.516858582307094</v>
      </c>
      <c r="P54" s="77">
        <f>O54+('IS normalized'!P18*(1-Assumptions!Q31))</f>
        <v>81.318985371944606</v>
      </c>
      <c r="Q54" s="77">
        <f>P54+('IS normalized'!Q18*(1-Assumptions!R31))</f>
        <v>96.31373906718234</v>
      </c>
    </row>
    <row r="55" spans="1:17">
      <c r="A55" s="19" t="s">
        <v>68</v>
      </c>
      <c r="B55" s="20" t="s">
        <v>141</v>
      </c>
      <c r="C55" s="21">
        <f>SUM(C49:C54)</f>
        <v>206.60000000000002</v>
      </c>
      <c r="D55" s="21">
        <f>SUM(D49:D54)</f>
        <v>210.80000000000004</v>
      </c>
      <c r="E55" s="21">
        <f>SUM(E49:E54)</f>
        <v>205.9</v>
      </c>
      <c r="F55" s="21">
        <f>SUM(F49:F54)</f>
        <v>266.2</v>
      </c>
      <c r="G55" s="21">
        <f>SUM(G49:G54)</f>
        <v>293.2</v>
      </c>
      <c r="H55" s="21">
        <f t="shared" ref="H55:Q55" si="29">SUM(H49:H54)</f>
        <v>293.86871344124472</v>
      </c>
      <c r="I55" s="21">
        <f t="shared" si="29"/>
        <v>301.7983722102457</v>
      </c>
      <c r="J55" s="21">
        <f t="shared" si="29"/>
        <v>310.42144233085685</v>
      </c>
      <c r="K55" s="21">
        <f t="shared" si="29"/>
        <v>319.79457748420862</v>
      </c>
      <c r="L55" s="21">
        <f t="shared" si="29"/>
        <v>329.88818684430294</v>
      </c>
      <c r="M55" s="21">
        <f t="shared" si="29"/>
        <v>340.85738526601421</v>
      </c>
      <c r="N55" s="21">
        <f t="shared" si="29"/>
        <v>352.53740999570482</v>
      </c>
      <c r="O55" s="21">
        <f t="shared" si="29"/>
        <v>365.23685858230704</v>
      </c>
      <c r="P55" s="21">
        <f t="shared" si="29"/>
        <v>379.03898537194459</v>
      </c>
      <c r="Q55" s="21">
        <f t="shared" si="29"/>
        <v>394.0337390671823</v>
      </c>
    </row>
    <row r="56" spans="1:17" ht="15" thickBot="1">
      <c r="A56" s="25" t="s">
        <v>69</v>
      </c>
      <c r="B56" s="26"/>
      <c r="C56" s="81">
        <f t="shared" ref="C56:H56" si="30">C55+C43</f>
        <v>353.8</v>
      </c>
      <c r="D56" s="81">
        <f t="shared" si="30"/>
        <v>347.30000000000007</v>
      </c>
      <c r="E56" s="81">
        <f t="shared" si="30"/>
        <v>437.2</v>
      </c>
      <c r="F56" s="81">
        <f t="shared" si="30"/>
        <v>432.29999999999995</v>
      </c>
      <c r="G56" s="81">
        <f t="shared" si="30"/>
        <v>576.40000000000009</v>
      </c>
      <c r="H56" s="120">
        <f t="shared" si="30"/>
        <v>538.72569452388416</v>
      </c>
      <c r="I56" s="120">
        <f t="shared" ref="I56:Q56" si="31">I55+I43</f>
        <v>581.82375008579493</v>
      </c>
      <c r="J56" s="120">
        <f t="shared" si="31"/>
        <v>628.36965009265862</v>
      </c>
      <c r="K56" s="120">
        <f t="shared" si="31"/>
        <v>678.63922210007127</v>
      </c>
      <c r="L56" s="120">
        <f t="shared" si="31"/>
        <v>732.93035986807706</v>
      </c>
      <c r="M56" s="120">
        <f t="shared" si="31"/>
        <v>791.5647886575232</v>
      </c>
      <c r="N56" s="120">
        <f t="shared" si="31"/>
        <v>854.88997175012526</v>
      </c>
      <c r="O56" s="120">
        <f t="shared" si="31"/>
        <v>923.28116949013531</v>
      </c>
      <c r="P56" s="120">
        <f t="shared" si="31"/>
        <v>997.14366304934629</v>
      </c>
      <c r="Q56" s="748">
        <f t="shared" si="31"/>
        <v>1076.9151560932939</v>
      </c>
    </row>
    <row r="57" spans="1:17">
      <c r="A57" s="4"/>
      <c r="B57" s="8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1:17">
      <c r="A58" s="4"/>
      <c r="B58" s="8"/>
      <c r="C58" s="8"/>
      <c r="D58" s="8"/>
      <c r="E58" s="8"/>
      <c r="F58" s="8"/>
      <c r="G58" s="8"/>
    </row>
    <row r="59" spans="1:17">
      <c r="A59" s="4" t="s">
        <v>159</v>
      </c>
      <c r="B59" s="4"/>
      <c r="C59" s="8" t="str">
        <f t="shared" ref="C59:H59" si="32">IF(C56=C22,"OK","ERROR")</f>
        <v>OK</v>
      </c>
      <c r="D59" s="8" t="str">
        <f t="shared" si="32"/>
        <v>OK</v>
      </c>
      <c r="E59" s="8" t="str">
        <f t="shared" si="32"/>
        <v>OK</v>
      </c>
      <c r="F59" s="8" t="str">
        <f t="shared" si="32"/>
        <v>OK</v>
      </c>
      <c r="G59" s="8" t="str">
        <f t="shared" si="32"/>
        <v>OK</v>
      </c>
      <c r="H59" s="8" t="str">
        <f t="shared" si="32"/>
        <v>OK</v>
      </c>
      <c r="I59" s="8" t="str">
        <f t="shared" ref="I59:Q59" si="33">IF(I56=I22,"OK","ERROR")</f>
        <v>OK</v>
      </c>
      <c r="J59" s="8" t="str">
        <f t="shared" si="33"/>
        <v>OK</v>
      </c>
      <c r="K59" s="8" t="str">
        <f t="shared" si="33"/>
        <v>OK</v>
      </c>
      <c r="L59" s="8" t="str">
        <f t="shared" si="33"/>
        <v>OK</v>
      </c>
      <c r="M59" s="8" t="str">
        <f t="shared" si="33"/>
        <v>OK</v>
      </c>
      <c r="N59" s="8" t="str">
        <f t="shared" si="33"/>
        <v>OK</v>
      </c>
      <c r="O59" s="8" t="str">
        <f t="shared" si="33"/>
        <v>OK</v>
      </c>
      <c r="P59" s="8" t="str">
        <f t="shared" si="33"/>
        <v>OK</v>
      </c>
      <c r="Q59" s="8" t="str">
        <f t="shared" si="33"/>
        <v>OK</v>
      </c>
    </row>
    <row r="60" spans="1:17">
      <c r="F60" s="53"/>
      <c r="G60" s="99"/>
    </row>
    <row r="62" spans="1:17" ht="18">
      <c r="A62" s="115" t="str">
        <f>A118</f>
        <v xml:space="preserve">Statement of Financial Position Decomposed </v>
      </c>
      <c r="B62" s="161"/>
      <c r="C62" s="161"/>
      <c r="D62" s="161"/>
      <c r="E62" s="161"/>
      <c r="F62" s="161"/>
      <c r="G62" s="161"/>
      <c r="H62" s="83"/>
      <c r="I62" s="83"/>
      <c r="J62" s="83"/>
      <c r="K62" s="83"/>
      <c r="L62" s="83"/>
      <c r="M62" s="83"/>
      <c r="N62" s="83"/>
      <c r="O62" s="83"/>
      <c r="P62" s="83"/>
      <c r="Q62" s="83"/>
    </row>
    <row r="63" spans="1:17">
      <c r="A63" s="154"/>
      <c r="B63" s="154"/>
      <c r="C63" s="160">
        <v>2018</v>
      </c>
      <c r="D63" s="160">
        <f>C63+1</f>
        <v>2019</v>
      </c>
      <c r="E63" s="160">
        <f t="shared" ref="E63:Q63" si="34">D63+1</f>
        <v>2020</v>
      </c>
      <c r="F63" s="160">
        <f t="shared" si="34"/>
        <v>2021</v>
      </c>
      <c r="G63" s="160">
        <f t="shared" si="34"/>
        <v>2022</v>
      </c>
      <c r="H63" s="159">
        <f t="shared" si="34"/>
        <v>2023</v>
      </c>
      <c r="I63" s="159">
        <f t="shared" si="34"/>
        <v>2024</v>
      </c>
      <c r="J63" s="159">
        <f t="shared" si="34"/>
        <v>2025</v>
      </c>
      <c r="K63" s="159">
        <f t="shared" si="34"/>
        <v>2026</v>
      </c>
      <c r="L63" s="159">
        <f t="shared" si="34"/>
        <v>2027</v>
      </c>
      <c r="M63" s="159">
        <f t="shared" si="34"/>
        <v>2028</v>
      </c>
      <c r="N63" s="159">
        <f t="shared" si="34"/>
        <v>2029</v>
      </c>
      <c r="O63" s="159">
        <f t="shared" si="34"/>
        <v>2030</v>
      </c>
      <c r="P63" s="159">
        <f t="shared" si="34"/>
        <v>2031</v>
      </c>
      <c r="Q63" s="159">
        <f t="shared" si="34"/>
        <v>2032</v>
      </c>
    </row>
    <row r="64" spans="1:17">
      <c r="A64" s="155"/>
      <c r="B64" s="155"/>
      <c r="C64" s="156">
        <f>'Raw Data'!C58</f>
        <v>43251</v>
      </c>
      <c r="D64" s="156">
        <f>'Raw Data'!D58</f>
        <v>43616</v>
      </c>
      <c r="E64" s="156">
        <f>'Raw Data'!E58</f>
        <v>43982</v>
      </c>
      <c r="F64" s="156">
        <f>'Raw Data'!F58</f>
        <v>44347</v>
      </c>
      <c r="G64" s="156">
        <f>'Raw Data'!G58</f>
        <v>44712</v>
      </c>
      <c r="H64" s="157">
        <f>G64+365</f>
        <v>45077</v>
      </c>
      <c r="I64" s="158">
        <v>45443</v>
      </c>
      <c r="J64" s="158">
        <f>I64+365</f>
        <v>45808</v>
      </c>
      <c r="K64" s="158">
        <f t="shared" ref="K64:P64" si="35">J64+365</f>
        <v>46173</v>
      </c>
      <c r="L64" s="158">
        <f t="shared" si="35"/>
        <v>46538</v>
      </c>
      <c r="M64" s="158">
        <f>L64+366</f>
        <v>46904</v>
      </c>
      <c r="N64" s="158">
        <f t="shared" si="35"/>
        <v>47269</v>
      </c>
      <c r="O64" s="158">
        <f t="shared" si="35"/>
        <v>47634</v>
      </c>
      <c r="P64" s="158">
        <f t="shared" si="35"/>
        <v>47999</v>
      </c>
      <c r="Q64" s="158">
        <f>P64+366</f>
        <v>48365</v>
      </c>
    </row>
    <row r="65" spans="1:17">
      <c r="A65" s="114"/>
      <c r="B65" s="84"/>
      <c r="C65" s="84" t="str">
        <f t="shared" ref="C65:Q65" si="36">C121</f>
        <v>£'M</v>
      </c>
      <c r="D65" s="84" t="str">
        <f t="shared" si="36"/>
        <v>£'M</v>
      </c>
      <c r="E65" s="84" t="str">
        <f t="shared" si="36"/>
        <v>£'M</v>
      </c>
      <c r="F65" s="84" t="str">
        <f t="shared" si="36"/>
        <v>£'M</v>
      </c>
      <c r="G65" s="84" t="str">
        <f t="shared" si="36"/>
        <v>£'M</v>
      </c>
      <c r="H65" s="85" t="str">
        <f t="shared" si="36"/>
        <v>£'M</v>
      </c>
      <c r="I65" s="85" t="str">
        <f t="shared" si="36"/>
        <v>£'M</v>
      </c>
      <c r="J65" s="85" t="str">
        <f t="shared" si="36"/>
        <v>£'M</v>
      </c>
      <c r="K65" s="85" t="str">
        <f t="shared" si="36"/>
        <v>£'M</v>
      </c>
      <c r="L65" s="85" t="str">
        <f t="shared" si="36"/>
        <v>£'M</v>
      </c>
      <c r="M65" s="85" t="str">
        <f t="shared" si="36"/>
        <v>£'M</v>
      </c>
      <c r="N65" s="85" t="str">
        <f t="shared" si="36"/>
        <v>£'M</v>
      </c>
      <c r="O65" s="85" t="str">
        <f t="shared" si="36"/>
        <v>£'M</v>
      </c>
      <c r="P65" s="85" t="str">
        <f t="shared" si="36"/>
        <v>£'M</v>
      </c>
      <c r="Q65" s="85" t="str">
        <f t="shared" si="36"/>
        <v>£'M</v>
      </c>
    </row>
    <row r="66" spans="1:17">
      <c r="A66" s="72" t="str">
        <f>'Raw Data'!A75</f>
        <v>Cash and cash equivalents</v>
      </c>
      <c r="B66" s="72" t="str">
        <f>'Raw Data'!B75</f>
        <v>C</v>
      </c>
      <c r="C66" s="77">
        <f t="shared" ref="C66:Q66" si="37">C20</f>
        <v>21.2</v>
      </c>
      <c r="D66" s="77">
        <f t="shared" si="37"/>
        <v>34.9</v>
      </c>
      <c r="E66" s="77">
        <f t="shared" si="37"/>
        <v>95</v>
      </c>
      <c r="F66" s="77">
        <f t="shared" si="37"/>
        <v>116.5</v>
      </c>
      <c r="G66" s="77">
        <f t="shared" si="37"/>
        <v>73.2</v>
      </c>
      <c r="H66" s="77">
        <f t="shared" si="37"/>
        <v>32.80487396694118</v>
      </c>
      <c r="I66" s="77">
        <f t="shared" si="37"/>
        <v>35.453263884296433</v>
      </c>
      <c r="J66" s="77">
        <f t="shared" si="37"/>
        <v>38.313524995040112</v>
      </c>
      <c r="K66" s="77">
        <f t="shared" si="37"/>
        <v>41.402606994643428</v>
      </c>
      <c r="L66" s="77">
        <f t="shared" si="37"/>
        <v>44.738815554215002</v>
      </c>
      <c r="M66" s="77">
        <f t="shared" si="37"/>
        <v>48.341920798552181</v>
      </c>
      <c r="N66" s="77">
        <f t="shared" si="37"/>
        <v>52.233274462436277</v>
      </c>
      <c r="O66" s="77">
        <f t="shared" si="37"/>
        <v>56.435936419431215</v>
      </c>
      <c r="P66" s="77">
        <f t="shared" si="37"/>
        <v>60.974811332985766</v>
      </c>
      <c r="Q66" s="77">
        <f t="shared" si="37"/>
        <v>65.876796239624539</v>
      </c>
    </row>
    <row r="67" spans="1:17">
      <c r="A67" s="72" t="str">
        <f>'Raw Data'!A70</f>
        <v>Inventories</v>
      </c>
      <c r="B67" s="72" t="str">
        <f>'Raw Data'!B70</f>
        <v>OA</v>
      </c>
      <c r="C67" s="77">
        <f t="shared" ref="C67:Q67" si="38">C15</f>
        <v>0.8</v>
      </c>
      <c r="D67" s="77">
        <f t="shared" si="38"/>
        <v>0.7</v>
      </c>
      <c r="E67" s="77">
        <f t="shared" si="38"/>
        <v>0.9</v>
      </c>
      <c r="F67" s="77">
        <f t="shared" si="38"/>
        <v>1.1000000000000001</v>
      </c>
      <c r="G67" s="77">
        <f t="shared" si="38"/>
        <v>0.9</v>
      </c>
      <c r="H67" s="77">
        <f t="shared" si="38"/>
        <v>1.1259246751084768</v>
      </c>
      <c r="I67" s="77">
        <f t="shared" si="38"/>
        <v>1.2159986491171553</v>
      </c>
      <c r="J67" s="77">
        <f t="shared" si="38"/>
        <v>1.3132785410465275</v>
      </c>
      <c r="K67" s="77">
        <f t="shared" si="38"/>
        <v>1.4183408243302498</v>
      </c>
      <c r="L67" s="77">
        <f t="shared" si="38"/>
        <v>1.5318080902766695</v>
      </c>
      <c r="M67" s="77">
        <f t="shared" si="38"/>
        <v>1.6543527374988036</v>
      </c>
      <c r="N67" s="77">
        <f t="shared" si="38"/>
        <v>1.786700956498708</v>
      </c>
      <c r="O67" s="77">
        <f t="shared" si="38"/>
        <v>1.9296370330186046</v>
      </c>
      <c r="P67" s="77">
        <f t="shared" si="38"/>
        <v>2.0840079956600932</v>
      </c>
      <c r="Q67" s="77">
        <f t="shared" si="38"/>
        <v>2.250728635312901</v>
      </c>
    </row>
    <row r="68" spans="1:17">
      <c r="A68" s="72" t="str">
        <f>'Raw Data'!A71</f>
        <v>Trade and other receivables</v>
      </c>
      <c r="B68" s="72" t="str">
        <f>'Raw Data'!B71</f>
        <v>OA</v>
      </c>
      <c r="C68" s="77">
        <f t="shared" ref="C68:Q68" si="39">C16</f>
        <v>66</v>
      </c>
      <c r="D68" s="77">
        <f t="shared" si="39"/>
        <v>61.6</v>
      </c>
      <c r="E68" s="77">
        <f t="shared" si="39"/>
        <v>73.400000000000006</v>
      </c>
      <c r="F68" s="77">
        <f t="shared" si="39"/>
        <v>68.7</v>
      </c>
      <c r="G68" s="77">
        <f t="shared" si="39"/>
        <v>77.7</v>
      </c>
      <c r="H68" s="77">
        <f t="shared" si="39"/>
        <v>88.947832369755218</v>
      </c>
      <c r="I68" s="77">
        <f t="shared" si="39"/>
        <v>96.063658959335655</v>
      </c>
      <c r="J68" s="77">
        <f t="shared" si="39"/>
        <v>103.74875167608249</v>
      </c>
      <c r="K68" s="77">
        <f t="shared" si="39"/>
        <v>112.04865181016909</v>
      </c>
      <c r="L68" s="77">
        <f t="shared" si="39"/>
        <v>121.01254395498263</v>
      </c>
      <c r="M68" s="77">
        <f t="shared" si="39"/>
        <v>130.69354747138127</v>
      </c>
      <c r="N68" s="77">
        <f t="shared" si="39"/>
        <v>141.14903126909178</v>
      </c>
      <c r="O68" s="77">
        <f t="shared" si="39"/>
        <v>152.44095377061913</v>
      </c>
      <c r="P68" s="77">
        <f t="shared" si="39"/>
        <v>164.63623007226869</v>
      </c>
      <c r="Q68" s="77">
        <f t="shared" si="39"/>
        <v>177.80712847805017</v>
      </c>
    </row>
    <row r="69" spans="1:17">
      <c r="A69" s="72" t="str">
        <f>'Raw Data'!A74</f>
        <v>Current tax receivable</v>
      </c>
      <c r="B69" s="72" t="str">
        <f>'Raw Data'!B74</f>
        <v>OA</v>
      </c>
      <c r="C69" s="77">
        <f t="shared" ref="C69:Q69" si="40">C19</f>
        <v>0</v>
      </c>
      <c r="D69" s="77">
        <f t="shared" si="40"/>
        <v>0.6</v>
      </c>
      <c r="E69" s="77">
        <f t="shared" si="40"/>
        <v>0.6</v>
      </c>
      <c r="F69" s="77">
        <f t="shared" si="40"/>
        <v>4.5</v>
      </c>
      <c r="G69" s="77">
        <f t="shared" si="40"/>
        <v>3.1</v>
      </c>
      <c r="H69" s="77">
        <f t="shared" si="40"/>
        <v>1.6161770835716525</v>
      </c>
      <c r="I69" s="77">
        <f t="shared" si="40"/>
        <v>1.7454712502573848</v>
      </c>
      <c r="J69" s="77">
        <f t="shared" si="40"/>
        <v>1.8851089502779759</v>
      </c>
      <c r="K69" s="77">
        <f t="shared" si="40"/>
        <v>2.0359176663002136</v>
      </c>
      <c r="L69" s="77">
        <f t="shared" si="40"/>
        <v>2.1987910796042311</v>
      </c>
      <c r="M69" s="77">
        <f t="shared" si="40"/>
        <v>2.3746943659725694</v>
      </c>
      <c r="N69" s="77">
        <f t="shared" si="40"/>
        <v>2.5646699152503758</v>
      </c>
      <c r="O69" s="77">
        <f t="shared" si="40"/>
        <v>2.7698435084704061</v>
      </c>
      <c r="P69" s="77">
        <f t="shared" si="40"/>
        <v>2.9914309891480388</v>
      </c>
      <c r="Q69" s="77">
        <f t="shared" si="40"/>
        <v>3.2307454682798817</v>
      </c>
    </row>
    <row r="70" spans="1:17">
      <c r="A70" s="90" t="s">
        <v>168</v>
      </c>
      <c r="B70" s="90"/>
      <c r="C70" s="147">
        <f>SUM(C66:C69)</f>
        <v>88</v>
      </c>
      <c r="D70" s="147">
        <f t="shared" ref="D70:G70" si="41">SUM(D66:D69)</f>
        <v>97.8</v>
      </c>
      <c r="E70" s="147">
        <f t="shared" si="41"/>
        <v>169.9</v>
      </c>
      <c r="F70" s="147">
        <f t="shared" si="41"/>
        <v>190.8</v>
      </c>
      <c r="G70" s="147">
        <f t="shared" si="41"/>
        <v>154.9</v>
      </c>
      <c r="H70" s="147">
        <f t="shared" ref="H70:Q70" si="42">SUM(H66:H69)</f>
        <v>124.49480809537654</v>
      </c>
      <c r="I70" s="147">
        <f t="shared" si="42"/>
        <v>134.47839274300665</v>
      </c>
      <c r="J70" s="147">
        <f t="shared" si="42"/>
        <v>145.26066416244711</v>
      </c>
      <c r="K70" s="147">
        <f t="shared" si="42"/>
        <v>156.90551729544299</v>
      </c>
      <c r="L70" s="147">
        <f t="shared" si="42"/>
        <v>169.48195867907853</v>
      </c>
      <c r="M70" s="147">
        <f t="shared" si="42"/>
        <v>183.06451537340482</v>
      </c>
      <c r="N70" s="147">
        <f t="shared" si="42"/>
        <v>197.73367660327713</v>
      </c>
      <c r="O70" s="147">
        <f t="shared" si="42"/>
        <v>213.57637073153936</v>
      </c>
      <c r="P70" s="147">
        <f t="shared" si="42"/>
        <v>230.68648039006257</v>
      </c>
      <c r="Q70" s="147">
        <f t="shared" si="42"/>
        <v>249.16539882126747</v>
      </c>
    </row>
    <row r="71" spans="1:17">
      <c r="A71" s="90"/>
      <c r="B71" s="90"/>
      <c r="C71" s="147"/>
      <c r="D71" s="147"/>
      <c r="E71" s="147"/>
      <c r="F71" s="147"/>
      <c r="G71" s="147"/>
      <c r="H71" s="148"/>
      <c r="I71" s="76"/>
      <c r="J71" s="76"/>
      <c r="K71" s="76"/>
      <c r="L71" s="76"/>
      <c r="M71" s="76"/>
      <c r="N71" s="76"/>
      <c r="O71" s="76"/>
      <c r="P71" s="76"/>
      <c r="Q71" s="76"/>
    </row>
    <row r="72" spans="1:17">
      <c r="A72" s="72" t="str">
        <f>'Raw Data'!A80</f>
        <v>Trade and other payables</v>
      </c>
      <c r="B72" s="72" t="str">
        <f>'Raw Data'!B80</f>
        <v>OL</v>
      </c>
      <c r="C72" s="77">
        <f t="shared" ref="C72:Q72" si="43">C25</f>
        <v>35.700000000000003</v>
      </c>
      <c r="D72" s="77">
        <f t="shared" si="43"/>
        <v>31.6</v>
      </c>
      <c r="E72" s="77">
        <f t="shared" si="43"/>
        <v>46.4</v>
      </c>
      <c r="F72" s="77">
        <f t="shared" si="43"/>
        <v>45.2</v>
      </c>
      <c r="G72" s="77">
        <f t="shared" si="43"/>
        <v>48.3</v>
      </c>
      <c r="H72" s="77">
        <f t="shared" si="43"/>
        <v>52.734678997034052</v>
      </c>
      <c r="I72" s="77">
        <f t="shared" si="43"/>
        <v>56.953453316796789</v>
      </c>
      <c r="J72" s="77">
        <f t="shared" si="43"/>
        <v>61.509729582140523</v>
      </c>
      <c r="K72" s="77">
        <f t="shared" si="43"/>
        <v>66.430507948711778</v>
      </c>
      <c r="L72" s="77">
        <f t="shared" si="43"/>
        <v>71.744948584608707</v>
      </c>
      <c r="M72" s="77">
        <f t="shared" si="43"/>
        <v>77.484544471377419</v>
      </c>
      <c r="N72" s="77">
        <f t="shared" si="43"/>
        <v>83.683308029087627</v>
      </c>
      <c r="O72" s="77">
        <f t="shared" si="43"/>
        <v>90.377972671414639</v>
      </c>
      <c r="P72" s="77">
        <f t="shared" si="43"/>
        <v>97.608210485127827</v>
      </c>
      <c r="Q72" s="77">
        <f t="shared" si="43"/>
        <v>105.41686732393806</v>
      </c>
    </row>
    <row r="73" spans="1:17">
      <c r="A73" s="72" t="str">
        <f>'Raw Data'!A83</f>
        <v>Current tax payable</v>
      </c>
      <c r="B73" s="72" t="str">
        <f>'Raw Data'!B83</f>
        <v>OL</v>
      </c>
      <c r="C73" s="77">
        <f t="shared" ref="C73:Q73" si="44">C28</f>
        <v>1.3</v>
      </c>
      <c r="D73" s="77">
        <f t="shared" si="44"/>
        <v>0</v>
      </c>
      <c r="E73" s="77">
        <f t="shared" si="44"/>
        <v>0</v>
      </c>
      <c r="F73" s="77">
        <f t="shared" si="44"/>
        <v>4</v>
      </c>
      <c r="G73" s="77">
        <f t="shared" si="44"/>
        <v>7.4</v>
      </c>
      <c r="H73" s="77">
        <f t="shared" si="44"/>
        <v>4.848168225436261</v>
      </c>
      <c r="I73" s="77">
        <f t="shared" si="44"/>
        <v>5.5445024819358748</v>
      </c>
      <c r="J73" s="77">
        <f t="shared" si="44"/>
        <v>6.2953745136836758</v>
      </c>
      <c r="K73" s="77">
        <f t="shared" si="44"/>
        <v>7.1051239633940808</v>
      </c>
      <c r="L73" s="77">
        <f t="shared" si="44"/>
        <v>7.9802350258707282</v>
      </c>
      <c r="M73" s="77">
        <f t="shared" si="44"/>
        <v>8.9240065871518794</v>
      </c>
      <c r="N73" s="77">
        <f t="shared" si="44"/>
        <v>9.9465807227375258</v>
      </c>
      <c r="O73" s="77">
        <f t="shared" si="44"/>
        <v>11.049277355975001</v>
      </c>
      <c r="P73" s="77">
        <f t="shared" si="44"/>
        <v>12.238472618012555</v>
      </c>
      <c r="Q73" s="77">
        <f t="shared" si="44"/>
        <v>13.521052057117013</v>
      </c>
    </row>
    <row r="74" spans="1:17">
      <c r="A74" s="72" t="str">
        <f>'Raw Data'!A86</f>
        <v>Provisions</v>
      </c>
      <c r="B74" s="72" t="str">
        <f>'Raw Data'!B86</f>
        <v>OL</v>
      </c>
      <c r="C74" s="77">
        <f t="shared" ref="C74:Q74" si="45">C31</f>
        <v>2.6</v>
      </c>
      <c r="D74" s="77">
        <f t="shared" si="45"/>
        <v>2.7</v>
      </c>
      <c r="E74" s="77">
        <f t="shared" si="45"/>
        <v>2</v>
      </c>
      <c r="F74" s="77">
        <f t="shared" si="45"/>
        <v>2.4</v>
      </c>
      <c r="G74" s="77">
        <f t="shared" si="45"/>
        <v>2.7</v>
      </c>
      <c r="H74" s="77">
        <f t="shared" si="45"/>
        <v>3.1831407540743126</v>
      </c>
      <c r="I74" s="77">
        <f t="shared" si="45"/>
        <v>3.6403299123821395</v>
      </c>
      <c r="J74" s="77">
        <f t="shared" si="45"/>
        <v>4.1333267009034227</v>
      </c>
      <c r="K74" s="77">
        <f t="shared" si="45"/>
        <v>4.664980380006214</v>
      </c>
      <c r="L74" s="77">
        <f t="shared" si="45"/>
        <v>5.2395482493090633</v>
      </c>
      <c r="M74" s="77">
        <f t="shared" si="45"/>
        <v>5.8591962440896168</v>
      </c>
      <c r="N74" s="77">
        <f t="shared" si="45"/>
        <v>6.5305833028074654</v>
      </c>
      <c r="O74" s="77">
        <f t="shared" si="45"/>
        <v>7.2545760418017675</v>
      </c>
      <c r="P74" s="77">
        <f t="shared" si="45"/>
        <v>8.035360809806221</v>
      </c>
      <c r="Q74" s="77">
        <f t="shared" si="45"/>
        <v>8.8774584213394512</v>
      </c>
    </row>
    <row r="75" spans="1:17">
      <c r="A75" s="72" t="str">
        <f>'Raw Data'!A88</f>
        <v>Contract liabilities – deferred revenue</v>
      </c>
      <c r="B75" s="72" t="str">
        <f>'Raw Data'!B88</f>
        <v>OL</v>
      </c>
      <c r="C75" s="77">
        <f t="shared" ref="C75:Q75" si="46">C33</f>
        <v>30.6</v>
      </c>
      <c r="D75" s="77">
        <f t="shared" si="46"/>
        <v>36.200000000000003</v>
      </c>
      <c r="E75" s="77">
        <f t="shared" si="46"/>
        <v>39.5</v>
      </c>
      <c r="F75" s="77">
        <f t="shared" si="46"/>
        <v>43.6</v>
      </c>
      <c r="G75" s="77">
        <f t="shared" si="46"/>
        <v>61.7</v>
      </c>
      <c r="H75" s="77">
        <f t="shared" si="46"/>
        <v>55.092820743593876</v>
      </c>
      <c r="I75" s="77">
        <f t="shared" si="46"/>
        <v>63.005710021998574</v>
      </c>
      <c r="J75" s="77">
        <f t="shared" si="46"/>
        <v>71.538346746405395</v>
      </c>
      <c r="K75" s="77">
        <f t="shared" si="46"/>
        <v>80.740045038569093</v>
      </c>
      <c r="L75" s="77">
        <f t="shared" si="46"/>
        <v>90.684488930349175</v>
      </c>
      <c r="M75" s="77">
        <f t="shared" si="46"/>
        <v>101.40916576308952</v>
      </c>
      <c r="N75" s="77">
        <f t="shared" si="46"/>
        <v>113.0293263947446</v>
      </c>
      <c r="O75" s="77">
        <f t="shared" si="46"/>
        <v>125.55996995426136</v>
      </c>
      <c r="P75" s="77">
        <f t="shared" si="46"/>
        <v>139.07355247741538</v>
      </c>
      <c r="Q75" s="77">
        <f t="shared" si="46"/>
        <v>153.64831883087513</v>
      </c>
    </row>
    <row r="76" spans="1:17">
      <c r="A76" s="90" t="s">
        <v>169</v>
      </c>
      <c r="C76" s="147">
        <f>SUM(C72:C75)</f>
        <v>70.2</v>
      </c>
      <c r="D76" s="147">
        <f t="shared" ref="D76:G76" si="47">SUM(D72:D75)</f>
        <v>70.5</v>
      </c>
      <c r="E76" s="147">
        <f t="shared" si="47"/>
        <v>87.9</v>
      </c>
      <c r="F76" s="147">
        <f t="shared" si="47"/>
        <v>95.2</v>
      </c>
      <c r="G76" s="147">
        <f t="shared" si="47"/>
        <v>120.1</v>
      </c>
      <c r="H76" s="147">
        <f t="shared" ref="H76:Q76" si="48">SUM(H72:H75)</f>
        <v>115.85880872013851</v>
      </c>
      <c r="I76" s="147">
        <f t="shared" si="48"/>
        <v>129.14399573311337</v>
      </c>
      <c r="J76" s="147">
        <f t="shared" si="48"/>
        <v>143.47677754313301</v>
      </c>
      <c r="K76" s="147">
        <f t="shared" si="48"/>
        <v>158.94065733068118</v>
      </c>
      <c r="L76" s="147">
        <f t="shared" si="48"/>
        <v>175.64922079013769</v>
      </c>
      <c r="M76" s="147">
        <f t="shared" si="48"/>
        <v>193.67691306570845</v>
      </c>
      <c r="N76" s="147">
        <f t="shared" si="48"/>
        <v>213.18979844937724</v>
      </c>
      <c r="O76" s="147">
        <f t="shared" si="48"/>
        <v>234.24179602345276</v>
      </c>
      <c r="P76" s="147">
        <f t="shared" si="48"/>
        <v>256.95559639036196</v>
      </c>
      <c r="Q76" s="147">
        <f t="shared" si="48"/>
        <v>281.46369663326965</v>
      </c>
    </row>
    <row r="77" spans="1:17"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1:17">
      <c r="A78" s="100" t="s">
        <v>175</v>
      </c>
      <c r="B78" s="100"/>
      <c r="C78" s="149">
        <f>C70-C76</f>
        <v>17.799999999999997</v>
      </c>
      <c r="D78" s="149">
        <f t="shared" ref="D78:Q78" si="49">D70-D76</f>
        <v>27.299999999999997</v>
      </c>
      <c r="E78" s="149">
        <f t="shared" si="49"/>
        <v>82</v>
      </c>
      <c r="F78" s="149">
        <f t="shared" si="49"/>
        <v>95.600000000000009</v>
      </c>
      <c r="G78" s="149">
        <f t="shared" si="49"/>
        <v>34.800000000000011</v>
      </c>
      <c r="H78" s="149">
        <f t="shared" si="49"/>
        <v>8.6359993752380291</v>
      </c>
      <c r="I78" s="149">
        <f t="shared" si="49"/>
        <v>5.33439700989328</v>
      </c>
      <c r="J78" s="149">
        <f t="shared" si="49"/>
        <v>1.783886619314103</v>
      </c>
      <c r="K78" s="149">
        <f t="shared" si="49"/>
        <v>-2.0351400352381859</v>
      </c>
      <c r="L78" s="149">
        <f t="shared" si="49"/>
        <v>-6.1672621110591592</v>
      </c>
      <c r="M78" s="149">
        <f t="shared" si="49"/>
        <v>-10.612397692303631</v>
      </c>
      <c r="N78" s="149">
        <f t="shared" si="49"/>
        <v>-15.456121846100103</v>
      </c>
      <c r="O78" s="149">
        <f t="shared" si="49"/>
        <v>-20.665425291913408</v>
      </c>
      <c r="P78" s="149">
        <f t="shared" si="49"/>
        <v>-26.269116000299391</v>
      </c>
      <c r="Q78" s="149">
        <f t="shared" si="49"/>
        <v>-32.298297812002176</v>
      </c>
    </row>
    <row r="79" spans="1:17"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1:17">
      <c r="A80" s="72" t="str">
        <f>'Raw Data'!A63</f>
        <v>Property, plant and equipment</v>
      </c>
      <c r="B80" s="72" t="str">
        <f>'Raw Data'!B63</f>
        <v>OA</v>
      </c>
      <c r="C80" s="77">
        <f t="shared" ref="C80:Q80" si="50">C8</f>
        <v>19.399999999999999</v>
      </c>
      <c r="D80" s="77">
        <f t="shared" si="50"/>
        <v>16.899999999999999</v>
      </c>
      <c r="E80" s="77">
        <f t="shared" si="50"/>
        <v>13.9</v>
      </c>
      <c r="F80" s="77">
        <f t="shared" si="50"/>
        <v>11.5</v>
      </c>
      <c r="G80" s="77">
        <f t="shared" si="50"/>
        <v>12.9</v>
      </c>
      <c r="H80" s="77">
        <f t="shared" si="50"/>
        <v>30.922854865670949</v>
      </c>
      <c r="I80" s="77">
        <f t="shared" si="50"/>
        <v>33.396683254924632</v>
      </c>
      <c r="J80" s="77">
        <f t="shared" si="50"/>
        <v>36.068417915318605</v>
      </c>
      <c r="K80" s="77">
        <f t="shared" si="50"/>
        <v>38.95389134854409</v>
      </c>
      <c r="L80" s="77">
        <f t="shared" si="50"/>
        <v>42.070202656427625</v>
      </c>
      <c r="M80" s="77">
        <f t="shared" si="50"/>
        <v>45.43581886894183</v>
      </c>
      <c r="N80" s="77">
        <f t="shared" si="50"/>
        <v>49.070684378457187</v>
      </c>
      <c r="O80" s="77">
        <f t="shared" si="50"/>
        <v>52.996339128733766</v>
      </c>
      <c r="P80" s="77">
        <f t="shared" si="50"/>
        <v>57.236046259032477</v>
      </c>
      <c r="Q80" s="77">
        <f t="shared" si="50"/>
        <v>61.814929959755069</v>
      </c>
    </row>
    <row r="81" spans="1:22">
      <c r="A81" s="72" t="str">
        <f>'Raw Data'!A64</f>
        <v>Right-of-use assets</v>
      </c>
      <c r="B81" s="72" t="str">
        <f>'Raw Data'!B64</f>
        <v>OA</v>
      </c>
      <c r="C81" s="77">
        <f t="shared" ref="C81:Q81" si="51">C9</f>
        <v>0</v>
      </c>
      <c r="D81" s="77">
        <f t="shared" si="51"/>
        <v>0</v>
      </c>
      <c r="E81" s="77">
        <f t="shared" si="51"/>
        <v>28.7</v>
      </c>
      <c r="F81" s="77">
        <f t="shared" si="51"/>
        <v>23.8</v>
      </c>
      <c r="G81" s="77">
        <f t="shared" si="51"/>
        <v>22</v>
      </c>
      <c r="H81" s="77">
        <f t="shared" si="51"/>
        <v>17.11718071230969</v>
      </c>
      <c r="I81" s="77">
        <f t="shared" si="51"/>
        <v>18.486555169294466</v>
      </c>
      <c r="J81" s="77">
        <f t="shared" si="51"/>
        <v>19.965479582838025</v>
      </c>
      <c r="K81" s="77">
        <f t="shared" si="51"/>
        <v>21.562717949465068</v>
      </c>
      <c r="L81" s="77">
        <f t="shared" si="51"/>
        <v>23.287735385422277</v>
      </c>
      <c r="M81" s="77">
        <f t="shared" si="51"/>
        <v>25.150754216256058</v>
      </c>
      <c r="N81" s="77">
        <f t="shared" si="51"/>
        <v>27.162814553556547</v>
      </c>
      <c r="O81" s="77">
        <f t="shared" si="51"/>
        <v>29.335839717841072</v>
      </c>
      <c r="P81" s="77">
        <f t="shared" si="51"/>
        <v>31.682706895268364</v>
      </c>
      <c r="Q81" s="77">
        <f t="shared" si="51"/>
        <v>34.217323446889829</v>
      </c>
    </row>
    <row r="82" spans="1:22">
      <c r="A82" s="72" t="str">
        <f>'Raw Data'!A95</f>
        <v>Provisions</v>
      </c>
      <c r="B82" s="72" t="str">
        <f>'Raw Data'!B95</f>
        <v>OL</v>
      </c>
      <c r="C82" s="77">
        <f t="shared" ref="C82:Q82" si="52">-C40</f>
        <v>-6.3</v>
      </c>
      <c r="D82" s="77">
        <f t="shared" si="52"/>
        <v>-5.5</v>
      </c>
      <c r="E82" s="77">
        <f t="shared" si="52"/>
        <v>-1.7</v>
      </c>
      <c r="F82" s="77">
        <f t="shared" si="52"/>
        <v>-0.6</v>
      </c>
      <c r="G82" s="77">
        <f t="shared" si="52"/>
        <v>-0.8</v>
      </c>
      <c r="H82" s="77">
        <f t="shared" si="52"/>
        <v>37.997538202399724</v>
      </c>
      <c r="I82" s="77">
        <f t="shared" si="52"/>
        <v>20.150481548701752</v>
      </c>
      <c r="J82" s="77">
        <f t="shared" si="52"/>
        <v>0.72448415985268255</v>
      </c>
      <c r="K82" s="77">
        <f t="shared" si="52"/>
        <v>-20.40979274701662</v>
      </c>
      <c r="L82" s="77">
        <f t="shared" si="52"/>
        <v>-43.457399187849639</v>
      </c>
      <c r="M82" s="77">
        <f t="shared" si="52"/>
        <v>-68.505325320231037</v>
      </c>
      <c r="N82" s="77">
        <f t="shared" si="52"/>
        <v>-95.886581762575489</v>
      </c>
      <c r="O82" s="77">
        <f t="shared" si="52"/>
        <v>-125.61098165893698</v>
      </c>
      <c r="P82" s="77">
        <f t="shared" si="52"/>
        <v>-157.86902934440988</v>
      </c>
      <c r="Q82" s="77">
        <f t="shared" si="52"/>
        <v>-192.86653055807079</v>
      </c>
    </row>
    <row r="83" spans="1:22">
      <c r="A83" s="72" t="str">
        <f>'Raw Data'!A96</f>
        <v>Contract liabilities – deferred revenue</v>
      </c>
      <c r="B83" s="72" t="str">
        <f>'Raw Data'!B96</f>
        <v>OL</v>
      </c>
      <c r="C83" s="77">
        <f t="shared" ref="C83:Q83" si="53">-C41</f>
        <v>0</v>
      </c>
      <c r="D83" s="77">
        <f t="shared" si="53"/>
        <v>0</v>
      </c>
      <c r="E83" s="77">
        <f t="shared" si="53"/>
        <v>-1.4</v>
      </c>
      <c r="F83" s="77">
        <f t="shared" si="53"/>
        <v>-0.7</v>
      </c>
      <c r="G83" s="77">
        <f t="shared" si="53"/>
        <v>-0.6</v>
      </c>
      <c r="H83" s="77">
        <f t="shared" si="53"/>
        <v>-0.97942792433055781</v>
      </c>
      <c r="I83" s="77">
        <f t="shared" si="53"/>
        <v>-1.1201015115021968</v>
      </c>
      <c r="J83" s="77">
        <f t="shared" si="53"/>
        <v>-1.2717928310472071</v>
      </c>
      <c r="K83" s="77">
        <f t="shared" si="53"/>
        <v>-1.4353785784634505</v>
      </c>
      <c r="L83" s="77">
        <f t="shared" si="53"/>
        <v>-1.6121686920950966</v>
      </c>
      <c r="M83" s="77">
        <f t="shared" si="53"/>
        <v>-1.802829613566036</v>
      </c>
      <c r="N83" s="77">
        <f t="shared" si="53"/>
        <v>-2.0094102470176818</v>
      </c>
      <c r="O83" s="77">
        <f t="shared" si="53"/>
        <v>-2.232177243631313</v>
      </c>
      <c r="P83" s="77">
        <f t="shared" si="53"/>
        <v>-2.4724187107096069</v>
      </c>
      <c r="Q83" s="77">
        <f t="shared" si="53"/>
        <v>-2.7315256681044469</v>
      </c>
    </row>
    <row r="84" spans="1:22">
      <c r="A84" s="90" t="s">
        <v>170</v>
      </c>
      <c r="B84" s="90"/>
      <c r="C84" s="147">
        <f>C78+C80+C81+C82+C83</f>
        <v>30.899999999999995</v>
      </c>
      <c r="D84" s="147">
        <f t="shared" ref="D84:G84" si="54">D78+D80+D81+D82+D83</f>
        <v>38.699999999999996</v>
      </c>
      <c r="E84" s="147">
        <f t="shared" si="54"/>
        <v>121.5</v>
      </c>
      <c r="F84" s="147">
        <f t="shared" si="54"/>
        <v>129.60000000000002</v>
      </c>
      <c r="G84" s="147">
        <f t="shared" si="54"/>
        <v>68.300000000000026</v>
      </c>
      <c r="H84" s="147">
        <f t="shared" ref="H84:Q84" si="55">H78+H80+H81+H82+H83</f>
        <v>93.694145231287834</v>
      </c>
      <c r="I84" s="147">
        <f t="shared" si="55"/>
        <v>76.24801547131193</v>
      </c>
      <c r="J84" s="147">
        <f t="shared" si="55"/>
        <v>57.270475446276208</v>
      </c>
      <c r="K84" s="147">
        <f t="shared" si="55"/>
        <v>36.636297937290898</v>
      </c>
      <c r="L84" s="147">
        <f t="shared" si="55"/>
        <v>14.121108050846011</v>
      </c>
      <c r="M84" s="147">
        <f t="shared" si="55"/>
        <v>-10.333979540902821</v>
      </c>
      <c r="N84" s="147">
        <f t="shared" si="55"/>
        <v>-37.118614923679544</v>
      </c>
      <c r="O84" s="147">
        <f t="shared" si="55"/>
        <v>-66.176405347906865</v>
      </c>
      <c r="P84" s="147">
        <f t="shared" si="55"/>
        <v>-97.691810901118032</v>
      </c>
      <c r="Q84" s="147">
        <f t="shared" si="55"/>
        <v>-131.86410063153249</v>
      </c>
    </row>
    <row r="85" spans="1:22"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1:22">
      <c r="A86" s="72" t="str">
        <f>'Raw Data'!A61</f>
        <v>Goodwill</v>
      </c>
      <c r="B86" s="72" t="str">
        <f>'Raw Data'!B61</f>
        <v>OA</v>
      </c>
      <c r="C86" s="77">
        <f t="shared" ref="C86:Q86" si="56">C6</f>
        <v>187.2</v>
      </c>
      <c r="D86" s="77">
        <f t="shared" si="56"/>
        <v>189.4</v>
      </c>
      <c r="E86" s="77">
        <f t="shared" si="56"/>
        <v>193.1</v>
      </c>
      <c r="F86" s="77">
        <f t="shared" si="56"/>
        <v>182.9</v>
      </c>
      <c r="G86" s="77">
        <f t="shared" si="56"/>
        <v>266.10000000000002</v>
      </c>
      <c r="H86" s="77">
        <f t="shared" si="56"/>
        <v>258.68325856074432</v>
      </c>
      <c r="I86" s="77">
        <f t="shared" si="56"/>
        <v>279.37791924560389</v>
      </c>
      <c r="J86" s="77">
        <f t="shared" si="56"/>
        <v>301.72815278525223</v>
      </c>
      <c r="K86" s="77">
        <f t="shared" si="56"/>
        <v>325.86640500807238</v>
      </c>
      <c r="L86" s="77">
        <f t="shared" si="56"/>
        <v>351.93571740871823</v>
      </c>
      <c r="M86" s="77">
        <f t="shared" si="56"/>
        <v>380.09057480141564</v>
      </c>
      <c r="N86" s="77">
        <f t="shared" si="56"/>
        <v>410.49782078552903</v>
      </c>
      <c r="O86" s="77">
        <f t="shared" si="56"/>
        <v>443.33764644837134</v>
      </c>
      <c r="P86" s="77">
        <f t="shared" si="56"/>
        <v>478.80465816424112</v>
      </c>
      <c r="Q86" s="77">
        <f t="shared" si="56"/>
        <v>517.10903081738036</v>
      </c>
    </row>
    <row r="87" spans="1:22">
      <c r="A87" s="72" t="str">
        <f>'Raw Data'!A62</f>
        <v>Intangible assets</v>
      </c>
      <c r="B87" s="72" t="str">
        <f>'Raw Data'!B62</f>
        <v>OA</v>
      </c>
      <c r="C87" s="77">
        <f t="shared" ref="C87:Q87" si="57">C7</f>
        <v>52.8</v>
      </c>
      <c r="D87" s="77">
        <f t="shared" si="57"/>
        <v>41.8</v>
      </c>
      <c r="E87" s="77">
        <f t="shared" si="57"/>
        <v>29</v>
      </c>
      <c r="F87" s="77">
        <f t="shared" si="57"/>
        <v>21</v>
      </c>
      <c r="G87" s="77">
        <f t="shared" si="57"/>
        <v>118.6</v>
      </c>
      <c r="H87" s="77">
        <f t="shared" si="57"/>
        <v>105.05151043215741</v>
      </c>
      <c r="I87" s="77">
        <f t="shared" si="57"/>
        <v>113.45563126673001</v>
      </c>
      <c r="J87" s="77">
        <f t="shared" si="57"/>
        <v>122.53208176806844</v>
      </c>
      <c r="K87" s="77">
        <f t="shared" si="57"/>
        <v>132.33464830951391</v>
      </c>
      <c r="L87" s="77">
        <f t="shared" si="57"/>
        <v>142.92142017427503</v>
      </c>
      <c r="M87" s="77">
        <f t="shared" si="57"/>
        <v>154.35513378821702</v>
      </c>
      <c r="N87" s="77">
        <f t="shared" si="57"/>
        <v>166.70354449127444</v>
      </c>
      <c r="O87" s="77">
        <f t="shared" si="57"/>
        <v>180.0398280505764</v>
      </c>
      <c r="P87" s="77">
        <f t="shared" si="57"/>
        <v>194.44301429462254</v>
      </c>
      <c r="Q87" s="77">
        <f t="shared" si="57"/>
        <v>209.99845543819234</v>
      </c>
    </row>
    <row r="88" spans="1:22">
      <c r="A88" s="101" t="s">
        <v>171</v>
      </c>
      <c r="B88" s="102"/>
      <c r="C88" s="150">
        <f>C84+C86+C87</f>
        <v>270.89999999999998</v>
      </c>
      <c r="D88" s="150">
        <f t="shared" ref="D88:Q88" si="58">D84+D86+D87</f>
        <v>269.89999999999998</v>
      </c>
      <c r="E88" s="150">
        <f t="shared" si="58"/>
        <v>343.6</v>
      </c>
      <c r="F88" s="150">
        <f t="shared" si="58"/>
        <v>333.5</v>
      </c>
      <c r="G88" s="150">
        <f t="shared" si="58"/>
        <v>453</v>
      </c>
      <c r="H88" s="150">
        <f t="shared" si="58"/>
        <v>457.42891422418961</v>
      </c>
      <c r="I88" s="150">
        <f t="shared" si="58"/>
        <v>469.08156598364582</v>
      </c>
      <c r="J88" s="150">
        <f t="shared" si="58"/>
        <v>481.53070999959687</v>
      </c>
      <c r="K88" s="150">
        <f t="shared" si="58"/>
        <v>494.83735125487721</v>
      </c>
      <c r="L88" s="150">
        <f t="shared" si="58"/>
        <v>508.97824563383926</v>
      </c>
      <c r="M88" s="150">
        <f t="shared" si="58"/>
        <v>524.11172904872979</v>
      </c>
      <c r="N88" s="150">
        <f t="shared" si="58"/>
        <v>540.08275035312386</v>
      </c>
      <c r="O88" s="150">
        <f t="shared" si="58"/>
        <v>557.20106915104088</v>
      </c>
      <c r="P88" s="150">
        <f t="shared" si="58"/>
        <v>575.55586155774563</v>
      </c>
      <c r="Q88" s="150">
        <f t="shared" si="58"/>
        <v>595.24338562404023</v>
      </c>
      <c r="U88" s="53"/>
      <c r="V88" s="53"/>
    </row>
    <row r="89" spans="1:22"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1:22">
      <c r="A90" s="90" t="s">
        <v>172</v>
      </c>
      <c r="B90" s="90"/>
      <c r="C90" s="147">
        <f>C88</f>
        <v>270.89999999999998</v>
      </c>
      <c r="D90" s="147">
        <f t="shared" ref="D90:G90" si="59">D88</f>
        <v>269.89999999999998</v>
      </c>
      <c r="E90" s="147">
        <f t="shared" si="59"/>
        <v>343.6</v>
      </c>
      <c r="F90" s="147">
        <f t="shared" si="59"/>
        <v>333.5</v>
      </c>
      <c r="G90" s="147">
        <f t="shared" si="59"/>
        <v>453</v>
      </c>
      <c r="H90" s="147">
        <f t="shared" ref="H90:Q90" si="60">H88</f>
        <v>457.42891422418961</v>
      </c>
      <c r="I90" s="147">
        <f t="shared" si="60"/>
        <v>469.08156598364582</v>
      </c>
      <c r="J90" s="147">
        <f t="shared" si="60"/>
        <v>481.53070999959687</v>
      </c>
      <c r="K90" s="147">
        <f t="shared" si="60"/>
        <v>494.83735125487721</v>
      </c>
      <c r="L90" s="147">
        <f t="shared" si="60"/>
        <v>508.97824563383926</v>
      </c>
      <c r="M90" s="147">
        <f t="shared" si="60"/>
        <v>524.11172904872979</v>
      </c>
      <c r="N90" s="147">
        <f t="shared" si="60"/>
        <v>540.08275035312386</v>
      </c>
      <c r="O90" s="147">
        <f t="shared" si="60"/>
        <v>557.20106915104088</v>
      </c>
      <c r="P90" s="147">
        <f t="shared" si="60"/>
        <v>575.55586155774563</v>
      </c>
      <c r="Q90" s="147">
        <f t="shared" si="60"/>
        <v>595.24338562404023</v>
      </c>
    </row>
    <row r="91" spans="1:22">
      <c r="A91" s="72" t="str">
        <f>'Raw Data'!A65</f>
        <v>Investments</v>
      </c>
      <c r="B91" s="72" t="str">
        <f>'Raw Data'!B65</f>
        <v>NOA</v>
      </c>
      <c r="C91" s="77">
        <f t="shared" ref="C91:Q91" si="61">C10</f>
        <v>0.4</v>
      </c>
      <c r="D91" s="77">
        <f t="shared" si="61"/>
        <v>0.3</v>
      </c>
      <c r="E91" s="77">
        <f t="shared" si="61"/>
        <v>0.3</v>
      </c>
      <c r="F91" s="77">
        <f t="shared" si="61"/>
        <v>0.3</v>
      </c>
      <c r="G91" s="77">
        <f t="shared" si="61"/>
        <v>0.3</v>
      </c>
      <c r="H91" s="77">
        <f t="shared" si="61"/>
        <v>0.3</v>
      </c>
      <c r="I91" s="77">
        <f t="shared" si="61"/>
        <v>0.3</v>
      </c>
      <c r="J91" s="77">
        <f t="shared" si="61"/>
        <v>0.3</v>
      </c>
      <c r="K91" s="77">
        <f t="shared" si="61"/>
        <v>0.3</v>
      </c>
      <c r="L91" s="77">
        <f t="shared" si="61"/>
        <v>0.3</v>
      </c>
      <c r="M91" s="77">
        <f t="shared" si="61"/>
        <v>0.3</v>
      </c>
      <c r="N91" s="77">
        <f t="shared" si="61"/>
        <v>0.3</v>
      </c>
      <c r="O91" s="77">
        <f t="shared" si="61"/>
        <v>0.3</v>
      </c>
      <c r="P91" s="77">
        <f t="shared" si="61"/>
        <v>0.3</v>
      </c>
      <c r="Q91" s="77">
        <f t="shared" si="61"/>
        <v>0.3</v>
      </c>
    </row>
    <row r="92" spans="1:22">
      <c r="A92" s="72" t="str">
        <f>'Raw Data'!A72</f>
        <v>Derivative financial instruments</v>
      </c>
      <c r="B92" s="72" t="str">
        <f>'Raw Data'!B72</f>
        <v>NOA</v>
      </c>
      <c r="C92" s="77">
        <f t="shared" ref="C92:Q92" si="62">C17</f>
        <v>0</v>
      </c>
      <c r="D92" s="77">
        <f t="shared" si="62"/>
        <v>0</v>
      </c>
      <c r="E92" s="77">
        <f t="shared" si="62"/>
        <v>0</v>
      </c>
      <c r="F92" s="77">
        <f t="shared" si="62"/>
        <v>0</v>
      </c>
      <c r="G92" s="77">
        <f t="shared" si="62"/>
        <v>0.2</v>
      </c>
      <c r="H92" s="77">
        <f t="shared" si="62"/>
        <v>5.387256945238842E-2</v>
      </c>
      <c r="I92" s="77">
        <f t="shared" si="62"/>
        <v>5.8182375008579493E-2</v>
      </c>
      <c r="J92" s="77">
        <f t="shared" si="62"/>
        <v>6.283696500926586E-2</v>
      </c>
      <c r="K92" s="77">
        <f t="shared" si="62"/>
        <v>6.786392221000713E-2</v>
      </c>
      <c r="L92" s="77">
        <f t="shared" si="62"/>
        <v>7.3293035986807711E-2</v>
      </c>
      <c r="M92" s="77">
        <f t="shared" si="62"/>
        <v>7.9156478865752319E-2</v>
      </c>
      <c r="N92" s="77">
        <f t="shared" si="62"/>
        <v>8.5488997175012529E-2</v>
      </c>
      <c r="O92" s="77">
        <f t="shared" si="62"/>
        <v>9.2328116949013536E-2</v>
      </c>
      <c r="P92" s="77">
        <f t="shared" si="62"/>
        <v>9.9714366304934632E-2</v>
      </c>
      <c r="Q92" s="77">
        <f t="shared" si="62"/>
        <v>0.10769151560932939</v>
      </c>
    </row>
    <row r="93" spans="1:22">
      <c r="A93" s="72" t="str">
        <f>'Raw Data'!A73</f>
        <v>Consideration receivable on disposals</v>
      </c>
      <c r="B93" s="72" t="str">
        <f>'Raw Data'!B73</f>
        <v>NOA</v>
      </c>
      <c r="C93" s="77">
        <f t="shared" ref="C93:Q93" si="63">C18</f>
        <v>1.5</v>
      </c>
      <c r="D93" s="77">
        <f t="shared" si="63"/>
        <v>0</v>
      </c>
      <c r="E93" s="77">
        <f t="shared" si="63"/>
        <v>0</v>
      </c>
      <c r="F93" s="77">
        <f t="shared" si="63"/>
        <v>0</v>
      </c>
      <c r="G93" s="77">
        <f t="shared" si="63"/>
        <v>0</v>
      </c>
      <c r="H93" s="77">
        <f t="shared" si="63"/>
        <v>0</v>
      </c>
      <c r="I93" s="77">
        <f t="shared" si="63"/>
        <v>0</v>
      </c>
      <c r="J93" s="77">
        <f t="shared" si="63"/>
        <v>0</v>
      </c>
      <c r="K93" s="77">
        <f t="shared" si="63"/>
        <v>0</v>
      </c>
      <c r="L93" s="77">
        <f t="shared" si="63"/>
        <v>0</v>
      </c>
      <c r="M93" s="77">
        <f t="shared" si="63"/>
        <v>0</v>
      </c>
      <c r="N93" s="77">
        <f t="shared" si="63"/>
        <v>0</v>
      </c>
      <c r="O93" s="77">
        <f t="shared" si="63"/>
        <v>0</v>
      </c>
      <c r="P93" s="77">
        <f t="shared" si="63"/>
        <v>0</v>
      </c>
      <c r="Q93" s="77">
        <f t="shared" si="63"/>
        <v>0</v>
      </c>
    </row>
    <row r="94" spans="1:22">
      <c r="A94" s="72" t="str">
        <f>'Raw Data'!A84</f>
        <v>Derivative financial instruments</v>
      </c>
      <c r="B94" s="72" t="str">
        <f>'Raw Data'!B84</f>
        <v>NOL</v>
      </c>
      <c r="C94" s="77">
        <f t="shared" ref="C94:Q94" si="64">-C29</f>
        <v>0</v>
      </c>
      <c r="D94" s="77">
        <f t="shared" si="64"/>
        <v>0</v>
      </c>
      <c r="E94" s="77">
        <f t="shared" si="64"/>
        <v>0</v>
      </c>
      <c r="F94" s="77">
        <f t="shared" si="64"/>
        <v>-0.8</v>
      </c>
      <c r="G94" s="77">
        <f t="shared" si="64"/>
        <v>0</v>
      </c>
      <c r="H94" s="77">
        <f t="shared" si="64"/>
        <v>-0.97942792433055781</v>
      </c>
      <c r="I94" s="77">
        <f t="shared" si="64"/>
        <v>-1.1201015115021968</v>
      </c>
      <c r="J94" s="77">
        <f t="shared" si="64"/>
        <v>-1.2717928310472071</v>
      </c>
      <c r="K94" s="77">
        <f t="shared" si="64"/>
        <v>-1.4353785784634505</v>
      </c>
      <c r="L94" s="77">
        <f t="shared" si="64"/>
        <v>-1.6121686920950966</v>
      </c>
      <c r="M94" s="77">
        <f t="shared" si="64"/>
        <v>-1.802829613566036</v>
      </c>
      <c r="N94" s="77">
        <f t="shared" si="64"/>
        <v>-2.0094102470176818</v>
      </c>
      <c r="O94" s="77">
        <f t="shared" si="64"/>
        <v>-2.232177243631313</v>
      </c>
      <c r="P94" s="77">
        <f t="shared" si="64"/>
        <v>-2.4724187107096069</v>
      </c>
      <c r="Q94" s="77">
        <f t="shared" si="64"/>
        <v>-2.7315256681044469</v>
      </c>
    </row>
    <row r="95" spans="1:22">
      <c r="A95" s="72" t="str">
        <f>'Raw Data'!A85</f>
        <v>Contingent consideration</v>
      </c>
      <c r="B95" s="72" t="str">
        <f>'Raw Data'!B85</f>
        <v>NOL</v>
      </c>
      <c r="C95" s="77">
        <f t="shared" ref="C95:Q95" si="65">-C30</f>
        <v>0</v>
      </c>
      <c r="D95" s="77">
        <f t="shared" si="65"/>
        <v>0</v>
      </c>
      <c r="E95" s="77">
        <f t="shared" si="65"/>
        <v>0</v>
      </c>
      <c r="F95" s="77">
        <f t="shared" si="65"/>
        <v>0</v>
      </c>
      <c r="G95" s="77">
        <f t="shared" si="65"/>
        <v>-1.9</v>
      </c>
      <c r="H95" s="77">
        <f t="shared" si="65"/>
        <v>0</v>
      </c>
      <c r="I95" s="77">
        <f t="shared" si="65"/>
        <v>0</v>
      </c>
      <c r="J95" s="77">
        <f t="shared" si="65"/>
        <v>0</v>
      </c>
      <c r="K95" s="77">
        <f t="shared" si="65"/>
        <v>0</v>
      </c>
      <c r="L95" s="77">
        <f t="shared" si="65"/>
        <v>0</v>
      </c>
      <c r="M95" s="77">
        <f t="shared" si="65"/>
        <v>0</v>
      </c>
      <c r="N95" s="77">
        <f t="shared" si="65"/>
        <v>0</v>
      </c>
      <c r="O95" s="77">
        <f t="shared" si="65"/>
        <v>0</v>
      </c>
      <c r="P95" s="77">
        <f t="shared" si="65"/>
        <v>0</v>
      </c>
      <c r="Q95" s="77">
        <f t="shared" si="65"/>
        <v>0</v>
      </c>
    </row>
    <row r="96" spans="1:22">
      <c r="A96" s="72" t="str">
        <f>'Raw Data'!A87</f>
        <v>Consideration on acquisitions</v>
      </c>
      <c r="B96" s="72" t="str">
        <f>'Raw Data'!B87</f>
        <v>NOL</v>
      </c>
      <c r="C96" s="77">
        <f t="shared" ref="C96:Q96" si="66">-C32</f>
        <v>-11.9</v>
      </c>
      <c r="D96" s="77">
        <f t="shared" si="66"/>
        <v>0</v>
      </c>
      <c r="E96" s="77">
        <f t="shared" si="66"/>
        <v>0</v>
      </c>
      <c r="F96" s="77">
        <f t="shared" si="66"/>
        <v>0</v>
      </c>
      <c r="G96" s="77">
        <f t="shared" si="66"/>
        <v>0</v>
      </c>
      <c r="H96" s="77">
        <f t="shared" si="66"/>
        <v>0</v>
      </c>
      <c r="I96" s="77">
        <f t="shared" si="66"/>
        <v>0</v>
      </c>
      <c r="J96" s="77">
        <f t="shared" si="66"/>
        <v>0</v>
      </c>
      <c r="K96" s="77">
        <f t="shared" si="66"/>
        <v>0</v>
      </c>
      <c r="L96" s="77">
        <f t="shared" si="66"/>
        <v>0</v>
      </c>
      <c r="M96" s="77">
        <f t="shared" si="66"/>
        <v>0</v>
      </c>
      <c r="N96" s="77">
        <f t="shared" si="66"/>
        <v>0</v>
      </c>
      <c r="O96" s="77">
        <f t="shared" si="66"/>
        <v>0</v>
      </c>
      <c r="P96" s="77">
        <f t="shared" si="66"/>
        <v>0</v>
      </c>
      <c r="Q96" s="77">
        <f t="shared" si="66"/>
        <v>0</v>
      </c>
    </row>
    <row r="97" spans="1:17" ht="15" thickBot="1">
      <c r="A97" s="103" t="s">
        <v>173</v>
      </c>
      <c r="B97" s="103"/>
      <c r="C97" s="119">
        <f>SUM(C90:C96)</f>
        <v>260.89999999999998</v>
      </c>
      <c r="D97" s="119">
        <f t="shared" ref="D97:Q97" si="67">SUM(D90:D96)</f>
        <v>270.2</v>
      </c>
      <c r="E97" s="119">
        <f t="shared" si="67"/>
        <v>343.90000000000003</v>
      </c>
      <c r="F97" s="119">
        <f t="shared" si="67"/>
        <v>333</v>
      </c>
      <c r="G97" s="119">
        <f t="shared" si="67"/>
        <v>451.6</v>
      </c>
      <c r="H97" s="119">
        <f t="shared" si="67"/>
        <v>456.80335886931147</v>
      </c>
      <c r="I97" s="119">
        <f t="shared" si="67"/>
        <v>468.31964684715223</v>
      </c>
      <c r="J97" s="119">
        <f t="shared" si="67"/>
        <v>480.62175413355891</v>
      </c>
      <c r="K97" s="119">
        <f t="shared" si="67"/>
        <v>493.76983659862378</v>
      </c>
      <c r="L97" s="119">
        <f t="shared" si="67"/>
        <v>507.73936997773097</v>
      </c>
      <c r="M97" s="119">
        <f t="shared" si="67"/>
        <v>522.68805591402952</v>
      </c>
      <c r="N97" s="119">
        <f t="shared" si="67"/>
        <v>538.45882910328123</v>
      </c>
      <c r="O97" s="119">
        <f t="shared" si="67"/>
        <v>555.36122002435854</v>
      </c>
      <c r="P97" s="119">
        <f t="shared" si="67"/>
        <v>573.48315721334097</v>
      </c>
      <c r="Q97" s="119">
        <f t="shared" si="67"/>
        <v>592.91955147154499</v>
      </c>
    </row>
    <row r="98" spans="1:17" ht="15" thickTop="1"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1:17">
      <c r="A99" s="72" t="s">
        <v>2741</v>
      </c>
      <c r="C99" s="77"/>
      <c r="D99" s="77">
        <f>D97-D112</f>
        <v>0</v>
      </c>
      <c r="E99" s="77">
        <f t="shared" ref="E99:Q99" si="68">E97-E112</f>
        <v>0</v>
      </c>
      <c r="F99" s="77">
        <f t="shared" si="68"/>
        <v>0</v>
      </c>
      <c r="G99" s="77">
        <f t="shared" si="68"/>
        <v>0</v>
      </c>
      <c r="H99" s="77">
        <f t="shared" si="68"/>
        <v>-1.1790795297770273E-3</v>
      </c>
      <c r="I99" s="77">
        <f t="shared" si="68"/>
        <v>-1.2734058920500502E-3</v>
      </c>
      <c r="J99" s="77">
        <f t="shared" si="68"/>
        <v>-1.3752783635823107E-3</v>
      </c>
      <c r="K99" s="77">
        <f t="shared" si="68"/>
        <v>-1.4853006324528906E-3</v>
      </c>
      <c r="L99" s="77">
        <f t="shared" si="68"/>
        <v>-1.6041246830695854E-3</v>
      </c>
      <c r="M99" s="77">
        <f t="shared" si="68"/>
        <v>-1.7324546577128785E-3</v>
      </c>
      <c r="N99" s="77">
        <f t="shared" si="68"/>
        <v>-1.8710510305481876E-3</v>
      </c>
      <c r="O99" s="77">
        <f t="shared" si="68"/>
        <v>-2.0207351128647133E-3</v>
      </c>
      <c r="P99" s="77">
        <f t="shared" si="68"/>
        <v>-2.1823939217711086E-3</v>
      </c>
      <c r="Q99" s="77">
        <f t="shared" si="68"/>
        <v>-2.3569854357674558E-3</v>
      </c>
    </row>
    <row r="100" spans="1:17"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1:17">
      <c r="A101" s="5" t="s">
        <v>174</v>
      </c>
      <c r="C101" s="77"/>
      <c r="D101" s="14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1:17">
      <c r="A102" s="72" t="str">
        <f>'Raw Data'!A92</f>
        <v>Borrowings</v>
      </c>
      <c r="B102" s="72" t="str">
        <f>'Raw Data'!B92</f>
        <v>D</v>
      </c>
      <c r="C102" s="77">
        <f t="shared" ref="C102:Q102" si="69">C37</f>
        <v>49</v>
      </c>
      <c r="D102" s="77">
        <f t="shared" si="69"/>
        <v>50.1</v>
      </c>
      <c r="E102" s="77">
        <f t="shared" si="69"/>
        <v>99.2</v>
      </c>
      <c r="F102" s="77">
        <f t="shared" si="69"/>
        <v>33.200000000000003</v>
      </c>
      <c r="G102" s="77">
        <f t="shared" si="69"/>
        <v>107.1</v>
      </c>
      <c r="H102" s="77">
        <f t="shared" si="69"/>
        <v>109.24199999999999</v>
      </c>
      <c r="I102" s="77">
        <f t="shared" si="69"/>
        <v>111.42684</v>
      </c>
      <c r="J102" s="77">
        <f t="shared" si="69"/>
        <v>113.6553768</v>
      </c>
      <c r="K102" s="77">
        <f t="shared" si="69"/>
        <v>115.928484336</v>
      </c>
      <c r="L102" s="77">
        <f t="shared" si="69"/>
        <v>118.24705402271999</v>
      </c>
      <c r="M102" s="77">
        <f t="shared" si="69"/>
        <v>120.61199510317439</v>
      </c>
      <c r="N102" s="77">
        <f t="shared" si="69"/>
        <v>123.02423500523788</v>
      </c>
      <c r="O102" s="77">
        <f t="shared" si="69"/>
        <v>125.48471970534264</v>
      </c>
      <c r="P102" s="77">
        <f t="shared" si="69"/>
        <v>127.9944140994495</v>
      </c>
      <c r="Q102" s="77">
        <f t="shared" si="69"/>
        <v>130.5543023814385</v>
      </c>
    </row>
    <row r="103" spans="1:17">
      <c r="A103" s="72" t="str">
        <f>'Raw Data'!A93</f>
        <v>Lease liabilities</v>
      </c>
      <c r="B103" s="72" t="str">
        <f>'Raw Data'!B93</f>
        <v>D</v>
      </c>
      <c r="C103" s="77">
        <f t="shared" ref="C103:Q103" si="70">C38</f>
        <v>0</v>
      </c>
      <c r="D103" s="77">
        <f t="shared" si="70"/>
        <v>0</v>
      </c>
      <c r="E103" s="77">
        <f t="shared" si="70"/>
        <v>32.9</v>
      </c>
      <c r="F103" s="77">
        <f t="shared" si="70"/>
        <v>29.3</v>
      </c>
      <c r="G103" s="77">
        <f t="shared" si="70"/>
        <v>27.2</v>
      </c>
      <c r="H103" s="77">
        <f t="shared" si="70"/>
        <v>27.744</v>
      </c>
      <c r="I103" s="77">
        <f t="shared" si="70"/>
        <v>28.29888</v>
      </c>
      <c r="J103" s="77">
        <f t="shared" si="70"/>
        <v>28.864857600000001</v>
      </c>
      <c r="K103" s="77">
        <f t="shared" si="70"/>
        <v>29.442154752</v>
      </c>
      <c r="L103" s="77">
        <f t="shared" si="70"/>
        <v>30.030997847040002</v>
      </c>
      <c r="M103" s="77">
        <f t="shared" si="70"/>
        <v>30.631617803980802</v>
      </c>
      <c r="N103" s="77">
        <f t="shared" si="70"/>
        <v>31.244250160060417</v>
      </c>
      <c r="O103" s="77">
        <f t="shared" si="70"/>
        <v>31.869135163261625</v>
      </c>
      <c r="P103" s="77">
        <f t="shared" si="70"/>
        <v>32.506517866526856</v>
      </c>
      <c r="Q103" s="77">
        <f t="shared" si="70"/>
        <v>33.156648223857395</v>
      </c>
    </row>
    <row r="104" spans="1:17">
      <c r="A104" s="72" t="str">
        <f>'Raw Data'!A81</f>
        <v>short term Borrowings</v>
      </c>
      <c r="B104" s="72" t="str">
        <f>'Raw Data'!B81</f>
        <v>D</v>
      </c>
      <c r="C104" s="77">
        <f t="shared" ref="C104:Q104" si="71">C26</f>
        <v>0</v>
      </c>
      <c r="D104" s="77">
        <f t="shared" si="71"/>
        <v>5</v>
      </c>
      <c r="E104" s="77">
        <f t="shared" si="71"/>
        <v>0</v>
      </c>
      <c r="F104" s="77">
        <f t="shared" si="71"/>
        <v>0</v>
      </c>
      <c r="G104" s="77">
        <f t="shared" si="71"/>
        <v>18.5</v>
      </c>
      <c r="H104" s="77">
        <f t="shared" si="71"/>
        <v>18.87</v>
      </c>
      <c r="I104" s="77">
        <f t="shared" si="71"/>
        <v>19.247400000000003</v>
      </c>
      <c r="J104" s="77">
        <f t="shared" si="71"/>
        <v>19.632348000000004</v>
      </c>
      <c r="K104" s="77">
        <f t="shared" si="71"/>
        <v>20.024994960000004</v>
      </c>
      <c r="L104" s="77">
        <f t="shared" si="71"/>
        <v>20.425494859200004</v>
      </c>
      <c r="M104" s="77">
        <f t="shared" si="71"/>
        <v>20.834004756384005</v>
      </c>
      <c r="N104" s="77">
        <f t="shared" si="71"/>
        <v>21.250684851511686</v>
      </c>
      <c r="O104" s="77">
        <f t="shared" si="71"/>
        <v>21.67569854854192</v>
      </c>
      <c r="P104" s="77">
        <f t="shared" si="71"/>
        <v>22.109212519512759</v>
      </c>
      <c r="Q104" s="77">
        <f t="shared" si="71"/>
        <v>22.551396769903015</v>
      </c>
    </row>
    <row r="105" spans="1:17">
      <c r="A105" s="72" t="str">
        <f>'Raw Data'!A82</f>
        <v>short term Lease liabilities</v>
      </c>
      <c r="B105" s="72" t="str">
        <f>'Raw Data'!B82</f>
        <v>D</v>
      </c>
      <c r="C105" s="77">
        <f t="shared" ref="C105:Q105" si="72">C27</f>
        <v>0</v>
      </c>
      <c r="D105" s="77">
        <f t="shared" si="72"/>
        <v>0</v>
      </c>
      <c r="E105" s="77">
        <f t="shared" si="72"/>
        <v>5.3</v>
      </c>
      <c r="F105" s="77">
        <f t="shared" si="72"/>
        <v>5.0999999999999996</v>
      </c>
      <c r="G105" s="77">
        <f t="shared" si="72"/>
        <v>5.4</v>
      </c>
      <c r="H105" s="77">
        <f t="shared" si="72"/>
        <v>5.5080000000000009</v>
      </c>
      <c r="I105" s="77">
        <f t="shared" si="72"/>
        <v>5.6181600000000014</v>
      </c>
      <c r="J105" s="77">
        <f t="shared" si="72"/>
        <v>5.7305232000000013</v>
      </c>
      <c r="K105" s="77">
        <f t="shared" si="72"/>
        <v>5.8451336640000013</v>
      </c>
      <c r="L105" s="77">
        <f t="shared" si="72"/>
        <v>5.9620363372800016</v>
      </c>
      <c r="M105" s="77">
        <f t="shared" si="72"/>
        <v>6.0812770640256018</v>
      </c>
      <c r="N105" s="77">
        <f t="shared" si="72"/>
        <v>6.2029026053061136</v>
      </c>
      <c r="O105" s="77">
        <f t="shared" si="72"/>
        <v>6.3269606574122363</v>
      </c>
      <c r="P105" s="77">
        <f t="shared" si="72"/>
        <v>6.4534998705604814</v>
      </c>
      <c r="Q105" s="77">
        <f t="shared" si="72"/>
        <v>6.5825698679716913</v>
      </c>
    </row>
    <row r="106" spans="1:17">
      <c r="A106" s="10" t="s">
        <v>176</v>
      </c>
      <c r="B106" s="101"/>
      <c r="C106" s="150">
        <f>SUM(C102:C105)</f>
        <v>49</v>
      </c>
      <c r="D106" s="150">
        <f t="shared" ref="D106:Q106" si="73">SUM(D102:D105)</f>
        <v>55.1</v>
      </c>
      <c r="E106" s="150">
        <f t="shared" si="73"/>
        <v>137.4</v>
      </c>
      <c r="F106" s="150">
        <f t="shared" si="73"/>
        <v>67.599999999999994</v>
      </c>
      <c r="G106" s="150">
        <f t="shared" si="73"/>
        <v>158.19999999999999</v>
      </c>
      <c r="H106" s="150">
        <f t="shared" si="73"/>
        <v>161.364</v>
      </c>
      <c r="I106" s="150">
        <f t="shared" si="73"/>
        <v>164.59127999999998</v>
      </c>
      <c r="J106" s="150">
        <f t="shared" si="73"/>
        <v>167.88310559999999</v>
      </c>
      <c r="K106" s="150">
        <f t="shared" si="73"/>
        <v>171.24076771200001</v>
      </c>
      <c r="L106" s="150">
        <f t="shared" si="73"/>
        <v>174.66558306624</v>
      </c>
      <c r="M106" s="150">
        <f t="shared" si="73"/>
        <v>178.15889472756479</v>
      </c>
      <c r="N106" s="150">
        <f t="shared" si="73"/>
        <v>181.72207262211612</v>
      </c>
      <c r="O106" s="150">
        <f t="shared" si="73"/>
        <v>185.35651407455842</v>
      </c>
      <c r="P106" s="150">
        <f t="shared" si="73"/>
        <v>189.06364435604959</v>
      </c>
      <c r="Q106" s="150">
        <f t="shared" si="73"/>
        <v>192.84491724317061</v>
      </c>
    </row>
    <row r="107" spans="1:17"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1:17" ht="30">
      <c r="A108" s="104" t="str">
        <f>'Raw Data'!A109</f>
        <v>Total equity attributable to equity holders of the Parent</v>
      </c>
      <c r="B108" s="72" t="str">
        <f>'Raw Data'!B109</f>
        <v>E</v>
      </c>
      <c r="C108" s="77">
        <f t="shared" ref="C108:Q108" si="74">C55</f>
        <v>206.60000000000002</v>
      </c>
      <c r="D108" s="77">
        <f t="shared" si="74"/>
        <v>210.80000000000004</v>
      </c>
      <c r="E108" s="77">
        <f t="shared" si="74"/>
        <v>205.9</v>
      </c>
      <c r="F108" s="77">
        <f t="shared" si="74"/>
        <v>266.2</v>
      </c>
      <c r="G108" s="77">
        <f t="shared" si="74"/>
        <v>293.2</v>
      </c>
      <c r="H108" s="77">
        <f t="shared" si="74"/>
        <v>293.86871344124472</v>
      </c>
      <c r="I108" s="77">
        <f t="shared" si="74"/>
        <v>301.7983722102457</v>
      </c>
      <c r="J108" s="77">
        <f t="shared" si="74"/>
        <v>310.42144233085685</v>
      </c>
      <c r="K108" s="77">
        <f t="shared" si="74"/>
        <v>319.79457748420862</v>
      </c>
      <c r="L108" s="77">
        <f t="shared" si="74"/>
        <v>329.88818684430294</v>
      </c>
      <c r="M108" s="77">
        <f t="shared" si="74"/>
        <v>340.85738526601421</v>
      </c>
      <c r="N108" s="77">
        <f t="shared" si="74"/>
        <v>352.53740999570482</v>
      </c>
      <c r="O108" s="77">
        <f t="shared" si="74"/>
        <v>365.23685858230704</v>
      </c>
      <c r="P108" s="77">
        <f t="shared" si="74"/>
        <v>379.03898537194459</v>
      </c>
      <c r="Q108" s="77">
        <f t="shared" si="74"/>
        <v>394.0337390671823</v>
      </c>
    </row>
    <row r="109" spans="1:17">
      <c r="A109" s="72" t="str">
        <f>'Raw Data'!A66</f>
        <v>Deferred tax asset</v>
      </c>
      <c r="B109" s="72" t="str">
        <f>'Raw Data'!B66</f>
        <v>DTA</v>
      </c>
      <c r="C109" s="77">
        <f t="shared" ref="C109:Q109" si="75">-C11</f>
        <v>-4.5</v>
      </c>
      <c r="D109" s="77">
        <f t="shared" si="75"/>
        <v>-1.1000000000000001</v>
      </c>
      <c r="E109" s="77">
        <f t="shared" si="75"/>
        <v>-2.2999999999999998</v>
      </c>
      <c r="F109" s="77">
        <f t="shared" si="75"/>
        <v>-2</v>
      </c>
      <c r="G109" s="77">
        <f t="shared" si="75"/>
        <v>-1.4</v>
      </c>
      <c r="H109" s="77">
        <f t="shared" si="75"/>
        <v>-2.1010302086431483</v>
      </c>
      <c r="I109" s="77">
        <f t="shared" si="75"/>
        <v>-2.2691126253345999</v>
      </c>
      <c r="J109" s="77">
        <f t="shared" si="75"/>
        <v>-2.4506416353613685</v>
      </c>
      <c r="K109" s="77">
        <f t="shared" si="75"/>
        <v>-2.6466929661902778</v>
      </c>
      <c r="L109" s="77">
        <f t="shared" si="75"/>
        <v>-2.8584284034855005</v>
      </c>
      <c r="M109" s="77">
        <f t="shared" si="75"/>
        <v>-3.0871026757643403</v>
      </c>
      <c r="N109" s="77">
        <f t="shared" si="75"/>
        <v>-3.3340708898254885</v>
      </c>
      <c r="O109" s="77">
        <f t="shared" si="75"/>
        <v>-3.6007965610115273</v>
      </c>
      <c r="P109" s="77">
        <f t="shared" si="75"/>
        <v>-3.8888602858924504</v>
      </c>
      <c r="Q109" s="77">
        <f t="shared" si="75"/>
        <v>-4.1999691087638462</v>
      </c>
    </row>
    <row r="110" spans="1:17">
      <c r="A110" s="72" t="str">
        <f>'Raw Data'!A94</f>
        <v>Deferred tax liabilities</v>
      </c>
      <c r="B110" s="72" t="str">
        <f>'Raw Data'!B94</f>
        <v>DTL</v>
      </c>
      <c r="C110" s="77">
        <f t="shared" ref="C110:Q110" si="76">C39</f>
        <v>9.8000000000000007</v>
      </c>
      <c r="D110" s="77">
        <f t="shared" si="76"/>
        <v>5.4</v>
      </c>
      <c r="E110" s="77">
        <f t="shared" si="76"/>
        <v>2.9</v>
      </c>
      <c r="F110" s="77">
        <f t="shared" si="76"/>
        <v>1.2</v>
      </c>
      <c r="G110" s="77">
        <f t="shared" si="76"/>
        <v>1.6</v>
      </c>
      <c r="H110" s="77">
        <f t="shared" si="76"/>
        <v>3.6728547162395913</v>
      </c>
      <c r="I110" s="77">
        <f t="shared" si="76"/>
        <v>4.2003806681332385</v>
      </c>
      <c r="J110" s="77">
        <f t="shared" si="76"/>
        <v>4.7692231164270265</v>
      </c>
      <c r="K110" s="77">
        <f t="shared" si="76"/>
        <v>5.3826696692379397</v>
      </c>
      <c r="L110" s="77">
        <f t="shared" si="76"/>
        <v>6.0456325953566115</v>
      </c>
      <c r="M110" s="77">
        <f t="shared" si="76"/>
        <v>6.7606110508726349</v>
      </c>
      <c r="N110" s="77">
        <f t="shared" si="76"/>
        <v>7.5352884263163062</v>
      </c>
      <c r="O110" s="77">
        <f t="shared" si="76"/>
        <v>8.3706646636174238</v>
      </c>
      <c r="P110" s="77">
        <f t="shared" si="76"/>
        <v>9.2715701651610249</v>
      </c>
      <c r="Q110" s="77">
        <f t="shared" si="76"/>
        <v>10.243221255391674</v>
      </c>
    </row>
    <row r="111" spans="1:17">
      <c r="A111" s="19" t="s">
        <v>177</v>
      </c>
      <c r="B111" s="100"/>
      <c r="C111" s="149">
        <f>SUM(C108:C110)</f>
        <v>211.90000000000003</v>
      </c>
      <c r="D111" s="149">
        <f t="shared" ref="D111:G111" si="77">SUM(D108:D110)</f>
        <v>215.10000000000005</v>
      </c>
      <c r="E111" s="149">
        <f t="shared" si="77"/>
        <v>206.5</v>
      </c>
      <c r="F111" s="149">
        <f t="shared" si="77"/>
        <v>265.39999999999998</v>
      </c>
      <c r="G111" s="149">
        <f t="shared" si="77"/>
        <v>293.40000000000003</v>
      </c>
      <c r="H111" s="149">
        <f t="shared" ref="H111:Q111" si="78">SUM(H108:H110)</f>
        <v>295.44053794884121</v>
      </c>
      <c r="I111" s="149">
        <f t="shared" si="78"/>
        <v>303.72964025304429</v>
      </c>
      <c r="J111" s="149">
        <f t="shared" si="78"/>
        <v>312.74002381192253</v>
      </c>
      <c r="K111" s="149">
        <f t="shared" si="78"/>
        <v>322.53055418725626</v>
      </c>
      <c r="L111" s="149">
        <f t="shared" si="78"/>
        <v>333.07539103617404</v>
      </c>
      <c r="M111" s="149">
        <f t="shared" si="78"/>
        <v>344.53089364112247</v>
      </c>
      <c r="N111" s="149">
        <f t="shared" si="78"/>
        <v>356.73862753219561</v>
      </c>
      <c r="O111" s="149">
        <f t="shared" si="78"/>
        <v>370.00672668491296</v>
      </c>
      <c r="P111" s="149">
        <f t="shared" si="78"/>
        <v>384.42169525121318</v>
      </c>
      <c r="Q111" s="149">
        <f t="shared" si="78"/>
        <v>400.07699121381012</v>
      </c>
    </row>
    <row r="112" spans="1:17" ht="15" thickBot="1">
      <c r="A112" s="103" t="s">
        <v>173</v>
      </c>
      <c r="B112" s="103"/>
      <c r="C112" s="119">
        <f>C111+C106</f>
        <v>260.90000000000003</v>
      </c>
      <c r="D112" s="119">
        <f t="shared" ref="D112:Q112" si="79">D111+D106</f>
        <v>270.20000000000005</v>
      </c>
      <c r="E112" s="119">
        <f t="shared" si="79"/>
        <v>343.9</v>
      </c>
      <c r="F112" s="119">
        <f t="shared" si="79"/>
        <v>333</v>
      </c>
      <c r="G112" s="119">
        <f t="shared" si="79"/>
        <v>451.6</v>
      </c>
      <c r="H112" s="119">
        <f t="shared" si="79"/>
        <v>456.80453794884124</v>
      </c>
      <c r="I112" s="119">
        <f t="shared" si="79"/>
        <v>468.32092025304428</v>
      </c>
      <c r="J112" s="119">
        <f t="shared" si="79"/>
        <v>480.62312941192249</v>
      </c>
      <c r="K112" s="119">
        <f t="shared" si="79"/>
        <v>493.77132189925624</v>
      </c>
      <c r="L112" s="119">
        <f t="shared" si="79"/>
        <v>507.74097410241404</v>
      </c>
      <c r="M112" s="119">
        <f t="shared" si="79"/>
        <v>522.68978836868723</v>
      </c>
      <c r="N112" s="119">
        <f t="shared" si="79"/>
        <v>538.46070015431178</v>
      </c>
      <c r="O112" s="119">
        <f t="shared" si="79"/>
        <v>555.36324075947141</v>
      </c>
      <c r="P112" s="119">
        <f t="shared" si="79"/>
        <v>573.48533960726274</v>
      </c>
      <c r="Q112" s="119">
        <f t="shared" si="79"/>
        <v>592.92190845698076</v>
      </c>
    </row>
    <row r="113" spans="1:17" ht="15" thickTop="1"/>
    <row r="117" spans="1:17">
      <c r="A117" s="82"/>
      <c r="B117" s="82"/>
      <c r="C117" s="82"/>
      <c r="D117" s="82"/>
      <c r="E117" s="82"/>
      <c r="F117" s="82"/>
      <c r="G117" s="82"/>
    </row>
    <row r="118" spans="1:17" ht="18">
      <c r="A118" s="125" t="s">
        <v>2651</v>
      </c>
      <c r="B118" s="126"/>
      <c r="C118" s="126"/>
      <c r="D118" s="126"/>
      <c r="E118" s="126"/>
      <c r="F118" s="126"/>
      <c r="G118" s="126"/>
      <c r="H118" s="127"/>
      <c r="I118" s="127"/>
      <c r="J118" s="127"/>
      <c r="K118" s="127"/>
      <c r="L118" s="127"/>
      <c r="M118" s="127"/>
      <c r="N118" s="127"/>
      <c r="O118" s="127"/>
      <c r="P118" s="127"/>
      <c r="Q118" s="128"/>
    </row>
    <row r="119" spans="1:17">
      <c r="A119" s="154"/>
      <c r="B119" s="154"/>
      <c r="C119" s="162">
        <f t="shared" ref="C119:Q119" si="80">C63</f>
        <v>2018</v>
      </c>
      <c r="D119" s="162">
        <f t="shared" si="80"/>
        <v>2019</v>
      </c>
      <c r="E119" s="162">
        <f t="shared" si="80"/>
        <v>2020</v>
      </c>
      <c r="F119" s="162">
        <f t="shared" si="80"/>
        <v>2021</v>
      </c>
      <c r="G119" s="162">
        <f t="shared" si="80"/>
        <v>2022</v>
      </c>
      <c r="H119" s="129">
        <f t="shared" si="80"/>
        <v>2023</v>
      </c>
      <c r="I119" s="129">
        <f t="shared" si="80"/>
        <v>2024</v>
      </c>
      <c r="J119" s="129">
        <f t="shared" si="80"/>
        <v>2025</v>
      </c>
      <c r="K119" s="129">
        <f t="shared" si="80"/>
        <v>2026</v>
      </c>
      <c r="L119" s="129">
        <f t="shared" si="80"/>
        <v>2027</v>
      </c>
      <c r="M119" s="129">
        <f t="shared" si="80"/>
        <v>2028</v>
      </c>
      <c r="N119" s="129">
        <f t="shared" si="80"/>
        <v>2029</v>
      </c>
      <c r="O119" s="129">
        <f t="shared" si="80"/>
        <v>2030</v>
      </c>
      <c r="P119" s="129">
        <f t="shared" si="80"/>
        <v>2031</v>
      </c>
      <c r="Q119" s="130">
        <f t="shared" si="80"/>
        <v>2032</v>
      </c>
    </row>
    <row r="120" spans="1:17">
      <c r="A120" s="155"/>
      <c r="B120" s="155"/>
      <c r="C120" s="163">
        <f t="shared" ref="C120:Q120" si="81">C64</f>
        <v>43251</v>
      </c>
      <c r="D120" s="163">
        <f t="shared" si="81"/>
        <v>43616</v>
      </c>
      <c r="E120" s="163">
        <f t="shared" si="81"/>
        <v>43982</v>
      </c>
      <c r="F120" s="163">
        <f t="shared" si="81"/>
        <v>44347</v>
      </c>
      <c r="G120" s="163">
        <f t="shared" si="81"/>
        <v>44712</v>
      </c>
      <c r="H120" s="131">
        <f t="shared" si="81"/>
        <v>45077</v>
      </c>
      <c r="I120" s="131">
        <f t="shared" si="81"/>
        <v>45443</v>
      </c>
      <c r="J120" s="131">
        <f t="shared" si="81"/>
        <v>45808</v>
      </c>
      <c r="K120" s="131">
        <f t="shared" si="81"/>
        <v>46173</v>
      </c>
      <c r="L120" s="131">
        <f t="shared" si="81"/>
        <v>46538</v>
      </c>
      <c r="M120" s="131">
        <f t="shared" si="81"/>
        <v>46904</v>
      </c>
      <c r="N120" s="131">
        <f t="shared" si="81"/>
        <v>47269</v>
      </c>
      <c r="O120" s="131">
        <f t="shared" si="81"/>
        <v>47634</v>
      </c>
      <c r="P120" s="131">
        <f t="shared" si="81"/>
        <v>47999</v>
      </c>
      <c r="Q120" s="132">
        <f t="shared" si="81"/>
        <v>48365</v>
      </c>
    </row>
    <row r="121" spans="1:17">
      <c r="A121" s="114"/>
      <c r="B121" s="84"/>
      <c r="C121" s="151" t="str">
        <f>C4</f>
        <v>£'M</v>
      </c>
      <c r="D121" s="151" t="str">
        <f t="shared" ref="D121:Q121" si="82">D4</f>
        <v>£'M</v>
      </c>
      <c r="E121" s="151" t="str">
        <f t="shared" si="82"/>
        <v>£'M</v>
      </c>
      <c r="F121" s="151" t="str">
        <f t="shared" si="82"/>
        <v>£'M</v>
      </c>
      <c r="G121" s="151" t="str">
        <f t="shared" si="82"/>
        <v>£'M</v>
      </c>
      <c r="H121" s="152" t="str">
        <f t="shared" si="82"/>
        <v>£'M</v>
      </c>
      <c r="I121" s="152" t="str">
        <f t="shared" si="82"/>
        <v>£'M</v>
      </c>
      <c r="J121" s="152" t="str">
        <f t="shared" si="82"/>
        <v>£'M</v>
      </c>
      <c r="K121" s="152" t="str">
        <f t="shared" si="82"/>
        <v>£'M</v>
      </c>
      <c r="L121" s="152" t="str">
        <f t="shared" si="82"/>
        <v>£'M</v>
      </c>
      <c r="M121" s="152" t="str">
        <f t="shared" si="82"/>
        <v>£'M</v>
      </c>
      <c r="N121" s="152" t="str">
        <f t="shared" si="82"/>
        <v>£'M</v>
      </c>
      <c r="O121" s="152" t="str">
        <f t="shared" si="82"/>
        <v>£'M</v>
      </c>
      <c r="P121" s="152" t="str">
        <f t="shared" si="82"/>
        <v>£'M</v>
      </c>
      <c r="Q121" s="153" t="str">
        <f t="shared" si="82"/>
        <v>£'M</v>
      </c>
    </row>
    <row r="122" spans="1:17">
      <c r="A122" s="86" t="s">
        <v>144</v>
      </c>
      <c r="B122" s="87" t="s">
        <v>136</v>
      </c>
      <c r="C122" s="133">
        <f>SUMIF($B$6:$B$55,$B122,C$6:C$55)</f>
        <v>326.2</v>
      </c>
      <c r="D122" s="133">
        <f t="shared" ref="D122:Q122" si="83">SUMIF($B$6:$B$55,$B122,D$6:D$55)</f>
        <v>311</v>
      </c>
      <c r="E122" s="133">
        <f t="shared" si="83"/>
        <v>339.6</v>
      </c>
      <c r="F122" s="133">
        <f t="shared" si="83"/>
        <v>313.5</v>
      </c>
      <c r="G122" s="133">
        <f t="shared" si="83"/>
        <v>501.3</v>
      </c>
      <c r="H122" s="133">
        <f t="shared" si="83"/>
        <v>503.46473869931776</v>
      </c>
      <c r="I122" s="133">
        <f t="shared" si="83"/>
        <v>543.74191779526325</v>
      </c>
      <c r="J122" s="133">
        <f t="shared" si="83"/>
        <v>587.24127121888432</v>
      </c>
      <c r="K122" s="133">
        <f t="shared" si="83"/>
        <v>634.22057291639499</v>
      </c>
      <c r="L122" s="133">
        <f t="shared" si="83"/>
        <v>684.95821874970659</v>
      </c>
      <c r="M122" s="133">
        <f t="shared" si="83"/>
        <v>739.75487624968321</v>
      </c>
      <c r="N122" s="133">
        <f t="shared" si="83"/>
        <v>798.93526634965815</v>
      </c>
      <c r="O122" s="133">
        <f t="shared" si="83"/>
        <v>862.85008765763075</v>
      </c>
      <c r="P122" s="133">
        <f t="shared" si="83"/>
        <v>931.87809467024135</v>
      </c>
      <c r="Q122" s="134">
        <f t="shared" si="83"/>
        <v>1006.4283422438606</v>
      </c>
    </row>
    <row r="123" spans="1:17">
      <c r="A123" s="86" t="s">
        <v>145</v>
      </c>
      <c r="B123" s="87" t="s">
        <v>142</v>
      </c>
      <c r="C123" s="133">
        <f t="shared" ref="C123:Q126" si="84">SUMIF($B$6:$B$55,$B123,C$6:C$55)</f>
        <v>1.9</v>
      </c>
      <c r="D123" s="133">
        <f t="shared" si="84"/>
        <v>0.3</v>
      </c>
      <c r="E123" s="133">
        <f t="shared" si="84"/>
        <v>0.3</v>
      </c>
      <c r="F123" s="133">
        <f t="shared" si="84"/>
        <v>0.3</v>
      </c>
      <c r="G123" s="133">
        <f t="shared" si="84"/>
        <v>0.5</v>
      </c>
      <c r="H123" s="133">
        <f t="shared" si="84"/>
        <v>0.35387256945238843</v>
      </c>
      <c r="I123" s="133">
        <f t="shared" si="84"/>
        <v>0.35818237500857947</v>
      </c>
      <c r="J123" s="133">
        <f t="shared" si="84"/>
        <v>0.36283696500926588</v>
      </c>
      <c r="K123" s="133">
        <f t="shared" si="84"/>
        <v>0.36786392221000713</v>
      </c>
      <c r="L123" s="133">
        <f t="shared" si="84"/>
        <v>0.37329303598680769</v>
      </c>
      <c r="M123" s="133">
        <f t="shared" si="84"/>
        <v>0.37915647886575232</v>
      </c>
      <c r="N123" s="133">
        <f t="shared" si="84"/>
        <v>0.3854889971750125</v>
      </c>
      <c r="O123" s="133">
        <f t="shared" si="84"/>
        <v>0.39232811694901354</v>
      </c>
      <c r="P123" s="133">
        <f t="shared" si="84"/>
        <v>0.39971436630493462</v>
      </c>
      <c r="Q123" s="134">
        <f t="shared" si="84"/>
        <v>0.40769151560932937</v>
      </c>
    </row>
    <row r="124" spans="1:17">
      <c r="A124" s="86" t="s">
        <v>146</v>
      </c>
      <c r="B124" s="87" t="s">
        <v>147</v>
      </c>
      <c r="C124" s="133">
        <f t="shared" si="84"/>
        <v>0</v>
      </c>
      <c r="D124" s="133">
        <f t="shared" si="84"/>
        <v>0</v>
      </c>
      <c r="E124" s="133">
        <f t="shared" si="84"/>
        <v>0</v>
      </c>
      <c r="F124" s="133">
        <f t="shared" si="84"/>
        <v>0</v>
      </c>
      <c r="G124" s="133">
        <f t="shared" si="84"/>
        <v>0</v>
      </c>
      <c r="H124" s="133">
        <f t="shared" si="84"/>
        <v>0</v>
      </c>
      <c r="I124" s="133">
        <f t="shared" si="84"/>
        <v>0</v>
      </c>
      <c r="J124" s="133">
        <f t="shared" si="84"/>
        <v>0</v>
      </c>
      <c r="K124" s="133">
        <f t="shared" si="84"/>
        <v>0</v>
      </c>
      <c r="L124" s="133">
        <f t="shared" si="84"/>
        <v>0</v>
      </c>
      <c r="M124" s="133">
        <f t="shared" si="84"/>
        <v>0</v>
      </c>
      <c r="N124" s="133">
        <f t="shared" si="84"/>
        <v>0</v>
      </c>
      <c r="O124" s="133">
        <f t="shared" si="84"/>
        <v>0</v>
      </c>
      <c r="P124" s="133">
        <f t="shared" si="84"/>
        <v>0</v>
      </c>
      <c r="Q124" s="134">
        <f t="shared" si="84"/>
        <v>0</v>
      </c>
    </row>
    <row r="125" spans="1:17">
      <c r="A125" s="86" t="s">
        <v>148</v>
      </c>
      <c r="B125" s="87" t="s">
        <v>137</v>
      </c>
      <c r="C125" s="133">
        <f t="shared" si="84"/>
        <v>4.5</v>
      </c>
      <c r="D125" s="133">
        <f t="shared" si="84"/>
        <v>1.1000000000000001</v>
      </c>
      <c r="E125" s="133">
        <f t="shared" si="84"/>
        <v>2.2999999999999998</v>
      </c>
      <c r="F125" s="133">
        <f t="shared" si="84"/>
        <v>2</v>
      </c>
      <c r="G125" s="133">
        <f t="shared" si="84"/>
        <v>1.4</v>
      </c>
      <c r="H125" s="133">
        <f t="shared" si="84"/>
        <v>2.1010302086431483</v>
      </c>
      <c r="I125" s="133">
        <f t="shared" si="84"/>
        <v>2.2691126253345999</v>
      </c>
      <c r="J125" s="133">
        <f t="shared" si="84"/>
        <v>2.4506416353613685</v>
      </c>
      <c r="K125" s="133">
        <f t="shared" si="84"/>
        <v>2.6466929661902778</v>
      </c>
      <c r="L125" s="133">
        <f t="shared" si="84"/>
        <v>2.8584284034855005</v>
      </c>
      <c r="M125" s="133">
        <f t="shared" si="84"/>
        <v>3.0871026757643403</v>
      </c>
      <c r="N125" s="133">
        <f t="shared" si="84"/>
        <v>3.3340708898254885</v>
      </c>
      <c r="O125" s="133">
        <f t="shared" si="84"/>
        <v>3.6007965610115273</v>
      </c>
      <c r="P125" s="133">
        <f t="shared" si="84"/>
        <v>3.8888602858924504</v>
      </c>
      <c r="Q125" s="134">
        <f t="shared" si="84"/>
        <v>4.1999691087638462</v>
      </c>
    </row>
    <row r="126" spans="1:17">
      <c r="A126" s="86" t="s">
        <v>149</v>
      </c>
      <c r="B126" s="87" t="s">
        <v>133</v>
      </c>
      <c r="C126" s="133">
        <f t="shared" si="84"/>
        <v>21.2</v>
      </c>
      <c r="D126" s="133">
        <f t="shared" si="84"/>
        <v>34.9</v>
      </c>
      <c r="E126" s="133">
        <f t="shared" si="84"/>
        <v>95</v>
      </c>
      <c r="F126" s="133">
        <f t="shared" si="84"/>
        <v>116.5</v>
      </c>
      <c r="G126" s="133">
        <f t="shared" si="84"/>
        <v>73.2</v>
      </c>
      <c r="H126" s="133">
        <f t="shared" si="84"/>
        <v>32.80487396694118</v>
      </c>
      <c r="I126" s="133">
        <f t="shared" si="84"/>
        <v>35.453263884296433</v>
      </c>
      <c r="J126" s="133">
        <f t="shared" si="84"/>
        <v>38.313524995040112</v>
      </c>
      <c r="K126" s="133">
        <f t="shared" si="84"/>
        <v>41.402606994643428</v>
      </c>
      <c r="L126" s="133">
        <f t="shared" si="84"/>
        <v>44.738815554215002</v>
      </c>
      <c r="M126" s="133">
        <f t="shared" si="84"/>
        <v>48.341920798552181</v>
      </c>
      <c r="N126" s="133">
        <f t="shared" si="84"/>
        <v>52.233274462436277</v>
      </c>
      <c r="O126" s="133">
        <f t="shared" si="84"/>
        <v>56.435936419431215</v>
      </c>
      <c r="P126" s="133">
        <f t="shared" si="84"/>
        <v>60.974811332985766</v>
      </c>
      <c r="Q126" s="134">
        <f t="shared" si="84"/>
        <v>65.876796239624539</v>
      </c>
    </row>
    <row r="127" spans="1:17" s="90" customFormat="1" ht="16" thickBot="1">
      <c r="A127" s="88" t="s">
        <v>150</v>
      </c>
      <c r="B127" s="89"/>
      <c r="C127" s="135">
        <f>SUM(C122:C126)</f>
        <v>353.79999999999995</v>
      </c>
      <c r="D127" s="135">
        <f t="shared" ref="D127:G127" si="85">SUM(D122:D126)</f>
        <v>347.3</v>
      </c>
      <c r="E127" s="135">
        <f t="shared" si="85"/>
        <v>437.20000000000005</v>
      </c>
      <c r="F127" s="135">
        <f t="shared" si="85"/>
        <v>432.3</v>
      </c>
      <c r="G127" s="135">
        <f t="shared" si="85"/>
        <v>576.4</v>
      </c>
      <c r="H127" s="70">
        <f t="shared" ref="H127:Q127" si="86">SUM(H122:H126)</f>
        <v>538.72451544435444</v>
      </c>
      <c r="I127" s="70">
        <f t="shared" si="86"/>
        <v>581.82247667990293</v>
      </c>
      <c r="J127" s="70">
        <f t="shared" si="86"/>
        <v>628.36827481429509</v>
      </c>
      <c r="K127" s="70">
        <f t="shared" si="86"/>
        <v>678.6377367994387</v>
      </c>
      <c r="L127" s="70">
        <f t="shared" si="86"/>
        <v>732.92875574339382</v>
      </c>
      <c r="M127" s="70">
        <f t="shared" si="86"/>
        <v>791.56305620286548</v>
      </c>
      <c r="N127" s="70">
        <f t="shared" si="86"/>
        <v>854.88810069909493</v>
      </c>
      <c r="O127" s="70">
        <f t="shared" si="86"/>
        <v>923.27914875502245</v>
      </c>
      <c r="P127" s="70">
        <f t="shared" si="86"/>
        <v>997.1414806554244</v>
      </c>
      <c r="Q127" s="750">
        <f t="shared" si="86"/>
        <v>1076.9127991078583</v>
      </c>
    </row>
    <row r="128" spans="1:17" ht="15" thickTop="1">
      <c r="A128" s="91"/>
      <c r="B128" s="92"/>
      <c r="C128" s="133"/>
      <c r="D128" s="133"/>
      <c r="E128" s="133"/>
      <c r="F128" s="133"/>
      <c r="G128" s="133"/>
      <c r="Q128" s="136"/>
    </row>
    <row r="129" spans="1:17">
      <c r="A129" s="86" t="s">
        <v>151</v>
      </c>
      <c r="B129" s="87" t="s">
        <v>139</v>
      </c>
      <c r="C129" s="133">
        <f>SUMIF($B$6:$B$55,$B129,C$6:C$55)</f>
        <v>76.5</v>
      </c>
      <c r="D129" s="133">
        <f t="shared" ref="D129:Q129" si="87">SUMIF($B$6:$B$55,$B129,D$6:D$55)</f>
        <v>76</v>
      </c>
      <c r="E129" s="133">
        <f t="shared" si="87"/>
        <v>91.000000000000014</v>
      </c>
      <c r="F129" s="133">
        <f t="shared" si="87"/>
        <v>96.5</v>
      </c>
      <c r="G129" s="133">
        <f t="shared" si="87"/>
        <v>121.49999999999999</v>
      </c>
      <c r="H129" s="133">
        <f t="shared" si="87"/>
        <v>78.840698442069339</v>
      </c>
      <c r="I129" s="133">
        <f t="shared" si="87"/>
        <v>110.11361569591382</v>
      </c>
      <c r="J129" s="133">
        <f t="shared" si="87"/>
        <v>144.02408621432753</v>
      </c>
      <c r="K129" s="133">
        <f t="shared" si="87"/>
        <v>180.78582865616124</v>
      </c>
      <c r="L129" s="133">
        <f t="shared" si="87"/>
        <v>220.71878867008243</v>
      </c>
      <c r="M129" s="133">
        <f t="shared" si="87"/>
        <v>263.98506799950553</v>
      </c>
      <c r="N129" s="133">
        <f t="shared" si="87"/>
        <v>311.08579045897039</v>
      </c>
      <c r="O129" s="133">
        <f t="shared" si="87"/>
        <v>362.08495492602106</v>
      </c>
      <c r="P129" s="133">
        <f t="shared" si="87"/>
        <v>417.2970444454815</v>
      </c>
      <c r="Q129" s="134">
        <f t="shared" si="87"/>
        <v>477.06175285944488</v>
      </c>
    </row>
    <row r="130" spans="1:17">
      <c r="A130" s="86" t="s">
        <v>160</v>
      </c>
      <c r="B130" s="87" t="s">
        <v>143</v>
      </c>
      <c r="C130" s="133">
        <f t="shared" ref="C130:Q135" si="88">SUMIF($B$6:$B$55,$B130,C$6:C$55)</f>
        <v>11.9</v>
      </c>
      <c r="D130" s="133">
        <f t="shared" si="88"/>
        <v>0</v>
      </c>
      <c r="E130" s="133">
        <f t="shared" si="88"/>
        <v>0</v>
      </c>
      <c r="F130" s="133">
        <f t="shared" si="88"/>
        <v>0.8</v>
      </c>
      <c r="G130" s="133">
        <f t="shared" si="88"/>
        <v>1.9</v>
      </c>
      <c r="H130" s="133">
        <f t="shared" si="88"/>
        <v>0.97942792433055781</v>
      </c>
      <c r="I130" s="133">
        <f t="shared" si="88"/>
        <v>1.1201015115021968</v>
      </c>
      <c r="J130" s="133">
        <f t="shared" si="88"/>
        <v>1.2717928310472071</v>
      </c>
      <c r="K130" s="133">
        <f t="shared" si="88"/>
        <v>1.4353785784634505</v>
      </c>
      <c r="L130" s="133">
        <f t="shared" si="88"/>
        <v>1.6121686920950966</v>
      </c>
      <c r="M130" s="133">
        <f t="shared" si="88"/>
        <v>1.802829613566036</v>
      </c>
      <c r="N130" s="133">
        <f t="shared" si="88"/>
        <v>2.0094102470176818</v>
      </c>
      <c r="O130" s="133">
        <f t="shared" si="88"/>
        <v>2.232177243631313</v>
      </c>
      <c r="P130" s="133">
        <f t="shared" si="88"/>
        <v>2.4724187107096069</v>
      </c>
      <c r="Q130" s="134">
        <f t="shared" si="88"/>
        <v>2.7315256681044469</v>
      </c>
    </row>
    <row r="131" spans="1:17">
      <c r="A131" s="86" t="s">
        <v>152</v>
      </c>
      <c r="B131" s="87" t="s">
        <v>138</v>
      </c>
      <c r="C131" s="133">
        <f t="shared" si="88"/>
        <v>49</v>
      </c>
      <c r="D131" s="133">
        <f t="shared" si="88"/>
        <v>55.1</v>
      </c>
      <c r="E131" s="133">
        <f t="shared" si="88"/>
        <v>137.4</v>
      </c>
      <c r="F131" s="133">
        <f t="shared" si="88"/>
        <v>67.600000000000009</v>
      </c>
      <c r="G131" s="133">
        <f t="shared" si="88"/>
        <v>158.19999999999999</v>
      </c>
      <c r="H131" s="133">
        <f t="shared" si="88"/>
        <v>161.364</v>
      </c>
      <c r="I131" s="133">
        <f t="shared" si="88"/>
        <v>164.59127999999998</v>
      </c>
      <c r="J131" s="133">
        <f t="shared" si="88"/>
        <v>167.88310559999999</v>
      </c>
      <c r="K131" s="133">
        <f t="shared" si="88"/>
        <v>171.24076771200001</v>
      </c>
      <c r="L131" s="133">
        <f t="shared" si="88"/>
        <v>174.66558306624</v>
      </c>
      <c r="M131" s="133">
        <f t="shared" si="88"/>
        <v>178.15889472756481</v>
      </c>
      <c r="N131" s="133">
        <f t="shared" si="88"/>
        <v>181.72207262211612</v>
      </c>
      <c r="O131" s="133">
        <f t="shared" si="88"/>
        <v>185.35651407455842</v>
      </c>
      <c r="P131" s="133">
        <f t="shared" si="88"/>
        <v>189.06364435604959</v>
      </c>
      <c r="Q131" s="134">
        <f t="shared" si="88"/>
        <v>192.84491724317061</v>
      </c>
    </row>
    <row r="132" spans="1:17">
      <c r="A132" s="86" t="s">
        <v>153</v>
      </c>
      <c r="B132" s="87" t="s">
        <v>154</v>
      </c>
      <c r="C132" s="133">
        <f t="shared" si="88"/>
        <v>0</v>
      </c>
      <c r="D132" s="133">
        <f t="shared" si="88"/>
        <v>0</v>
      </c>
      <c r="E132" s="133">
        <f t="shared" si="88"/>
        <v>0</v>
      </c>
      <c r="F132" s="133">
        <f t="shared" si="88"/>
        <v>0</v>
      </c>
      <c r="G132" s="133">
        <f t="shared" si="88"/>
        <v>0</v>
      </c>
      <c r="H132" s="133">
        <f t="shared" si="88"/>
        <v>0</v>
      </c>
      <c r="I132" s="133">
        <f t="shared" si="88"/>
        <v>0</v>
      </c>
      <c r="J132" s="133">
        <f t="shared" si="88"/>
        <v>0</v>
      </c>
      <c r="K132" s="133">
        <f t="shared" si="88"/>
        <v>0</v>
      </c>
      <c r="L132" s="133">
        <f t="shared" si="88"/>
        <v>0</v>
      </c>
      <c r="M132" s="133">
        <f t="shared" si="88"/>
        <v>0</v>
      </c>
      <c r="N132" s="133">
        <f t="shared" si="88"/>
        <v>0</v>
      </c>
      <c r="O132" s="133">
        <f t="shared" si="88"/>
        <v>0</v>
      </c>
      <c r="P132" s="133">
        <f t="shared" si="88"/>
        <v>0</v>
      </c>
      <c r="Q132" s="134">
        <f t="shared" si="88"/>
        <v>0</v>
      </c>
    </row>
    <row r="133" spans="1:17">
      <c r="A133" s="86" t="s">
        <v>155</v>
      </c>
      <c r="B133" s="87" t="s">
        <v>140</v>
      </c>
      <c r="C133" s="133">
        <f t="shared" si="88"/>
        <v>9.8000000000000007</v>
      </c>
      <c r="D133" s="133">
        <f t="shared" si="88"/>
        <v>5.4</v>
      </c>
      <c r="E133" s="133">
        <f t="shared" si="88"/>
        <v>2.9</v>
      </c>
      <c r="F133" s="133">
        <f t="shared" si="88"/>
        <v>1.2</v>
      </c>
      <c r="G133" s="133">
        <f t="shared" si="88"/>
        <v>1.6</v>
      </c>
      <c r="H133" s="133">
        <f t="shared" si="88"/>
        <v>3.6728547162395913</v>
      </c>
      <c r="I133" s="133">
        <f t="shared" si="88"/>
        <v>4.2003806681332385</v>
      </c>
      <c r="J133" s="133">
        <f t="shared" si="88"/>
        <v>4.7692231164270265</v>
      </c>
      <c r="K133" s="133">
        <f t="shared" si="88"/>
        <v>5.3826696692379397</v>
      </c>
      <c r="L133" s="133">
        <f t="shared" si="88"/>
        <v>6.0456325953566115</v>
      </c>
      <c r="M133" s="133">
        <f t="shared" si="88"/>
        <v>6.7606110508726349</v>
      </c>
      <c r="N133" s="133">
        <f t="shared" si="88"/>
        <v>7.5352884263163062</v>
      </c>
      <c r="O133" s="133">
        <f t="shared" si="88"/>
        <v>8.3706646636174238</v>
      </c>
      <c r="P133" s="133">
        <f t="shared" si="88"/>
        <v>9.2715701651610249</v>
      </c>
      <c r="Q133" s="134">
        <f t="shared" si="88"/>
        <v>10.243221255391674</v>
      </c>
    </row>
    <row r="134" spans="1:17">
      <c r="A134" s="86" t="s">
        <v>156</v>
      </c>
      <c r="B134" s="87" t="s">
        <v>157</v>
      </c>
      <c r="C134" s="133">
        <f t="shared" si="88"/>
        <v>0</v>
      </c>
      <c r="D134" s="133">
        <f t="shared" si="88"/>
        <v>0</v>
      </c>
      <c r="E134" s="133">
        <f t="shared" si="88"/>
        <v>0</v>
      </c>
      <c r="F134" s="133">
        <f t="shared" si="88"/>
        <v>0</v>
      </c>
      <c r="G134" s="133">
        <f t="shared" si="88"/>
        <v>0</v>
      </c>
      <c r="H134" s="133">
        <f t="shared" si="88"/>
        <v>0</v>
      </c>
      <c r="I134" s="133">
        <f t="shared" si="88"/>
        <v>0</v>
      </c>
      <c r="J134" s="133">
        <f t="shared" si="88"/>
        <v>0</v>
      </c>
      <c r="K134" s="133">
        <f t="shared" si="88"/>
        <v>0</v>
      </c>
      <c r="L134" s="133">
        <f t="shared" si="88"/>
        <v>0</v>
      </c>
      <c r="M134" s="133">
        <f t="shared" si="88"/>
        <v>0</v>
      </c>
      <c r="N134" s="133">
        <f t="shared" si="88"/>
        <v>0</v>
      </c>
      <c r="O134" s="133">
        <f t="shared" si="88"/>
        <v>0</v>
      </c>
      <c r="P134" s="133">
        <f t="shared" si="88"/>
        <v>0</v>
      </c>
      <c r="Q134" s="134">
        <f t="shared" si="88"/>
        <v>0</v>
      </c>
    </row>
    <row r="135" spans="1:17">
      <c r="A135" s="86" t="s">
        <v>61</v>
      </c>
      <c r="B135" s="87" t="s">
        <v>141</v>
      </c>
      <c r="C135" s="133">
        <f t="shared" si="88"/>
        <v>206.60000000000002</v>
      </c>
      <c r="D135" s="133">
        <f t="shared" si="88"/>
        <v>210.80000000000004</v>
      </c>
      <c r="E135" s="133">
        <f t="shared" si="88"/>
        <v>205.9</v>
      </c>
      <c r="F135" s="133">
        <f t="shared" si="88"/>
        <v>266.2</v>
      </c>
      <c r="G135" s="133">
        <f t="shared" si="88"/>
        <v>293.2</v>
      </c>
      <c r="H135" s="133">
        <f t="shared" si="88"/>
        <v>293.86871344124472</v>
      </c>
      <c r="I135" s="133">
        <f t="shared" si="88"/>
        <v>301.7983722102457</v>
      </c>
      <c r="J135" s="133">
        <f t="shared" si="88"/>
        <v>310.42144233085685</v>
      </c>
      <c r="K135" s="133">
        <f t="shared" si="88"/>
        <v>319.79457748420862</v>
      </c>
      <c r="L135" s="133">
        <f t="shared" si="88"/>
        <v>329.88818684430294</v>
      </c>
      <c r="M135" s="133">
        <f t="shared" si="88"/>
        <v>340.85738526601421</v>
      </c>
      <c r="N135" s="133">
        <f t="shared" si="88"/>
        <v>352.53740999570482</v>
      </c>
      <c r="O135" s="133">
        <f t="shared" si="88"/>
        <v>365.23685858230704</v>
      </c>
      <c r="P135" s="133">
        <f t="shared" si="88"/>
        <v>379.03898537194459</v>
      </c>
      <c r="Q135" s="134">
        <f t="shared" si="88"/>
        <v>394.0337390671823</v>
      </c>
    </row>
    <row r="136" spans="1:17" s="90" customFormat="1" ht="16" thickBot="1">
      <c r="A136" s="88" t="s">
        <v>158</v>
      </c>
      <c r="B136" s="89"/>
      <c r="C136" s="135">
        <f>SUM(C129:C135)</f>
        <v>353.80000000000007</v>
      </c>
      <c r="D136" s="135">
        <f t="shared" ref="D136:G136" si="89">SUM(D129:D135)</f>
        <v>347.30000000000007</v>
      </c>
      <c r="E136" s="135">
        <f t="shared" si="89"/>
        <v>437.20000000000005</v>
      </c>
      <c r="F136" s="135">
        <f t="shared" si="89"/>
        <v>432.29999999999995</v>
      </c>
      <c r="G136" s="135">
        <f t="shared" si="89"/>
        <v>576.4</v>
      </c>
      <c r="H136" s="70">
        <f t="shared" ref="H136:Q136" si="90">SUM(H129:H135)</f>
        <v>538.72569452388416</v>
      </c>
      <c r="I136" s="70">
        <f t="shared" si="90"/>
        <v>581.82375008579493</v>
      </c>
      <c r="J136" s="70">
        <f t="shared" si="90"/>
        <v>628.36965009265862</v>
      </c>
      <c r="K136" s="70">
        <f t="shared" si="90"/>
        <v>678.63922210007127</v>
      </c>
      <c r="L136" s="70">
        <f t="shared" si="90"/>
        <v>732.93035986807718</v>
      </c>
      <c r="M136" s="70">
        <f t="shared" si="90"/>
        <v>791.5647886575232</v>
      </c>
      <c r="N136" s="70">
        <f t="shared" si="90"/>
        <v>854.88997175012537</v>
      </c>
      <c r="O136" s="70">
        <f t="shared" si="90"/>
        <v>923.2811694901352</v>
      </c>
      <c r="P136" s="70">
        <f t="shared" si="90"/>
        <v>997.1436630493464</v>
      </c>
      <c r="Q136" s="750">
        <f t="shared" si="90"/>
        <v>1076.9151560932937</v>
      </c>
    </row>
    <row r="137" spans="1:17" ht="15" thickTop="1">
      <c r="A137" s="91"/>
      <c r="B137" s="92"/>
      <c r="C137" s="137"/>
      <c r="D137" s="137"/>
      <c r="E137" s="137"/>
      <c r="F137" s="137"/>
      <c r="G137" s="137"/>
      <c r="Q137" s="136"/>
    </row>
    <row r="138" spans="1:17">
      <c r="A138" s="91"/>
      <c r="B138" s="93"/>
      <c r="C138" s="138"/>
      <c r="D138" s="138"/>
      <c r="E138" s="138"/>
      <c r="F138" s="138"/>
      <c r="G138" s="138"/>
      <c r="Q138" s="136"/>
    </row>
    <row r="139" spans="1:17">
      <c r="A139" s="94" t="s">
        <v>144</v>
      </c>
      <c r="B139" s="95" t="s">
        <v>136</v>
      </c>
      <c r="C139" s="139">
        <f t="shared" ref="C139:G143" si="91">IFERROR(IF(C122="","",C122/C$127),"")</f>
        <v>0.92198982475975133</v>
      </c>
      <c r="D139" s="139">
        <f t="shared" si="91"/>
        <v>0.89547941261157493</v>
      </c>
      <c r="E139" s="139">
        <f t="shared" si="91"/>
        <v>0.77676120768526991</v>
      </c>
      <c r="F139" s="139">
        <f t="shared" si="91"/>
        <v>0.72519083969465647</v>
      </c>
      <c r="G139" s="140">
        <f t="shared" si="91"/>
        <v>0.86970853573907014</v>
      </c>
      <c r="H139" s="140">
        <f t="shared" ref="H139:Q139" si="92">IFERROR(IF(H122="","",H122/H$127),"")</f>
        <v>0.93454952255894008</v>
      </c>
      <c r="I139" s="140">
        <f t="shared" si="92"/>
        <v>0.93454952255893997</v>
      </c>
      <c r="J139" s="140">
        <f t="shared" si="92"/>
        <v>0.93454952255894008</v>
      </c>
      <c r="K139" s="140">
        <f t="shared" si="92"/>
        <v>0.93454952255893997</v>
      </c>
      <c r="L139" s="140">
        <f t="shared" si="92"/>
        <v>0.93454952255893997</v>
      </c>
      <c r="M139" s="140">
        <f t="shared" si="92"/>
        <v>0.93454952255893986</v>
      </c>
      <c r="N139" s="140">
        <f t="shared" si="92"/>
        <v>0.93454952255893997</v>
      </c>
      <c r="O139" s="140">
        <f t="shared" si="92"/>
        <v>0.93454952255893997</v>
      </c>
      <c r="P139" s="140">
        <f t="shared" si="92"/>
        <v>0.93454952255893997</v>
      </c>
      <c r="Q139" s="141">
        <f t="shared" si="92"/>
        <v>0.93454952255893997</v>
      </c>
    </row>
    <row r="140" spans="1:17">
      <c r="A140" s="86" t="s">
        <v>145</v>
      </c>
      <c r="B140" s="95" t="s">
        <v>142</v>
      </c>
      <c r="C140" s="139">
        <f t="shared" si="91"/>
        <v>5.3702656868287171E-3</v>
      </c>
      <c r="D140" s="139">
        <f t="shared" si="91"/>
        <v>8.6380650734235525E-4</v>
      </c>
      <c r="E140" s="139">
        <f t="shared" si="91"/>
        <v>6.8618481244281783E-4</v>
      </c>
      <c r="F140" s="139">
        <f t="shared" si="91"/>
        <v>6.939625260235947E-4</v>
      </c>
      <c r="G140" s="139">
        <f t="shared" si="91"/>
        <v>8.6745315752949348E-4</v>
      </c>
      <c r="H140" s="139">
        <f t="shared" ref="H140:Q140" si="93">IFERROR(IF(H123="","",H123/H$127),"")</f>
        <v>6.5687110815906499E-4</v>
      </c>
      <c r="I140" s="139">
        <f t="shared" si="93"/>
        <v>6.1562141265580233E-4</v>
      </c>
      <c r="J140" s="139">
        <f t="shared" si="93"/>
        <v>5.7742725015278178E-4</v>
      </c>
      <c r="K140" s="139">
        <f t="shared" si="93"/>
        <v>5.4206228487220693E-4</v>
      </c>
      <c r="L140" s="139">
        <f t="shared" si="93"/>
        <v>5.0931694664945251E-4</v>
      </c>
      <c r="M140" s="139">
        <f t="shared" si="93"/>
        <v>4.7899718903579087E-4</v>
      </c>
      <c r="N140" s="139">
        <f t="shared" si="93"/>
        <v>4.5092333939351161E-4</v>
      </c>
      <c r="O140" s="139">
        <f t="shared" si="93"/>
        <v>4.2492903416917909E-4</v>
      </c>
      <c r="P140" s="139">
        <f t="shared" si="93"/>
        <v>4.0086023303553781E-4</v>
      </c>
      <c r="Q140" s="142">
        <f t="shared" si="93"/>
        <v>3.7857430605994406E-4</v>
      </c>
    </row>
    <row r="141" spans="1:17">
      <c r="A141" s="86" t="s">
        <v>146</v>
      </c>
      <c r="B141" s="95" t="s">
        <v>147</v>
      </c>
      <c r="C141" s="139">
        <f t="shared" si="91"/>
        <v>0</v>
      </c>
      <c r="D141" s="139">
        <f t="shared" si="91"/>
        <v>0</v>
      </c>
      <c r="E141" s="139">
        <f t="shared" si="91"/>
        <v>0</v>
      </c>
      <c r="F141" s="139">
        <f t="shared" si="91"/>
        <v>0</v>
      </c>
      <c r="G141" s="139">
        <f t="shared" si="91"/>
        <v>0</v>
      </c>
      <c r="H141" s="139">
        <f t="shared" ref="H141:Q141" si="94">IFERROR(IF(H124="","",H124/H$127),"")</f>
        <v>0</v>
      </c>
      <c r="I141" s="139">
        <f t="shared" si="94"/>
        <v>0</v>
      </c>
      <c r="J141" s="139">
        <f t="shared" si="94"/>
        <v>0</v>
      </c>
      <c r="K141" s="139">
        <f t="shared" si="94"/>
        <v>0</v>
      </c>
      <c r="L141" s="139">
        <f t="shared" si="94"/>
        <v>0</v>
      </c>
      <c r="M141" s="139">
        <f t="shared" si="94"/>
        <v>0</v>
      </c>
      <c r="N141" s="139">
        <f t="shared" si="94"/>
        <v>0</v>
      </c>
      <c r="O141" s="139">
        <f t="shared" si="94"/>
        <v>0</v>
      </c>
      <c r="P141" s="139">
        <f t="shared" si="94"/>
        <v>0</v>
      </c>
      <c r="Q141" s="142">
        <f t="shared" si="94"/>
        <v>0</v>
      </c>
    </row>
    <row r="142" spans="1:17">
      <c r="A142" s="86" t="s">
        <v>148</v>
      </c>
      <c r="B142" s="95" t="s">
        <v>137</v>
      </c>
      <c r="C142" s="139">
        <f t="shared" si="91"/>
        <v>1.271905031091012E-2</v>
      </c>
      <c r="D142" s="139">
        <f t="shared" si="91"/>
        <v>3.1672905269219697E-3</v>
      </c>
      <c r="E142" s="139">
        <f t="shared" si="91"/>
        <v>5.2607502287282696E-3</v>
      </c>
      <c r="F142" s="139">
        <f t="shared" si="91"/>
        <v>4.6264168401572983E-3</v>
      </c>
      <c r="G142" s="139">
        <f t="shared" si="91"/>
        <v>2.4288688410825814E-3</v>
      </c>
      <c r="H142" s="139">
        <f t="shared" ref="H142:Q142" si="95">IFERROR(IF(H125="","",H125/H$127),"")</f>
        <v>3.9000085357358614E-3</v>
      </c>
      <c r="I142" s="139">
        <f t="shared" si="95"/>
        <v>3.9000085357358601E-3</v>
      </c>
      <c r="J142" s="139">
        <f t="shared" si="95"/>
        <v>3.9000085357358614E-3</v>
      </c>
      <c r="K142" s="139">
        <f t="shared" si="95"/>
        <v>3.9000085357358614E-3</v>
      </c>
      <c r="L142" s="139">
        <f t="shared" si="95"/>
        <v>3.9000085357358619E-3</v>
      </c>
      <c r="M142" s="139">
        <f t="shared" si="95"/>
        <v>3.9000085357358606E-3</v>
      </c>
      <c r="N142" s="139">
        <f t="shared" si="95"/>
        <v>3.900008535735861E-3</v>
      </c>
      <c r="O142" s="139">
        <f t="shared" si="95"/>
        <v>3.900008535735861E-3</v>
      </c>
      <c r="P142" s="139">
        <f t="shared" si="95"/>
        <v>3.9000085357358614E-3</v>
      </c>
      <c r="Q142" s="142">
        <f t="shared" si="95"/>
        <v>3.9000085357358614E-3</v>
      </c>
    </row>
    <row r="143" spans="1:17">
      <c r="A143" s="86" t="s">
        <v>149</v>
      </c>
      <c r="B143" s="95" t="s">
        <v>133</v>
      </c>
      <c r="C143" s="139">
        <f t="shared" si="91"/>
        <v>5.9920859242509901E-2</v>
      </c>
      <c r="D143" s="139">
        <f t="shared" si="91"/>
        <v>0.10048949035416066</v>
      </c>
      <c r="E143" s="139">
        <f t="shared" si="91"/>
        <v>0.21729185727355899</v>
      </c>
      <c r="F143" s="139">
        <f t="shared" si="91"/>
        <v>0.26948878093916262</v>
      </c>
      <c r="G143" s="139">
        <f t="shared" si="91"/>
        <v>0.12699514226231784</v>
      </c>
      <c r="H143" s="139">
        <f t="shared" ref="H143:Q143" si="96">IFERROR(IF(H126="","",H126/H$127),"")</f>
        <v>6.0893597797165105E-2</v>
      </c>
      <c r="I143" s="139">
        <f t="shared" si="96"/>
        <v>6.0934847492668281E-2</v>
      </c>
      <c r="J143" s="139">
        <f t="shared" si="96"/>
        <v>6.0973041655171256E-2</v>
      </c>
      <c r="K143" s="139">
        <f t="shared" si="96"/>
        <v>6.1008406620451983E-2</v>
      </c>
      <c r="L143" s="139">
        <f t="shared" si="96"/>
        <v>6.104115195867487E-2</v>
      </c>
      <c r="M143" s="139">
        <f t="shared" si="96"/>
        <v>6.1071471716288496E-2</v>
      </c>
      <c r="N143" s="139">
        <f t="shared" si="96"/>
        <v>6.1099545565930669E-2</v>
      </c>
      <c r="O143" s="139">
        <f t="shared" si="96"/>
        <v>6.1125539871155044E-2</v>
      </c>
      <c r="P143" s="139">
        <f t="shared" si="96"/>
        <v>6.1149608672288733E-2</v>
      </c>
      <c r="Q143" s="142">
        <f t="shared" si="96"/>
        <v>6.1171894599264247E-2</v>
      </c>
    </row>
    <row r="144" spans="1:17" ht="15" thickBot="1">
      <c r="A144" s="88" t="s">
        <v>161</v>
      </c>
      <c r="B144" s="96"/>
      <c r="C144" s="143">
        <f>SUM(C139:C143)</f>
        <v>1.0000000000000002</v>
      </c>
      <c r="D144" s="143">
        <f t="shared" ref="D144:G144" si="97">SUM(D139:D143)</f>
        <v>0.99999999999999989</v>
      </c>
      <c r="E144" s="143">
        <f t="shared" si="97"/>
        <v>1</v>
      </c>
      <c r="F144" s="143">
        <f t="shared" si="97"/>
        <v>1</v>
      </c>
      <c r="G144" s="143">
        <f t="shared" si="97"/>
        <v>1</v>
      </c>
      <c r="H144" s="143">
        <f t="shared" ref="H144:Q144" si="98">SUM(H139:H143)</f>
        <v>1.0000000000000002</v>
      </c>
      <c r="I144" s="143">
        <f t="shared" si="98"/>
        <v>1</v>
      </c>
      <c r="J144" s="143">
        <f t="shared" si="98"/>
        <v>1</v>
      </c>
      <c r="K144" s="143">
        <f t="shared" si="98"/>
        <v>1</v>
      </c>
      <c r="L144" s="143">
        <f t="shared" si="98"/>
        <v>1.0000000000000002</v>
      </c>
      <c r="M144" s="143">
        <f t="shared" si="98"/>
        <v>1</v>
      </c>
      <c r="N144" s="143">
        <f t="shared" si="98"/>
        <v>1</v>
      </c>
      <c r="O144" s="143">
        <f t="shared" si="98"/>
        <v>1</v>
      </c>
      <c r="P144" s="143">
        <f t="shared" si="98"/>
        <v>1.0000000000000002</v>
      </c>
      <c r="Q144" s="144">
        <f t="shared" si="98"/>
        <v>1</v>
      </c>
    </row>
    <row r="145" spans="1:17" ht="15" thickTop="1">
      <c r="A145" s="91"/>
      <c r="B145" s="92"/>
      <c r="C145" s="139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42"/>
    </row>
    <row r="146" spans="1:17">
      <c r="A146" s="86" t="s">
        <v>151</v>
      </c>
      <c r="B146" s="95" t="s">
        <v>139</v>
      </c>
      <c r="C146" s="139">
        <f t="shared" ref="C146:G152" si="99">IFERROR(IF(C129="","",C129/C$136),"")</f>
        <v>0.21622385528547197</v>
      </c>
      <c r="D146" s="139">
        <f t="shared" si="99"/>
        <v>0.21883098186006331</v>
      </c>
      <c r="E146" s="139">
        <f t="shared" si="99"/>
        <v>0.20814272644098811</v>
      </c>
      <c r="F146" s="139">
        <f t="shared" si="99"/>
        <v>0.22322461253758966</v>
      </c>
      <c r="G146" s="139">
        <f t="shared" si="99"/>
        <v>0.21079111727966687</v>
      </c>
      <c r="H146" s="139">
        <f t="shared" ref="H146:Q146" si="100">IFERROR(IF(H129="","",H129/H$136),"")</f>
        <v>0.14634664587837656</v>
      </c>
      <c r="I146" s="139">
        <f t="shared" si="100"/>
        <v>0.18925596571070985</v>
      </c>
      <c r="J146" s="139">
        <f t="shared" si="100"/>
        <v>0.22920280473935989</v>
      </c>
      <c r="K146" s="139">
        <f t="shared" si="100"/>
        <v>0.26639460669059706</v>
      </c>
      <c r="L146" s="139">
        <f t="shared" si="100"/>
        <v>0.30114564869411387</v>
      </c>
      <c r="M146" s="139">
        <f t="shared" si="100"/>
        <v>0.3334977398972212</v>
      </c>
      <c r="N146" s="139">
        <f t="shared" si="100"/>
        <v>0.36388985803882751</v>
      </c>
      <c r="O146" s="139">
        <f t="shared" si="100"/>
        <v>0.39217192648473026</v>
      </c>
      <c r="P146" s="139">
        <f t="shared" si="100"/>
        <v>0.41849239975045643</v>
      </c>
      <c r="Q146" s="142">
        <f t="shared" si="100"/>
        <v>0.4429891715797496</v>
      </c>
    </row>
    <row r="147" spans="1:17">
      <c r="A147" s="86" t="s">
        <v>160</v>
      </c>
      <c r="B147" s="95" t="s">
        <v>143</v>
      </c>
      <c r="C147" s="139">
        <f t="shared" si="99"/>
        <v>3.3634821933295644E-2</v>
      </c>
      <c r="D147" s="139">
        <f t="shared" si="99"/>
        <v>0</v>
      </c>
      <c r="E147" s="139">
        <f t="shared" si="99"/>
        <v>0</v>
      </c>
      <c r="F147" s="139">
        <f t="shared" si="99"/>
        <v>1.8505667360629195E-3</v>
      </c>
      <c r="G147" s="139">
        <f t="shared" si="99"/>
        <v>3.296321998612075E-3</v>
      </c>
      <c r="H147" s="139">
        <f t="shared" ref="H147:Q147" si="101">IFERROR(IF(H130="","",H130/H$136),"")</f>
        <v>1.8180456850051643E-3</v>
      </c>
      <c r="I147" s="139">
        <f t="shared" si="101"/>
        <v>1.9251560482655241E-3</v>
      </c>
      <c r="J147" s="139">
        <f t="shared" si="101"/>
        <v>2.0239564894002598E-3</v>
      </c>
      <c r="K147" s="139">
        <f t="shared" si="101"/>
        <v>2.1150834371488647E-3</v>
      </c>
      <c r="L147" s="139">
        <f t="shared" si="101"/>
        <v>2.1996205647495308E-3</v>
      </c>
      <c r="M147" s="139">
        <f t="shared" si="101"/>
        <v>2.277551552821843E-3</v>
      </c>
      <c r="N147" s="139">
        <f t="shared" si="101"/>
        <v>2.3504899032843135E-3</v>
      </c>
      <c r="O147" s="139">
        <f t="shared" si="101"/>
        <v>2.4176570663343986E-3</v>
      </c>
      <c r="P147" s="139">
        <f t="shared" si="101"/>
        <v>2.4795010010380545E-3</v>
      </c>
      <c r="Q147" s="142">
        <f t="shared" si="101"/>
        <v>2.5364353474358692E-3</v>
      </c>
    </row>
    <row r="148" spans="1:17">
      <c r="A148" s="86" t="s">
        <v>152</v>
      </c>
      <c r="B148" s="95" t="s">
        <v>138</v>
      </c>
      <c r="C148" s="139">
        <f t="shared" si="99"/>
        <v>0.13849632560768793</v>
      </c>
      <c r="D148" s="139">
        <f t="shared" si="99"/>
        <v>0.15865246184854589</v>
      </c>
      <c r="E148" s="139">
        <f t="shared" si="99"/>
        <v>0.31427264409881062</v>
      </c>
      <c r="F148" s="139">
        <f t="shared" si="99"/>
        <v>0.15637288919731671</v>
      </c>
      <c r="G148" s="139">
        <f t="shared" si="99"/>
        <v>0.27446217904233172</v>
      </c>
      <c r="H148" s="139">
        <f t="shared" ref="H148:Q148" si="102">IFERROR(IF(H131="","",H131/H$136),"")</f>
        <v>0.29952905836914007</v>
      </c>
      <c r="I148" s="139">
        <f t="shared" si="102"/>
        <v>0.28288855512640998</v>
      </c>
      <c r="J148" s="139">
        <f t="shared" si="102"/>
        <v>0.26717252428605387</v>
      </c>
      <c r="K148" s="139">
        <f t="shared" si="102"/>
        <v>0.25232960627016199</v>
      </c>
      <c r="L148" s="139">
        <f t="shared" si="102"/>
        <v>0.23831129481070848</v>
      </c>
      <c r="M148" s="139">
        <f t="shared" si="102"/>
        <v>0.22507177843233586</v>
      </c>
      <c r="N148" s="139">
        <f t="shared" si="102"/>
        <v>0.21256779074165044</v>
      </c>
      <c r="O148" s="139">
        <f t="shared" si="102"/>
        <v>0.200758469033781</v>
      </c>
      <c r="P148" s="139">
        <f t="shared" si="102"/>
        <v>0.18960522075412645</v>
      </c>
      <c r="Q148" s="142">
        <f t="shared" si="102"/>
        <v>0.17907159737889727</v>
      </c>
    </row>
    <row r="149" spans="1:17">
      <c r="A149" s="86" t="s">
        <v>153</v>
      </c>
      <c r="B149" s="95" t="s">
        <v>154</v>
      </c>
      <c r="C149" s="139">
        <f t="shared" si="99"/>
        <v>0</v>
      </c>
      <c r="D149" s="139">
        <f t="shared" si="99"/>
        <v>0</v>
      </c>
      <c r="E149" s="139">
        <f t="shared" si="99"/>
        <v>0</v>
      </c>
      <c r="F149" s="139">
        <f t="shared" si="99"/>
        <v>0</v>
      </c>
      <c r="G149" s="139">
        <f t="shared" si="99"/>
        <v>0</v>
      </c>
      <c r="H149" s="139">
        <f t="shared" ref="H149:Q149" si="103">IFERROR(IF(H132="","",H132/H$136),"")</f>
        <v>0</v>
      </c>
      <c r="I149" s="139">
        <f t="shared" si="103"/>
        <v>0</v>
      </c>
      <c r="J149" s="139">
        <f t="shared" si="103"/>
        <v>0</v>
      </c>
      <c r="K149" s="139">
        <f t="shared" si="103"/>
        <v>0</v>
      </c>
      <c r="L149" s="139">
        <f t="shared" si="103"/>
        <v>0</v>
      </c>
      <c r="M149" s="139">
        <f t="shared" si="103"/>
        <v>0</v>
      </c>
      <c r="N149" s="139">
        <f t="shared" si="103"/>
        <v>0</v>
      </c>
      <c r="O149" s="139">
        <f t="shared" si="103"/>
        <v>0</v>
      </c>
      <c r="P149" s="139">
        <f t="shared" si="103"/>
        <v>0</v>
      </c>
      <c r="Q149" s="142">
        <f t="shared" si="103"/>
        <v>0</v>
      </c>
    </row>
    <row r="150" spans="1:17">
      <c r="A150" s="86" t="s">
        <v>155</v>
      </c>
      <c r="B150" s="95" t="s">
        <v>140</v>
      </c>
      <c r="C150" s="139">
        <f t="shared" si="99"/>
        <v>2.769926512153759E-2</v>
      </c>
      <c r="D150" s="139">
        <f t="shared" si="99"/>
        <v>1.5548517132162393E-2</v>
      </c>
      <c r="E150" s="139">
        <f t="shared" si="99"/>
        <v>6.6331198536139059E-3</v>
      </c>
      <c r="F150" s="139">
        <f t="shared" si="99"/>
        <v>2.7758501040943792E-3</v>
      </c>
      <c r="G150" s="139">
        <f t="shared" si="99"/>
        <v>2.7758501040943792E-3</v>
      </c>
      <c r="H150" s="139">
        <f t="shared" ref="H150:Q150" si="104">IFERROR(IF(H133="","",H133/H$136),"")</f>
        <v>6.817671318769365E-3</v>
      </c>
      <c r="I150" s="139">
        <f t="shared" si="104"/>
        <v>7.2193351809957161E-3</v>
      </c>
      <c r="J150" s="139">
        <f t="shared" si="104"/>
        <v>7.5898368352509751E-3</v>
      </c>
      <c r="K150" s="139">
        <f t="shared" si="104"/>
        <v>7.931562889308243E-3</v>
      </c>
      <c r="L150" s="139">
        <f t="shared" si="104"/>
        <v>8.2485771178107386E-3</v>
      </c>
      <c r="M150" s="139">
        <f t="shared" si="104"/>
        <v>8.5408183230819123E-3</v>
      </c>
      <c r="N150" s="139">
        <f t="shared" si="104"/>
        <v>8.814337137316176E-3</v>
      </c>
      <c r="O150" s="139">
        <f t="shared" si="104"/>
        <v>9.0662139987539945E-3</v>
      </c>
      <c r="P150" s="139">
        <f t="shared" si="104"/>
        <v>9.2981287538927027E-3</v>
      </c>
      <c r="Q150" s="142">
        <f t="shared" si="104"/>
        <v>9.511632552884508E-3</v>
      </c>
    </row>
    <row r="151" spans="1:17">
      <c r="A151" s="86" t="s">
        <v>156</v>
      </c>
      <c r="B151" s="95" t="s">
        <v>157</v>
      </c>
      <c r="C151" s="139">
        <f t="shared" si="99"/>
        <v>0</v>
      </c>
      <c r="D151" s="139">
        <f t="shared" si="99"/>
        <v>0</v>
      </c>
      <c r="E151" s="139">
        <f t="shared" si="99"/>
        <v>0</v>
      </c>
      <c r="F151" s="139">
        <f t="shared" si="99"/>
        <v>0</v>
      </c>
      <c r="G151" s="139">
        <f t="shared" si="99"/>
        <v>0</v>
      </c>
      <c r="H151" s="139">
        <f t="shared" ref="H151:Q151" si="105">IFERROR(IF(H134="","",H134/H$136),"")</f>
        <v>0</v>
      </c>
      <c r="I151" s="139">
        <f t="shared" si="105"/>
        <v>0</v>
      </c>
      <c r="J151" s="139">
        <f t="shared" si="105"/>
        <v>0</v>
      </c>
      <c r="K151" s="139">
        <f t="shared" si="105"/>
        <v>0</v>
      </c>
      <c r="L151" s="139">
        <f t="shared" si="105"/>
        <v>0</v>
      </c>
      <c r="M151" s="139">
        <f t="shared" si="105"/>
        <v>0</v>
      </c>
      <c r="N151" s="139">
        <f t="shared" si="105"/>
        <v>0</v>
      </c>
      <c r="O151" s="139">
        <f t="shared" si="105"/>
        <v>0</v>
      </c>
      <c r="P151" s="139">
        <f t="shared" si="105"/>
        <v>0</v>
      </c>
      <c r="Q151" s="142">
        <f t="shared" si="105"/>
        <v>0</v>
      </c>
    </row>
    <row r="152" spans="1:17">
      <c r="A152" s="86" t="s">
        <v>61</v>
      </c>
      <c r="B152" s="97" t="s">
        <v>141</v>
      </c>
      <c r="C152" s="145">
        <f t="shared" si="99"/>
        <v>0.58394573205200673</v>
      </c>
      <c r="D152" s="145">
        <f t="shared" si="99"/>
        <v>0.60696803915922837</v>
      </c>
      <c r="E152" s="145">
        <f t="shared" si="99"/>
        <v>0.47095150960658733</v>
      </c>
      <c r="F152" s="145">
        <f t="shared" si="99"/>
        <v>0.61577608142493645</v>
      </c>
      <c r="G152" s="145">
        <f t="shared" si="99"/>
        <v>0.50867453157529496</v>
      </c>
      <c r="H152" s="145">
        <f t="shared" ref="H152:Q152" si="106">IFERROR(IF(H135="","",H135/H$136),"")</f>
        <v>0.54548857874870893</v>
      </c>
      <c r="I152" s="145">
        <f t="shared" si="106"/>
        <v>0.51871098793361892</v>
      </c>
      <c r="J152" s="145">
        <f t="shared" si="106"/>
        <v>0.49401087764993501</v>
      </c>
      <c r="K152" s="145">
        <f t="shared" si="106"/>
        <v>0.47122914071278382</v>
      </c>
      <c r="L152" s="145">
        <f t="shared" si="106"/>
        <v>0.45009485881261724</v>
      </c>
      <c r="M152" s="145">
        <f t="shared" si="106"/>
        <v>0.43061211179453923</v>
      </c>
      <c r="N152" s="145">
        <f t="shared" si="106"/>
        <v>0.41237752417892148</v>
      </c>
      <c r="O152" s="145">
        <f t="shared" si="106"/>
        <v>0.39558573341640041</v>
      </c>
      <c r="P152" s="145">
        <f t="shared" si="106"/>
        <v>0.38012474974048627</v>
      </c>
      <c r="Q152" s="146">
        <f t="shared" si="106"/>
        <v>0.36589116314103293</v>
      </c>
    </row>
    <row r="153" spans="1:17" ht="15" thickBot="1">
      <c r="A153" s="88" t="s">
        <v>161</v>
      </c>
      <c r="B153" s="98"/>
      <c r="C153" s="143">
        <f>SUM(C146:C152)</f>
        <v>0.99999999999999978</v>
      </c>
      <c r="D153" s="143">
        <f t="shared" ref="D153:G153" si="107">SUM(D146:D152)</f>
        <v>1</v>
      </c>
      <c r="E153" s="143">
        <f t="shared" si="107"/>
        <v>1</v>
      </c>
      <c r="F153" s="143">
        <f t="shared" si="107"/>
        <v>1</v>
      </c>
      <c r="G153" s="143">
        <f t="shared" si="107"/>
        <v>1</v>
      </c>
      <c r="H153" s="143">
        <f t="shared" ref="H153:Q153" si="108">SUM(H146:H152)</f>
        <v>1</v>
      </c>
      <c r="I153" s="143">
        <f t="shared" si="108"/>
        <v>1</v>
      </c>
      <c r="J153" s="143">
        <f t="shared" si="108"/>
        <v>1</v>
      </c>
      <c r="K153" s="143">
        <f t="shared" si="108"/>
        <v>1</v>
      </c>
      <c r="L153" s="143">
        <f t="shared" si="108"/>
        <v>0.99999999999999978</v>
      </c>
      <c r="M153" s="143">
        <f t="shared" si="108"/>
        <v>1</v>
      </c>
      <c r="N153" s="143">
        <f t="shared" si="108"/>
        <v>0.99999999999999989</v>
      </c>
      <c r="O153" s="143">
        <f t="shared" si="108"/>
        <v>1</v>
      </c>
      <c r="P153" s="143">
        <f t="shared" si="108"/>
        <v>0.99999999999999989</v>
      </c>
      <c r="Q153" s="144">
        <f t="shared" si="108"/>
        <v>1.0000000000000002</v>
      </c>
    </row>
    <row r="154" spans="1:17" ht="15" thickTop="1"/>
    <row r="156" spans="1:17">
      <c r="A156" s="4"/>
      <c r="B156" s="4"/>
      <c r="C156" s="56"/>
      <c r="D156" s="56"/>
      <c r="E156" s="56"/>
      <c r="F156" s="56"/>
      <c r="G156" s="56"/>
      <c r="H156" s="105"/>
    </row>
    <row r="157" spans="1:17">
      <c r="A157" s="4"/>
      <c r="B157" s="4"/>
      <c r="C157" s="56"/>
      <c r="D157" s="56"/>
      <c r="E157" s="56"/>
      <c r="F157" s="56"/>
      <c r="G157" s="56"/>
      <c r="H157" s="105"/>
    </row>
    <row r="158" spans="1:17">
      <c r="A158" s="4"/>
      <c r="B158" s="4"/>
      <c r="C158" s="4"/>
      <c r="D158" s="4"/>
      <c r="E158" s="4"/>
      <c r="F158" s="4"/>
    </row>
    <row r="159" spans="1:17">
      <c r="A159" s="4"/>
      <c r="B159" s="4"/>
      <c r="C159" s="4"/>
      <c r="D159" s="4"/>
      <c r="E159" s="4"/>
      <c r="F159" s="4"/>
      <c r="H159" s="56"/>
    </row>
    <row r="160" spans="1:17">
      <c r="A160" s="4"/>
      <c r="B160" s="4"/>
      <c r="C160" s="4"/>
      <c r="D160" s="4"/>
      <c r="E160" s="4"/>
      <c r="F160" s="4"/>
    </row>
    <row r="161" spans="1:18" ht="18">
      <c r="A161" s="32" t="s">
        <v>828</v>
      </c>
      <c r="B161" s="2"/>
      <c r="C161" s="71">
        <f>C3</f>
        <v>2018</v>
      </c>
      <c r="D161" s="71">
        <f t="shared" ref="D161:G161" si="109">D3</f>
        <v>2019</v>
      </c>
      <c r="E161" s="71">
        <f t="shared" si="109"/>
        <v>2020</v>
      </c>
      <c r="F161" s="71">
        <f t="shared" si="109"/>
        <v>2021</v>
      </c>
      <c r="G161" s="71">
        <f t="shared" si="109"/>
        <v>2022</v>
      </c>
      <c r="H161" s="123">
        <f t="shared" ref="H161:Q161" si="110">H3</f>
        <v>2023</v>
      </c>
      <c r="I161" s="123">
        <f t="shared" si="110"/>
        <v>2024</v>
      </c>
      <c r="J161" s="123">
        <f t="shared" si="110"/>
        <v>2025</v>
      </c>
      <c r="K161" s="123">
        <f t="shared" si="110"/>
        <v>2026</v>
      </c>
      <c r="L161" s="123">
        <f t="shared" si="110"/>
        <v>2027</v>
      </c>
      <c r="M161" s="123">
        <f t="shared" si="110"/>
        <v>2028</v>
      </c>
      <c r="N161" s="123">
        <f t="shared" si="110"/>
        <v>2029</v>
      </c>
      <c r="O161" s="123">
        <f t="shared" si="110"/>
        <v>2030</v>
      </c>
      <c r="P161" s="123">
        <f t="shared" si="110"/>
        <v>2031</v>
      </c>
      <c r="Q161" s="123">
        <f t="shared" si="110"/>
        <v>2032</v>
      </c>
    </row>
    <row r="162" spans="1:18">
      <c r="A162" s="2"/>
      <c r="B162" s="2"/>
      <c r="C162" s="3"/>
      <c r="D162" s="3"/>
      <c r="E162" s="3"/>
      <c r="F162" s="3"/>
      <c r="G162" s="3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</row>
    <row r="163" spans="1:18">
      <c r="A163" s="5" t="s">
        <v>29</v>
      </c>
      <c r="B163" s="4"/>
      <c r="C163" s="4"/>
      <c r="D163" s="4"/>
      <c r="E163" s="4"/>
      <c r="F163" s="4"/>
      <c r="G163" s="4"/>
    </row>
    <row r="164" spans="1:18">
      <c r="A164" s="4" t="s">
        <v>30</v>
      </c>
      <c r="B164" s="8"/>
      <c r="C164" s="61">
        <f>IFERROR('Raw Data'!C61/'Raw Data'!C$77,"")</f>
        <v>0.52911249293386098</v>
      </c>
      <c r="D164" s="61">
        <f>IFERROR('Raw Data'!D61/'Raw Data'!D$77,"")</f>
        <v>0.54534984163547362</v>
      </c>
      <c r="E164" s="61">
        <f>IFERROR('Raw Data'!E61/'Raw Data'!E$77,"")</f>
        <v>0.44167429094236044</v>
      </c>
      <c r="F164" s="61">
        <f>IFERROR('Raw Data'!F61/'Raw Data'!F$77,"")</f>
        <v>0.42308582003238487</v>
      </c>
      <c r="G164" s="61">
        <f>IFERROR('Raw Data'!G61/'Raw Data'!G$77,"")</f>
        <v>0.46165857043719638</v>
      </c>
      <c r="H164" s="105">
        <f>AVERAGE(C164:G164)</f>
        <v>0.4801762031962552</v>
      </c>
      <c r="I164" s="105">
        <f>H164</f>
        <v>0.4801762031962552</v>
      </c>
      <c r="J164" s="105">
        <f t="shared" ref="J164:Q164" si="111">I164</f>
        <v>0.4801762031962552</v>
      </c>
      <c r="K164" s="105">
        <f t="shared" si="111"/>
        <v>0.4801762031962552</v>
      </c>
      <c r="L164" s="105">
        <f t="shared" si="111"/>
        <v>0.4801762031962552</v>
      </c>
      <c r="M164" s="105">
        <f t="shared" si="111"/>
        <v>0.4801762031962552</v>
      </c>
      <c r="N164" s="105">
        <f t="shared" si="111"/>
        <v>0.4801762031962552</v>
      </c>
      <c r="O164" s="105">
        <f t="shared" si="111"/>
        <v>0.4801762031962552</v>
      </c>
      <c r="P164" s="105">
        <f t="shared" si="111"/>
        <v>0.4801762031962552</v>
      </c>
      <c r="Q164" s="105">
        <f t="shared" si="111"/>
        <v>0.4801762031962552</v>
      </c>
    </row>
    <row r="165" spans="1:18">
      <c r="A165" s="4" t="s">
        <v>31</v>
      </c>
      <c r="B165" s="8"/>
      <c r="C165" s="61">
        <f>IFERROR('Raw Data'!C62/'Raw Data'!C$77,"")</f>
        <v>0.14923685698134539</v>
      </c>
      <c r="D165" s="61">
        <f>IFERROR('Raw Data'!D62/'Raw Data'!D$77,"")</f>
        <v>0.12035704002303482</v>
      </c>
      <c r="E165" s="61">
        <f>IFERROR('Raw Data'!E62/'Raw Data'!E$77,"")</f>
        <v>6.6331198536139058E-2</v>
      </c>
      <c r="F165" s="61">
        <f>IFERROR('Raw Data'!F62/'Raw Data'!F$77,"")</f>
        <v>4.857737682165162E-2</v>
      </c>
      <c r="G165" s="61">
        <f>IFERROR('Raw Data'!G62/'Raw Data'!G$77,"")</f>
        <v>0.20575988896599579</v>
      </c>
      <c r="H165" s="105">
        <v>0.19500000000000001</v>
      </c>
      <c r="I165" s="105">
        <f>H165</f>
        <v>0.19500000000000001</v>
      </c>
      <c r="J165" s="105">
        <f t="shared" ref="J165:Q165" si="112">I165</f>
        <v>0.19500000000000001</v>
      </c>
      <c r="K165" s="105">
        <f t="shared" si="112"/>
        <v>0.19500000000000001</v>
      </c>
      <c r="L165" s="105">
        <f t="shared" si="112"/>
        <v>0.19500000000000001</v>
      </c>
      <c r="M165" s="105">
        <f t="shared" si="112"/>
        <v>0.19500000000000001</v>
      </c>
      <c r="N165" s="105">
        <f t="shared" si="112"/>
        <v>0.19500000000000001</v>
      </c>
      <c r="O165" s="105">
        <f t="shared" si="112"/>
        <v>0.19500000000000001</v>
      </c>
      <c r="P165" s="105">
        <f t="shared" si="112"/>
        <v>0.19500000000000001</v>
      </c>
      <c r="Q165" s="105">
        <f t="shared" si="112"/>
        <v>0.19500000000000001</v>
      </c>
    </row>
    <row r="166" spans="1:18">
      <c r="A166" s="4" t="s">
        <v>32</v>
      </c>
      <c r="B166" s="8"/>
      <c r="C166" s="61">
        <f>IFERROR('Raw Data'!C63/'Raw Data'!C$77,"")</f>
        <v>5.4833239118145846E-2</v>
      </c>
      <c r="D166" s="61">
        <f>IFERROR('Raw Data'!D63/'Raw Data'!D$77,"")</f>
        <v>4.8661099913619346E-2</v>
      </c>
      <c r="E166" s="61">
        <f>IFERROR('Raw Data'!E63/'Raw Data'!E$77,"")</f>
        <v>3.1793229643183894E-2</v>
      </c>
      <c r="F166" s="61">
        <f>IFERROR('Raw Data'!F63/'Raw Data'!F$77,"")</f>
        <v>2.660189683090446E-2</v>
      </c>
      <c r="G166" s="61">
        <f>IFERROR('Raw Data'!G63/'Raw Data'!G$77,"")</f>
        <v>2.2380291464260928E-2</v>
      </c>
      <c r="H166" s="105">
        <v>5.74E-2</v>
      </c>
      <c r="I166" s="105">
        <f t="shared" ref="I166:Q168" si="113">H166</f>
        <v>5.74E-2</v>
      </c>
      <c r="J166" s="105">
        <f t="shared" si="113"/>
        <v>5.74E-2</v>
      </c>
      <c r="K166" s="105">
        <f t="shared" si="113"/>
        <v>5.74E-2</v>
      </c>
      <c r="L166" s="105">
        <f t="shared" si="113"/>
        <v>5.74E-2</v>
      </c>
      <c r="M166" s="105">
        <f t="shared" si="113"/>
        <v>5.74E-2</v>
      </c>
      <c r="N166" s="105">
        <f t="shared" si="113"/>
        <v>5.74E-2</v>
      </c>
      <c r="O166" s="105">
        <f t="shared" si="113"/>
        <v>5.74E-2</v>
      </c>
      <c r="P166" s="105">
        <f t="shared" si="113"/>
        <v>5.74E-2</v>
      </c>
      <c r="Q166" s="105">
        <f t="shared" si="113"/>
        <v>5.74E-2</v>
      </c>
    </row>
    <row r="167" spans="1:18">
      <c r="A167" s="4" t="s">
        <v>33</v>
      </c>
      <c r="B167" s="8"/>
      <c r="C167" s="61">
        <f>IFERROR('Raw Data'!C64/'Raw Data'!C$77,"")</f>
        <v>0</v>
      </c>
      <c r="D167" s="61">
        <f>IFERROR('Raw Data'!D64/'Raw Data'!D$77,"")</f>
        <v>0</v>
      </c>
      <c r="E167" s="61">
        <f>IFERROR('Raw Data'!E64/'Raw Data'!E$77,"")</f>
        <v>6.5645013723696244E-2</v>
      </c>
      <c r="F167" s="61">
        <f>IFERROR('Raw Data'!F64/'Raw Data'!F$77,"")</f>
        <v>5.5054360397871843E-2</v>
      </c>
      <c r="G167" s="61">
        <f>IFERROR('Raw Data'!G64/'Raw Data'!G$77,"")</f>
        <v>3.8167938931297704E-2</v>
      </c>
      <c r="H167" s="105">
        <f>AVERAGE(C167:G167)</f>
        <v>3.1773462610573157E-2</v>
      </c>
      <c r="I167" s="105">
        <f t="shared" si="113"/>
        <v>3.1773462610573157E-2</v>
      </c>
      <c r="J167" s="105">
        <f t="shared" si="113"/>
        <v>3.1773462610573157E-2</v>
      </c>
      <c r="K167" s="105">
        <f t="shared" si="113"/>
        <v>3.1773462610573157E-2</v>
      </c>
      <c r="L167" s="105">
        <f t="shared" si="113"/>
        <v>3.1773462610573157E-2</v>
      </c>
      <c r="M167" s="105">
        <f t="shared" si="113"/>
        <v>3.1773462610573157E-2</v>
      </c>
      <c r="N167" s="105">
        <f t="shared" si="113"/>
        <v>3.1773462610573157E-2</v>
      </c>
      <c r="O167" s="105">
        <f t="shared" si="113"/>
        <v>3.1773462610573157E-2</v>
      </c>
      <c r="P167" s="105">
        <f t="shared" si="113"/>
        <v>3.1773462610573157E-2</v>
      </c>
      <c r="Q167" s="105">
        <f t="shared" si="113"/>
        <v>3.1773462610573157E-2</v>
      </c>
    </row>
    <row r="168" spans="1:18">
      <c r="A168" s="4" t="s">
        <v>34</v>
      </c>
      <c r="B168" s="8"/>
      <c r="C168" s="61">
        <f>IFERROR('Raw Data'!C65/'Raw Data'!C$77,"")</f>
        <v>1.1305822498586774E-3</v>
      </c>
      <c r="D168" s="61">
        <f>IFERROR('Raw Data'!D65/'Raw Data'!D$77,"")</f>
        <v>8.6380650734235525E-4</v>
      </c>
      <c r="E168" s="61">
        <f>IFERROR('Raw Data'!E65/'Raw Data'!E$77,"")</f>
        <v>6.8618481244281783E-4</v>
      </c>
      <c r="F168" s="61">
        <f>IFERROR('Raw Data'!F65/'Raw Data'!F$77,"")</f>
        <v>6.9396252602359459E-4</v>
      </c>
      <c r="G168" s="61">
        <f>IFERROR('Raw Data'!G65/'Raw Data'!G$77,"")</f>
        <v>5.2047189451769592E-4</v>
      </c>
      <c r="H168" s="105">
        <v>8.0000000000000004E-4</v>
      </c>
      <c r="I168" s="105">
        <f>H168</f>
        <v>8.0000000000000004E-4</v>
      </c>
      <c r="J168" s="105">
        <f t="shared" si="113"/>
        <v>8.0000000000000004E-4</v>
      </c>
      <c r="K168" s="105">
        <f t="shared" si="113"/>
        <v>8.0000000000000004E-4</v>
      </c>
      <c r="L168" s="105">
        <f t="shared" si="113"/>
        <v>8.0000000000000004E-4</v>
      </c>
      <c r="M168" s="105">
        <f t="shared" si="113"/>
        <v>8.0000000000000004E-4</v>
      </c>
      <c r="N168" s="105">
        <f t="shared" si="113"/>
        <v>8.0000000000000004E-4</v>
      </c>
      <c r="O168" s="105">
        <f t="shared" si="113"/>
        <v>8.0000000000000004E-4</v>
      </c>
      <c r="P168" s="105">
        <f t="shared" si="113"/>
        <v>8.0000000000000004E-4</v>
      </c>
      <c r="Q168" s="105">
        <f t="shared" si="113"/>
        <v>8.0000000000000004E-4</v>
      </c>
    </row>
    <row r="169" spans="1:18">
      <c r="A169" s="4" t="s">
        <v>35</v>
      </c>
      <c r="B169" s="8"/>
      <c r="C169" s="61">
        <f>IFERROR('Raw Data'!C66/'Raw Data'!C$77,"")</f>
        <v>1.271905031091012E-2</v>
      </c>
      <c r="D169" s="61">
        <f>IFERROR('Raw Data'!D66/'Raw Data'!D$77,"")</f>
        <v>3.1672905269219697E-3</v>
      </c>
      <c r="E169" s="61">
        <f>IFERROR('Raw Data'!E66/'Raw Data'!E$77,"")</f>
        <v>5.2607502287282696E-3</v>
      </c>
      <c r="F169" s="61">
        <f>IFERROR('Raw Data'!F66/'Raw Data'!F$77,"")</f>
        <v>4.6264168401572974E-3</v>
      </c>
      <c r="G169" s="61">
        <f>IFERROR('Raw Data'!G66/'Raw Data'!G$77,"")</f>
        <v>2.428868841082581E-3</v>
      </c>
      <c r="H169" s="105">
        <v>3.8999999999999998E-3</v>
      </c>
      <c r="I169" s="105">
        <v>3.8999999999999998E-3</v>
      </c>
      <c r="J169" s="105">
        <v>3.8999999999999998E-3</v>
      </c>
      <c r="K169" s="105">
        <v>3.8999999999999998E-3</v>
      </c>
      <c r="L169" s="105">
        <v>3.8999999999999998E-3</v>
      </c>
      <c r="M169" s="105">
        <v>3.8999999999999998E-3</v>
      </c>
      <c r="N169" s="105">
        <v>3.8999999999999998E-3</v>
      </c>
      <c r="O169" s="105">
        <v>3.8999999999999998E-3</v>
      </c>
      <c r="P169" s="105">
        <v>3.8999999999999998E-3</v>
      </c>
      <c r="Q169" s="105">
        <v>3.8999999999999998E-3</v>
      </c>
    </row>
    <row r="170" spans="1:18">
      <c r="A170" s="19" t="s">
        <v>36</v>
      </c>
      <c r="B170" s="20"/>
      <c r="C170" s="106">
        <f>IFERROR('Raw Data'!C67/'Raw Data'!C$77,"")</f>
        <v>0.74703222159412097</v>
      </c>
      <c r="D170" s="106">
        <f>IFERROR('Raw Data'!D67/'Raw Data'!D$77,"")</f>
        <v>0.71839907860639218</v>
      </c>
      <c r="E170" s="106">
        <f>IFERROR('Raw Data'!E67/'Raw Data'!E$77,"")</f>
        <v>0.61139066788655072</v>
      </c>
      <c r="F170" s="106">
        <f>IFERROR('Raw Data'!F67/'Raw Data'!F$77,"")</f>
        <v>0.55863983344899371</v>
      </c>
      <c r="G170" s="106">
        <f>IFERROR('Raw Data'!G67/'Raw Data'!G$77,"")</f>
        <v>0.73091603053435106</v>
      </c>
      <c r="H170" s="107">
        <f>IF(H12="","",H12/H$22)</f>
        <v>0.76880653547732947</v>
      </c>
      <c r="I170" s="107">
        <f t="shared" ref="I170:Q170" si="114">IF(I12="","",I12/I$22)</f>
        <v>0.76876528587210724</v>
      </c>
      <c r="J170" s="107">
        <f t="shared" si="114"/>
        <v>0.76872709179319776</v>
      </c>
      <c r="K170" s="107">
        <f t="shared" si="114"/>
        <v>0.7686917269053184</v>
      </c>
      <c r="L170" s="107">
        <f t="shared" si="114"/>
        <v>0.76865898163876345</v>
      </c>
      <c r="M170" s="107">
        <f t="shared" si="114"/>
        <v>0.76862866194750901</v>
      </c>
      <c r="N170" s="107">
        <f t="shared" si="114"/>
        <v>0.76860058815931054</v>
      </c>
      <c r="O170" s="107">
        <f t="shared" si="114"/>
        <v>0.76857459391097849</v>
      </c>
      <c r="P170" s="107">
        <f t="shared" si="114"/>
        <v>0.76855052516252287</v>
      </c>
      <c r="Q170" s="107">
        <f t="shared" si="114"/>
        <v>0.76852823928432334</v>
      </c>
      <c r="R170" s="105"/>
    </row>
    <row r="171" spans="1:18">
      <c r="A171" s="4"/>
      <c r="B171" s="8"/>
      <c r="C171" s="61"/>
      <c r="D171" s="61"/>
      <c r="E171" s="61"/>
      <c r="F171" s="61"/>
      <c r="G171" s="61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</row>
    <row r="172" spans="1:18">
      <c r="A172" s="5" t="s">
        <v>37</v>
      </c>
      <c r="B172" s="8"/>
      <c r="C172" s="61"/>
      <c r="D172" s="61"/>
      <c r="E172" s="61"/>
      <c r="F172" s="61"/>
      <c r="G172" s="61"/>
    </row>
    <row r="173" spans="1:18">
      <c r="A173" s="4" t="s">
        <v>38</v>
      </c>
      <c r="B173" s="8"/>
      <c r="C173" s="61">
        <f>IFERROR('Raw Data'!C70/'Raw Data'!C$77,"")</f>
        <v>2.2611644997173547E-3</v>
      </c>
      <c r="D173" s="61">
        <f>IFERROR('Raw Data'!D70/'Raw Data'!D$77,"")</f>
        <v>2.015548517132162E-3</v>
      </c>
      <c r="E173" s="61">
        <f>IFERROR('Raw Data'!E70/'Raw Data'!E$77,"")</f>
        <v>2.0585544373284536E-3</v>
      </c>
      <c r="F173" s="61">
        <f>IFERROR('Raw Data'!F70/'Raw Data'!F$77,"")</f>
        <v>2.5445292620865138E-3</v>
      </c>
      <c r="G173" s="61">
        <f>IFERROR('Raw Data'!G70/'Raw Data'!G$77,"")</f>
        <v>1.5614156835530879E-3</v>
      </c>
      <c r="H173" s="105">
        <v>2.0999999999999999E-3</v>
      </c>
      <c r="I173" s="105">
        <v>2.0999999999999999E-3</v>
      </c>
      <c r="J173" s="105">
        <v>2.0999999999999999E-3</v>
      </c>
      <c r="K173" s="105">
        <v>2.0999999999999999E-3</v>
      </c>
      <c r="L173" s="105">
        <v>2.0999999999999999E-3</v>
      </c>
      <c r="M173" s="105">
        <v>2.0999999999999999E-3</v>
      </c>
      <c r="N173" s="105">
        <v>2.0999999999999999E-3</v>
      </c>
      <c r="O173" s="105">
        <v>2.0999999999999999E-3</v>
      </c>
      <c r="P173" s="105">
        <v>2.0999999999999999E-3</v>
      </c>
      <c r="Q173" s="105">
        <v>2.0999999999999999E-3</v>
      </c>
    </row>
    <row r="174" spans="1:18">
      <c r="A174" s="4" t="s">
        <v>39</v>
      </c>
      <c r="B174" s="8"/>
      <c r="C174" s="61">
        <f>IFERROR('Raw Data'!C71/'Raw Data'!C$77,"")</f>
        <v>0.18654607122668176</v>
      </c>
      <c r="D174" s="61">
        <f>IFERROR('Raw Data'!D71/'Raw Data'!D$77,"")</f>
        <v>0.17736826950763029</v>
      </c>
      <c r="E174" s="61">
        <f>IFERROR('Raw Data'!E71/'Raw Data'!E$77,"")</f>
        <v>0.16788655077767611</v>
      </c>
      <c r="F174" s="61">
        <f>IFERROR('Raw Data'!F71/'Raw Data'!F$77,"")</f>
        <v>0.15891741845940319</v>
      </c>
      <c r="G174" s="61">
        <f>IFERROR('Raw Data'!G71/'Raw Data'!G$77,"")</f>
        <v>0.13480222068008327</v>
      </c>
      <c r="H174" s="105">
        <v>0.1651</v>
      </c>
      <c r="I174" s="105">
        <v>0.1651</v>
      </c>
      <c r="J174" s="105">
        <v>0.1651</v>
      </c>
      <c r="K174" s="105">
        <v>0.1651</v>
      </c>
      <c r="L174" s="105">
        <v>0.1651</v>
      </c>
      <c r="M174" s="105">
        <v>0.1651</v>
      </c>
      <c r="N174" s="105">
        <v>0.1651</v>
      </c>
      <c r="O174" s="105">
        <v>0.1651</v>
      </c>
      <c r="P174" s="105">
        <v>0.1651</v>
      </c>
      <c r="Q174" s="105">
        <v>0.1651</v>
      </c>
    </row>
    <row r="175" spans="1:18">
      <c r="A175" s="4" t="s">
        <v>40</v>
      </c>
      <c r="B175" s="8"/>
      <c r="C175" s="61">
        <f>IFERROR('Raw Data'!C72/'Raw Data'!C$77,"")</f>
        <v>0</v>
      </c>
      <c r="D175" s="61">
        <f>IFERROR('Raw Data'!D72/'Raw Data'!D$77,"")</f>
        <v>0</v>
      </c>
      <c r="E175" s="61">
        <f>IFERROR('Raw Data'!E72/'Raw Data'!E$77,"")</f>
        <v>0</v>
      </c>
      <c r="F175" s="61">
        <f>IFERROR('Raw Data'!F72/'Raw Data'!F$77,"")</f>
        <v>0</v>
      </c>
      <c r="G175" s="61">
        <f>IFERROR('Raw Data'!G72/'Raw Data'!G$77,"")</f>
        <v>3.4698126301179735E-4</v>
      </c>
      <c r="H175" s="105">
        <v>1E-4</v>
      </c>
      <c r="I175" s="105">
        <v>1E-4</v>
      </c>
      <c r="J175" s="105">
        <v>1E-4</v>
      </c>
      <c r="K175" s="105">
        <v>1E-4</v>
      </c>
      <c r="L175" s="105">
        <v>1E-4</v>
      </c>
      <c r="M175" s="105">
        <v>1E-4</v>
      </c>
      <c r="N175" s="105">
        <v>1E-4</v>
      </c>
      <c r="O175" s="105">
        <v>1E-4</v>
      </c>
      <c r="P175" s="105">
        <v>1E-4</v>
      </c>
      <c r="Q175" s="105">
        <v>1E-4</v>
      </c>
    </row>
    <row r="176" spans="1:18">
      <c r="A176" s="4" t="s">
        <v>41</v>
      </c>
      <c r="B176" s="8"/>
      <c r="C176" s="61">
        <f>IFERROR('Raw Data'!C73/'Raw Data'!C$77,"")</f>
        <v>4.2396834369700402E-3</v>
      </c>
      <c r="D176" s="61">
        <f>IFERROR('Raw Data'!D73/'Raw Data'!D$77,"")</f>
        <v>0</v>
      </c>
      <c r="E176" s="61">
        <f>IFERROR('Raw Data'!E73/'Raw Data'!E$77,"")</f>
        <v>0</v>
      </c>
      <c r="F176" s="61">
        <f>IFERROR('Raw Data'!F73/'Raw Data'!F$77,"")</f>
        <v>0</v>
      </c>
      <c r="G176" s="61">
        <f>IFERROR('Raw Data'!G73/'Raw Data'!G$77,"")</f>
        <v>0</v>
      </c>
      <c r="H176" s="105">
        <f>G176</f>
        <v>0</v>
      </c>
      <c r="I176" s="105">
        <f t="shared" ref="I176:Q176" si="115">H176</f>
        <v>0</v>
      </c>
      <c r="J176" s="105">
        <f t="shared" si="115"/>
        <v>0</v>
      </c>
      <c r="K176" s="105">
        <f t="shared" si="115"/>
        <v>0</v>
      </c>
      <c r="L176" s="105">
        <f t="shared" si="115"/>
        <v>0</v>
      </c>
      <c r="M176" s="105">
        <f t="shared" si="115"/>
        <v>0</v>
      </c>
      <c r="N176" s="105">
        <f t="shared" si="115"/>
        <v>0</v>
      </c>
      <c r="O176" s="105">
        <f t="shared" si="115"/>
        <v>0</v>
      </c>
      <c r="P176" s="105">
        <f t="shared" si="115"/>
        <v>0</v>
      </c>
      <c r="Q176" s="105">
        <f t="shared" si="115"/>
        <v>0</v>
      </c>
    </row>
    <row r="177" spans="1:17">
      <c r="A177" s="4" t="s">
        <v>42</v>
      </c>
      <c r="B177" s="8"/>
      <c r="C177" s="61">
        <f>IFERROR('Raw Data'!C74/'Raw Data'!C$77,"")</f>
        <v>0</v>
      </c>
      <c r="D177" s="61">
        <f>IFERROR('Raw Data'!D74/'Raw Data'!D$77,"")</f>
        <v>1.7276130146847105E-3</v>
      </c>
      <c r="E177" s="61">
        <f>IFERROR('Raw Data'!E74/'Raw Data'!E$77,"")</f>
        <v>1.3723696248856357E-3</v>
      </c>
      <c r="F177" s="61">
        <f>IFERROR('Raw Data'!F74/'Raw Data'!F$77,"")</f>
        <v>1.040943789035392E-2</v>
      </c>
      <c r="G177" s="61">
        <f>IFERROR('Raw Data'!G74/'Raw Data'!G$77,"")</f>
        <v>5.3782095766828587E-3</v>
      </c>
      <c r="H177" s="105">
        <v>3.0000000000000001E-3</v>
      </c>
      <c r="I177" s="105">
        <v>3.0000000000000001E-3</v>
      </c>
      <c r="J177" s="105">
        <v>3.0000000000000001E-3</v>
      </c>
      <c r="K177" s="105">
        <v>3.0000000000000001E-3</v>
      </c>
      <c r="L177" s="105">
        <v>3.0000000000000001E-3</v>
      </c>
      <c r="M177" s="105">
        <v>3.0000000000000001E-3</v>
      </c>
      <c r="N177" s="105">
        <v>3.0000000000000001E-3</v>
      </c>
      <c r="O177" s="105">
        <v>3.0000000000000001E-3</v>
      </c>
      <c r="P177" s="105">
        <v>3.0000000000000001E-3</v>
      </c>
      <c r="Q177" s="105">
        <v>3.0000000000000001E-3</v>
      </c>
    </row>
    <row r="178" spans="1:17">
      <c r="A178" s="4" t="s">
        <v>43</v>
      </c>
      <c r="B178" s="8"/>
      <c r="C178" s="61">
        <f>IFERROR('Raw Data'!C75/'Raw Data'!C$77,"")</f>
        <v>5.9920859242509901E-2</v>
      </c>
      <c r="D178" s="61">
        <f>IFERROR('Raw Data'!D75/'Raw Data'!D$77,"")</f>
        <v>0.10048949035416066</v>
      </c>
      <c r="E178" s="61">
        <f>IFERROR('Raw Data'!E75/'Raw Data'!E$77,"")</f>
        <v>0.21729185727355899</v>
      </c>
      <c r="F178" s="61">
        <f>IFERROR('Raw Data'!F75/'Raw Data'!F$77,"")</f>
        <v>0.26948878093916256</v>
      </c>
      <c r="G178" s="61">
        <f>IFERROR('Raw Data'!G75/'Raw Data'!G$77,"")</f>
        <v>0.12699514226231781</v>
      </c>
      <c r="H178" s="105">
        <f>H180-SUM(H170,H173:H177)</f>
        <v>6.0893464522670526E-2</v>
      </c>
      <c r="I178" s="105">
        <f t="shared" ref="I178:Q178" si="116">I180-SUM(I170,I173:I177)</f>
        <v>6.0934714127892753E-2</v>
      </c>
      <c r="J178" s="105">
        <f t="shared" si="116"/>
        <v>6.0972908206802234E-2</v>
      </c>
      <c r="K178" s="105">
        <f t="shared" si="116"/>
        <v>6.1008273094681598E-2</v>
      </c>
      <c r="L178" s="105">
        <f t="shared" si="116"/>
        <v>6.1041018361236543E-2</v>
      </c>
      <c r="M178" s="105">
        <f t="shared" si="116"/>
        <v>6.1071338052490987E-2</v>
      </c>
      <c r="N178" s="105">
        <f t="shared" si="116"/>
        <v>6.1099411840689455E-2</v>
      </c>
      <c r="O178" s="105">
        <f t="shared" si="116"/>
        <v>6.1125406089021506E-2</v>
      </c>
      <c r="P178" s="105">
        <f t="shared" si="116"/>
        <v>6.1149474837477125E-2</v>
      </c>
      <c r="Q178" s="105">
        <f t="shared" si="116"/>
        <v>6.1171760715676649E-2</v>
      </c>
    </row>
    <row r="179" spans="1:17">
      <c r="A179" s="4" t="s">
        <v>44</v>
      </c>
      <c r="B179" s="8"/>
      <c r="C179" s="61">
        <f>IFERROR('Raw Data'!C76/'Raw Data'!C$77,"")</f>
        <v>0.25296777840587908</v>
      </c>
      <c r="D179" s="61">
        <f>IFERROR('Raw Data'!D76/'Raw Data'!D$77,"")</f>
        <v>0.28160092139360787</v>
      </c>
      <c r="E179" s="61">
        <f>IFERROR('Raw Data'!E76/'Raw Data'!E$77,"")</f>
        <v>0.38860933211344917</v>
      </c>
      <c r="F179" s="61">
        <f>IFERROR('Raw Data'!F76/'Raw Data'!F$77,"")</f>
        <v>0.44136016655100618</v>
      </c>
      <c r="G179" s="61">
        <f>IFERROR('Raw Data'!G76/'Raw Data'!G$77,"")</f>
        <v>0.26908396946564883</v>
      </c>
      <c r="H179" s="53">
        <f>IF(H21="","",H21/H$22)</f>
        <v>0.23119127587723984</v>
      </c>
      <c r="I179" s="53">
        <f t="shared" ref="I179:Q179" si="117">IF(I21="","",I21/I$22)</f>
        <v>0.23123252548246206</v>
      </c>
      <c r="J179" s="53">
        <f t="shared" si="117"/>
        <v>0.23127071956137149</v>
      </c>
      <c r="K179" s="53">
        <f t="shared" si="117"/>
        <v>0.23130608444925085</v>
      </c>
      <c r="L179" s="53">
        <f t="shared" si="117"/>
        <v>0.2313388297158058</v>
      </c>
      <c r="M179" s="53">
        <f t="shared" si="117"/>
        <v>0.2313691494070603</v>
      </c>
      <c r="N179" s="53">
        <f t="shared" si="117"/>
        <v>0.23139722319525871</v>
      </c>
      <c r="O179" s="53">
        <f t="shared" si="117"/>
        <v>0.23142321744359076</v>
      </c>
      <c r="P179" s="53">
        <f t="shared" si="117"/>
        <v>0.23144728619204641</v>
      </c>
      <c r="Q179" s="53">
        <f t="shared" si="117"/>
        <v>0.23146957207024588</v>
      </c>
    </row>
    <row r="180" spans="1:17" ht="15" thickBot="1">
      <c r="A180" s="13" t="s">
        <v>45</v>
      </c>
      <c r="B180" s="14"/>
      <c r="C180" s="108">
        <f>IFERROR('Raw Data'!C77/'Raw Data'!C$77,"")</f>
        <v>1</v>
      </c>
      <c r="D180" s="108">
        <f>IFERROR('Raw Data'!D77/'Raw Data'!D$77,"")</f>
        <v>1</v>
      </c>
      <c r="E180" s="108">
        <f>IFERROR('Raw Data'!E77/'Raw Data'!E$77,"")</f>
        <v>1</v>
      </c>
      <c r="F180" s="108">
        <f>IFERROR('Raw Data'!F77/'Raw Data'!F$77,"")</f>
        <v>1</v>
      </c>
      <c r="G180" s="108">
        <f>IFERROR('Raw Data'!G77/'Raw Data'!G$77,"")</f>
        <v>1</v>
      </c>
      <c r="H180" s="113">
        <f>IF(H22="","",H22/H$22)</f>
        <v>1</v>
      </c>
      <c r="I180" s="113">
        <f t="shared" ref="I180:Q180" si="118">IF(I22="","",I22/I$22)</f>
        <v>1</v>
      </c>
      <c r="J180" s="113">
        <f t="shared" si="118"/>
        <v>1</v>
      </c>
      <c r="K180" s="113">
        <f t="shared" si="118"/>
        <v>1</v>
      </c>
      <c r="L180" s="113">
        <f t="shared" si="118"/>
        <v>1</v>
      </c>
      <c r="M180" s="113">
        <f t="shared" si="118"/>
        <v>1</v>
      </c>
      <c r="N180" s="113">
        <f t="shared" si="118"/>
        <v>1</v>
      </c>
      <c r="O180" s="113">
        <f t="shared" si="118"/>
        <v>1</v>
      </c>
      <c r="P180" s="113">
        <f t="shared" si="118"/>
        <v>1</v>
      </c>
      <c r="Q180" s="113">
        <f t="shared" si="118"/>
        <v>1</v>
      </c>
    </row>
    <row r="181" spans="1:17" ht="15" thickTop="1">
      <c r="A181" s="4"/>
      <c r="B181" s="8"/>
      <c r="C181" s="61"/>
      <c r="D181" s="61"/>
      <c r="E181" s="61"/>
      <c r="F181" s="61"/>
      <c r="G181" s="61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</row>
    <row r="182" spans="1:17">
      <c r="A182" s="5" t="s">
        <v>46</v>
      </c>
      <c r="B182" s="8"/>
      <c r="C182" s="61"/>
      <c r="D182" s="61"/>
      <c r="E182" s="61"/>
      <c r="F182" s="61"/>
      <c r="G182" s="61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</row>
    <row r="183" spans="1:17">
      <c r="A183" s="4" t="s">
        <v>47</v>
      </c>
      <c r="B183" s="8"/>
      <c r="C183" s="61">
        <f>IFERROR('Raw Data'!C80/'Raw Data'!C$77,"")</f>
        <v>0.10090446579988696</v>
      </c>
      <c r="D183" s="61">
        <f>IFERROR('Raw Data'!D80/'Raw Data'!D$77,"")</f>
        <v>9.0987618773394757E-2</v>
      </c>
      <c r="E183" s="61">
        <f>IFERROR('Raw Data'!E80/'Raw Data'!E$77,"")</f>
        <v>0.1061299176578225</v>
      </c>
      <c r="F183" s="61">
        <f>IFERROR('Raw Data'!F80/'Raw Data'!F$77,"")</f>
        <v>0.10455702058755492</v>
      </c>
      <c r="G183" s="61">
        <f>IFERROR('Raw Data'!G80/'Raw Data'!G$77,"")</f>
        <v>8.3795975017349048E-2</v>
      </c>
      <c r="H183" s="105"/>
    </row>
    <row r="184" spans="1:17">
      <c r="A184" s="4" t="s">
        <v>48</v>
      </c>
      <c r="B184" s="8"/>
      <c r="C184" s="61">
        <f>IFERROR('Raw Data'!C81/'Raw Data'!C$77,"")</f>
        <v>0</v>
      </c>
      <c r="D184" s="61">
        <f>IFERROR('Raw Data'!D81/'Raw Data'!D$77,"")</f>
        <v>1.4396775122372588E-2</v>
      </c>
      <c r="E184" s="61">
        <f>IFERROR('Raw Data'!E81/'Raw Data'!E$77,"")</f>
        <v>0</v>
      </c>
      <c r="F184" s="61">
        <f>IFERROR('Raw Data'!F81/'Raw Data'!F$77,"")</f>
        <v>0</v>
      </c>
      <c r="G184" s="61">
        <f>IFERROR('Raw Data'!G81/'Raw Data'!G$77,"")</f>
        <v>3.2095766828591249E-2</v>
      </c>
    </row>
    <row r="185" spans="1:17">
      <c r="A185" s="4" t="s">
        <v>49</v>
      </c>
      <c r="B185" s="8"/>
      <c r="C185" s="61">
        <f>IFERROR('Raw Data'!C82/'Raw Data'!C$77,"")</f>
        <v>0</v>
      </c>
      <c r="D185" s="61">
        <f>IFERROR('Raw Data'!D82/'Raw Data'!D$77,"")</f>
        <v>0</v>
      </c>
      <c r="E185" s="61">
        <f>IFERROR('Raw Data'!E82/'Raw Data'!E$77,"")</f>
        <v>1.2122598353156449E-2</v>
      </c>
      <c r="F185" s="61">
        <f>IFERROR('Raw Data'!F82/'Raw Data'!F$77,"")</f>
        <v>1.1797362942401107E-2</v>
      </c>
      <c r="G185" s="61">
        <f>IFERROR('Raw Data'!G82/'Raw Data'!G$77,"")</f>
        <v>9.368494101318528E-3</v>
      </c>
    </row>
    <row r="186" spans="1:17">
      <c r="A186" s="4" t="s">
        <v>50</v>
      </c>
      <c r="B186" s="8"/>
      <c r="C186" s="61">
        <f>IFERROR('Raw Data'!C83/'Raw Data'!C$77,"")</f>
        <v>3.6743923120407017E-3</v>
      </c>
      <c r="D186" s="61">
        <f>IFERROR('Raw Data'!D83/'Raw Data'!D$77,"")</f>
        <v>0</v>
      </c>
      <c r="E186" s="61">
        <f>IFERROR('Raw Data'!E83/'Raw Data'!E$77,"")</f>
        <v>0</v>
      </c>
      <c r="F186" s="61">
        <f>IFERROR('Raw Data'!F83/'Raw Data'!F$77,"")</f>
        <v>9.2528336803145948E-3</v>
      </c>
      <c r="G186" s="61">
        <f>IFERROR('Raw Data'!G83/'Raw Data'!G$77,"")</f>
        <v>1.2838306731436501E-2</v>
      </c>
    </row>
    <row r="187" spans="1:17">
      <c r="A187" s="4" t="s">
        <v>40</v>
      </c>
      <c r="B187" s="8"/>
      <c r="C187" s="61">
        <f>IFERROR('Raw Data'!C84/'Raw Data'!C$77,"")</f>
        <v>0</v>
      </c>
      <c r="D187" s="61">
        <f>IFERROR('Raw Data'!D84/'Raw Data'!D$77,"")</f>
        <v>0</v>
      </c>
      <c r="E187" s="61">
        <f>IFERROR('Raw Data'!E84/'Raw Data'!E$77,"")</f>
        <v>0</v>
      </c>
      <c r="F187" s="61">
        <f>IFERROR('Raw Data'!F84/'Raw Data'!F$77,"")</f>
        <v>1.8505667360629191E-3</v>
      </c>
      <c r="G187" s="61">
        <f>IFERROR('Raw Data'!G84/'Raw Data'!G$77,"")</f>
        <v>0</v>
      </c>
    </row>
    <row r="188" spans="1:17">
      <c r="A188" s="4" t="s">
        <v>51</v>
      </c>
      <c r="B188" s="8"/>
      <c r="C188" s="61">
        <f>IFERROR('Raw Data'!C85/'Raw Data'!C$77,"")</f>
        <v>0</v>
      </c>
      <c r="D188" s="61">
        <f>IFERROR('Raw Data'!D85/'Raw Data'!D$77,"")</f>
        <v>0</v>
      </c>
      <c r="E188" s="61">
        <f>IFERROR('Raw Data'!E85/'Raw Data'!E$77,"")</f>
        <v>0</v>
      </c>
      <c r="F188" s="61">
        <f>IFERROR('Raw Data'!F85/'Raw Data'!F$77,"")</f>
        <v>0</v>
      </c>
      <c r="G188" s="61">
        <f>IFERROR('Raw Data'!G85/'Raw Data'!G$77,"")</f>
        <v>3.2963219986120742E-3</v>
      </c>
    </row>
    <row r="189" spans="1:17">
      <c r="A189" s="4" t="s">
        <v>52</v>
      </c>
      <c r="B189" s="8"/>
      <c r="C189" s="61">
        <f>IFERROR('Raw Data'!C86/'Raw Data'!C$77,"")</f>
        <v>7.3487846240814034E-3</v>
      </c>
      <c r="D189" s="61">
        <f>IFERROR('Raw Data'!D86/'Raw Data'!D$77,"")</f>
        <v>7.7742585660811984E-3</v>
      </c>
      <c r="E189" s="61">
        <f>IFERROR('Raw Data'!E86/'Raw Data'!E$77,"")</f>
        <v>4.5745654162854523E-3</v>
      </c>
      <c r="F189" s="61">
        <f>IFERROR('Raw Data'!F86/'Raw Data'!F$77,"")</f>
        <v>5.5517002081887567E-3</v>
      </c>
      <c r="G189" s="61">
        <f>IFERROR('Raw Data'!G86/'Raw Data'!G$77,"")</f>
        <v>4.684247050659264E-3</v>
      </c>
    </row>
    <row r="190" spans="1:17">
      <c r="A190" s="4" t="s">
        <v>53</v>
      </c>
      <c r="B190" s="8"/>
      <c r="C190" s="61">
        <f>IFERROR('Raw Data'!C87/'Raw Data'!C$77,"")</f>
        <v>3.3634821933295651E-2</v>
      </c>
      <c r="D190" s="61">
        <f>IFERROR('Raw Data'!D87/'Raw Data'!D$77,"")</f>
        <v>0</v>
      </c>
      <c r="E190" s="61">
        <f>IFERROR('Raw Data'!E87/'Raw Data'!E$77,"")</f>
        <v>0</v>
      </c>
      <c r="F190" s="61">
        <f>IFERROR('Raw Data'!F87/'Raw Data'!F$77,"")</f>
        <v>0</v>
      </c>
      <c r="G190" s="61">
        <f>IFERROR('Raw Data'!G87/'Raw Data'!G$77,"")</f>
        <v>0</v>
      </c>
    </row>
    <row r="191" spans="1:17">
      <c r="A191" s="4" t="s">
        <v>54</v>
      </c>
      <c r="B191" s="8"/>
      <c r="C191" s="61">
        <f>IFERROR('Raw Data'!C88/'Raw Data'!C$77,"")</f>
        <v>8.6489542114188828E-2</v>
      </c>
      <c r="D191" s="61">
        <f>IFERROR('Raw Data'!D88/'Raw Data'!D$77,"")</f>
        <v>0.10423265188597755</v>
      </c>
      <c r="E191" s="61">
        <f>IFERROR('Raw Data'!E88/'Raw Data'!E$77,"")</f>
        <v>9.034766697163768E-2</v>
      </c>
      <c r="F191" s="61">
        <f>IFERROR('Raw Data'!F88/'Raw Data'!F$77,"")</f>
        <v>0.10085588711542909</v>
      </c>
      <c r="G191" s="61">
        <f>IFERROR('Raw Data'!G88/'Raw Data'!G$77,"")</f>
        <v>0.10704371963913947</v>
      </c>
    </row>
    <row r="192" spans="1:17">
      <c r="A192" s="19" t="s">
        <v>55</v>
      </c>
      <c r="B192" s="20"/>
      <c r="C192" s="106">
        <f>IFERROR('Raw Data'!C89/'Raw Data'!C$77,"")</f>
        <v>0.23205200678349353</v>
      </c>
      <c r="D192" s="106">
        <f>IFERROR('Raw Data'!D89/'Raw Data'!D$77,"")</f>
        <v>0.21739130434782608</v>
      </c>
      <c r="E192" s="106">
        <f>IFERROR('Raw Data'!E89/'Raw Data'!E$77,"")</f>
        <v>0.21317474839890205</v>
      </c>
      <c r="F192" s="106">
        <f>IFERROR('Raw Data'!F89/'Raw Data'!F$77,"")</f>
        <v>0.23386537126995138</v>
      </c>
      <c r="G192" s="106">
        <f>IFERROR('Raw Data'!G89/'Raw Data'!G$77,"")</f>
        <v>0.25312283136710617</v>
      </c>
    </row>
    <row r="193" spans="1:7">
      <c r="A193" s="4"/>
      <c r="B193" s="8"/>
      <c r="C193" s="61"/>
      <c r="D193" s="61"/>
      <c r="E193" s="61"/>
      <c r="F193" s="61"/>
      <c r="G193" s="61"/>
    </row>
    <row r="194" spans="1:7">
      <c r="A194" s="5" t="s">
        <v>56</v>
      </c>
      <c r="B194" s="8"/>
      <c r="C194" s="61"/>
      <c r="D194" s="61"/>
      <c r="E194" s="61"/>
      <c r="F194" s="61"/>
      <c r="G194" s="61"/>
    </row>
    <row r="195" spans="1:7">
      <c r="A195" s="4" t="s">
        <v>48</v>
      </c>
      <c r="B195" s="8"/>
      <c r="C195" s="61">
        <f>IFERROR('Raw Data'!C92/'Raw Data'!C$77,"")</f>
        <v>0.13849632560768799</v>
      </c>
      <c r="D195" s="61">
        <f>IFERROR('Raw Data'!D92/'Raw Data'!D$77,"")</f>
        <v>0.14425568672617334</v>
      </c>
      <c r="E195" s="61">
        <f>IFERROR('Raw Data'!E92/'Raw Data'!E$77,"")</f>
        <v>0.22689844464775843</v>
      </c>
      <c r="F195" s="61">
        <f>IFERROR('Raw Data'!F92/'Raw Data'!F$77,"")</f>
        <v>7.6798519546611141E-2</v>
      </c>
      <c r="G195" s="61">
        <f>IFERROR('Raw Data'!G92/'Raw Data'!G$77,"")</f>
        <v>0.18580846634281745</v>
      </c>
    </row>
    <row r="196" spans="1:7">
      <c r="A196" s="4" t="s">
        <v>49</v>
      </c>
      <c r="B196" s="8"/>
      <c r="C196" s="61">
        <f>IFERROR('Raw Data'!C93/'Raw Data'!C$77,"")</f>
        <v>0</v>
      </c>
      <c r="D196" s="61">
        <f>IFERROR('Raw Data'!D93/'Raw Data'!D$77,"")</f>
        <v>0</v>
      </c>
      <c r="E196" s="61">
        <f>IFERROR('Raw Data'!E93/'Raw Data'!E$77,"")</f>
        <v>7.5251601097895693E-2</v>
      </c>
      <c r="F196" s="61">
        <f>IFERROR('Raw Data'!F93/'Raw Data'!F$77,"")</f>
        <v>6.7777006708304416E-2</v>
      </c>
      <c r="G196" s="61">
        <f>IFERROR('Raw Data'!G93/'Raw Data'!G$77,"")</f>
        <v>4.7189451769604436E-2</v>
      </c>
    </row>
    <row r="197" spans="1:7">
      <c r="A197" s="4" t="s">
        <v>57</v>
      </c>
      <c r="B197" s="8"/>
      <c r="C197" s="61">
        <f>IFERROR('Raw Data'!C94/'Raw Data'!C$77,"")</f>
        <v>2.7699265121537597E-2</v>
      </c>
      <c r="D197" s="61">
        <f>IFERROR('Raw Data'!D94/'Raw Data'!D$77,"")</f>
        <v>1.5548517132162397E-2</v>
      </c>
      <c r="E197" s="61">
        <f>IFERROR('Raw Data'!E94/'Raw Data'!E$77,"")</f>
        <v>6.6331198536139059E-3</v>
      </c>
      <c r="F197" s="61">
        <f>IFERROR('Raw Data'!F94/'Raw Data'!F$77,"")</f>
        <v>2.7758501040943784E-3</v>
      </c>
      <c r="G197" s="61">
        <f>IFERROR('Raw Data'!G94/'Raw Data'!G$77,"")</f>
        <v>2.7758501040943788E-3</v>
      </c>
    </row>
    <row r="198" spans="1:7">
      <c r="A198" s="4" t="s">
        <v>52</v>
      </c>
      <c r="B198" s="8"/>
      <c r="C198" s="61">
        <f>IFERROR('Raw Data'!C95/'Raw Data'!C$77,"")</f>
        <v>1.7806670435274168E-2</v>
      </c>
      <c r="D198" s="61">
        <f>IFERROR('Raw Data'!D95/'Raw Data'!D$77,"")</f>
        <v>1.5836452634609848E-2</v>
      </c>
      <c r="E198" s="61">
        <f>IFERROR('Raw Data'!E95/'Raw Data'!E$77,"")</f>
        <v>3.8883806038426346E-3</v>
      </c>
      <c r="F198" s="61">
        <f>IFERROR('Raw Data'!F95/'Raw Data'!F$77,"")</f>
        <v>1.3879250520471892E-3</v>
      </c>
      <c r="G198" s="61">
        <f>IFERROR('Raw Data'!G95/'Raw Data'!G$77,"")</f>
        <v>1.3879250520471894E-3</v>
      </c>
    </row>
    <row r="199" spans="1:7">
      <c r="A199" s="4" t="s">
        <v>54</v>
      </c>
      <c r="B199" s="8"/>
      <c r="C199" s="61">
        <f>IFERROR('Raw Data'!C96/'Raw Data'!C$77,"")</f>
        <v>0</v>
      </c>
      <c r="D199" s="61">
        <f>IFERROR('Raw Data'!D96/'Raw Data'!D$77,"")</f>
        <v>0</v>
      </c>
      <c r="E199" s="61">
        <f>IFERROR('Raw Data'!E96/'Raw Data'!E$77,"")</f>
        <v>3.2021957913998165E-3</v>
      </c>
      <c r="F199" s="61">
        <f>IFERROR('Raw Data'!F96/'Raw Data'!F$77,"")</f>
        <v>1.619245894055054E-3</v>
      </c>
      <c r="G199" s="61">
        <f>IFERROR('Raw Data'!G96/'Raw Data'!G$77,"")</f>
        <v>1.0409437890353918E-3</v>
      </c>
    </row>
    <row r="200" spans="1:7">
      <c r="A200" s="4" t="s">
        <v>58</v>
      </c>
      <c r="B200" s="8"/>
      <c r="C200" s="61">
        <f>IFERROR('Raw Data'!C97/'Raw Data'!C$77,"")</f>
        <v>0.18400226116449972</v>
      </c>
      <c r="D200" s="61">
        <f>IFERROR('Raw Data'!D97/'Raw Data'!D$77,"")</f>
        <v>0.17564065649294558</v>
      </c>
      <c r="E200" s="61">
        <f>IFERROR('Raw Data'!E97/'Raw Data'!E$77,"")</f>
        <v>0.31587374199451046</v>
      </c>
      <c r="F200" s="61">
        <f>IFERROR('Raw Data'!F97/'Raw Data'!F$77,"")</f>
        <v>0.15035854730511217</v>
      </c>
      <c r="G200" s="61">
        <f>IFERROR('Raw Data'!G97/'Raw Data'!G$77,"")</f>
        <v>0.23820263705759881</v>
      </c>
    </row>
    <row r="201" spans="1:7" ht="15" thickBot="1">
      <c r="A201" s="13" t="s">
        <v>59</v>
      </c>
      <c r="B201" s="14"/>
      <c r="C201" s="108">
        <f>IFERROR('Raw Data'!C98/'Raw Data'!C$77,"")</f>
        <v>0.41605426794799322</v>
      </c>
      <c r="D201" s="108">
        <f>IFERROR('Raw Data'!D98/'Raw Data'!D$77,"")</f>
        <v>0.39303196084077163</v>
      </c>
      <c r="E201" s="108">
        <f>IFERROR('Raw Data'!E98/'Raw Data'!E$77,"")</f>
        <v>0.52904849039341251</v>
      </c>
      <c r="F201" s="108">
        <f>IFERROR('Raw Data'!F98/'Raw Data'!F$77,"")</f>
        <v>0.38422391857506355</v>
      </c>
      <c r="G201" s="108">
        <f>IFERROR('Raw Data'!G98/'Raw Data'!G$77,"")</f>
        <v>0.49132546842470509</v>
      </c>
    </row>
    <row r="202" spans="1:7" ht="15" thickTop="1">
      <c r="A202" s="4"/>
      <c r="B202" s="8"/>
      <c r="C202" s="61"/>
      <c r="D202" s="61"/>
      <c r="E202" s="61"/>
      <c r="F202" s="61"/>
      <c r="G202" s="61"/>
    </row>
    <row r="203" spans="1:7">
      <c r="A203" s="23" t="s">
        <v>60</v>
      </c>
      <c r="B203" s="24"/>
      <c r="C203" s="61">
        <f>IFERROR('Raw Data'!C100/'Raw Data'!C$77,"")</f>
        <v>0.58394573205200684</v>
      </c>
      <c r="D203" s="61">
        <f>IFERROR('Raw Data'!D100/'Raw Data'!D$77,"")</f>
        <v>0.59285919953930322</v>
      </c>
      <c r="E203" s="61">
        <f>IFERROR('Raw Data'!E100/'Raw Data'!E$77,"")</f>
        <v>0.47095150960658733</v>
      </c>
      <c r="F203" s="61">
        <f>IFERROR('Raw Data'!F100/'Raw Data'!F$77,"")</f>
        <v>0.61577608142493623</v>
      </c>
      <c r="G203" s="61">
        <f>IFERROR('Raw Data'!G100/'Raw Data'!G$77,"")</f>
        <v>0.50867453157529485</v>
      </c>
    </row>
    <row r="204" spans="1:7">
      <c r="A204" s="4"/>
      <c r="B204" s="8"/>
      <c r="C204" s="61"/>
      <c r="D204" s="61"/>
      <c r="E204" s="61"/>
      <c r="F204" s="61"/>
      <c r="G204" s="61"/>
    </row>
    <row r="205" spans="1:7">
      <c r="A205" s="5" t="s">
        <v>61</v>
      </c>
      <c r="B205" s="8"/>
      <c r="C205" s="61"/>
      <c r="D205" s="61"/>
      <c r="E205" s="61"/>
      <c r="F205" s="61"/>
      <c r="G205" s="61"/>
    </row>
    <row r="206" spans="1:7">
      <c r="A206" s="4" t="s">
        <v>62</v>
      </c>
      <c r="B206" s="8"/>
      <c r="C206" s="61">
        <f>IFERROR('Raw Data'!C103/'Raw Data'!C$77,"")</f>
        <v>7.9140757490107419E-3</v>
      </c>
      <c r="D206" s="61">
        <f>IFERROR('Raw Data'!D103/'Raw Data'!D$77,"")</f>
        <v>8.062194068528648E-3</v>
      </c>
      <c r="E206" s="61">
        <f>IFERROR('Raw Data'!E103/'Raw Data'!E$77,"")</f>
        <v>6.4043915827996329E-3</v>
      </c>
      <c r="F206" s="61">
        <f>IFERROR('Raw Data'!F103/'Raw Data'!F$77,"")</f>
        <v>7.1709461022438116E-3</v>
      </c>
      <c r="G206" s="61">
        <f>IFERROR('Raw Data'!G103/'Raw Data'!G$77,"")</f>
        <v>5.3782095766828587E-3</v>
      </c>
    </row>
    <row r="207" spans="1:7">
      <c r="A207" s="4" t="s">
        <v>63</v>
      </c>
      <c r="B207" s="8"/>
      <c r="C207" s="61">
        <f>IFERROR('Raw Data'!C104/'Raw Data'!C$77,"")</f>
        <v>0.42255511588468064</v>
      </c>
      <c r="D207" s="61">
        <f>IFERROR('Raw Data'!D104/'Raw Data'!D$77,"")</f>
        <v>0.43132738266628279</v>
      </c>
      <c r="E207" s="61">
        <f>IFERROR('Raw Data'!E104/'Raw Data'!E$77,"")</f>
        <v>0.3451509606587374</v>
      </c>
      <c r="F207" s="61">
        <f>IFERROR('Raw Data'!F104/'Raw Data'!F$77,"")</f>
        <v>0.51630811936155441</v>
      </c>
      <c r="G207" s="61">
        <f>IFERROR('Raw Data'!G104/'Raw Data'!G$77,"")</f>
        <v>0.38861901457321296</v>
      </c>
    </row>
    <row r="208" spans="1:7">
      <c r="A208" s="4" t="s">
        <v>64</v>
      </c>
      <c r="B208" s="8"/>
      <c r="C208" s="61">
        <f>IFERROR('Raw Data'!C105/'Raw Data'!C$77,"")</f>
        <v>0</v>
      </c>
      <c r="D208" s="61">
        <f>IFERROR('Raw Data'!D105/'Raw Data'!D$77,"")</f>
        <v>0</v>
      </c>
      <c r="E208" s="61">
        <f>IFERROR('Raw Data'!E105/'Raw Data'!E$77,"")</f>
        <v>0</v>
      </c>
      <c r="F208" s="61">
        <f>IFERROR('Raw Data'!F105/'Raw Data'!F$77,"")</f>
        <v>-1.8505667360629191E-3</v>
      </c>
      <c r="G208" s="61">
        <f>IFERROR('Raw Data'!G105/'Raw Data'!G$77,"")</f>
        <v>0</v>
      </c>
    </row>
    <row r="209" spans="1:17">
      <c r="A209" s="4" t="s">
        <v>65</v>
      </c>
      <c r="B209" s="8"/>
      <c r="C209" s="61">
        <f>IFERROR('Raw Data'!C106/'Raw Data'!C$77,"")</f>
        <v>0.11955907292255512</v>
      </c>
      <c r="D209" s="61">
        <f>IFERROR('Raw Data'!D106/'Raw Data'!D$77,"")</f>
        <v>0.12179671753527209</v>
      </c>
      <c r="E209" s="61">
        <f>IFERROR('Raw Data'!E106/'Raw Data'!E$77,"")</f>
        <v>9.6752058554437317E-2</v>
      </c>
      <c r="F209" s="61">
        <f>IFERROR('Raw Data'!F106/'Raw Data'!F$77,"")</f>
        <v>9.7848716169326833E-2</v>
      </c>
      <c r="G209" s="61">
        <f>IFERROR('Raw Data'!G106/'Raw Data'!G$77,"")</f>
        <v>7.3386537126995124E-2</v>
      </c>
    </row>
    <row r="210" spans="1:17">
      <c r="A210" s="4" t="s">
        <v>66</v>
      </c>
      <c r="B210" s="8"/>
      <c r="C210" s="61">
        <f>IFERROR('Raw Data'!C107/'Raw Data'!C$77,"")</f>
        <v>7.4618428490672697E-2</v>
      </c>
      <c r="D210" s="61">
        <f>IFERROR('Raw Data'!D107/'Raw Data'!D$77,"")</f>
        <v>8.0334005182839036E-2</v>
      </c>
      <c r="E210" s="61">
        <f>IFERROR('Raw Data'!E107/'Raw Data'!E$77,"")</f>
        <v>7.2964318389752966E-2</v>
      </c>
      <c r="F210" s="61">
        <f>IFERROR('Raw Data'!F107/'Raw Data'!F$77,"")</f>
        <v>4.695813092759657E-2</v>
      </c>
      <c r="G210" s="61">
        <f>IFERROR('Raw Data'!G107/'Raw Data'!G$77,"")</f>
        <v>6.0895211658570432E-2</v>
      </c>
    </row>
    <row r="211" spans="1:17">
      <c r="A211" s="4" t="s">
        <v>67</v>
      </c>
      <c r="B211" s="8"/>
      <c r="C211" s="61">
        <f>IFERROR('Raw Data'!C108/'Raw Data'!C$77,"")</f>
        <v>-4.0700960994912383E-2</v>
      </c>
      <c r="D211" s="61">
        <f>IFERROR('Raw Data'!D108/'Raw Data'!D$77,"")</f>
        <v>-3.4552260293694209E-2</v>
      </c>
      <c r="E211" s="61">
        <f>IFERROR('Raw Data'!E108/'Raw Data'!E$77,"")</f>
        <v>-5.0320219579139978E-2</v>
      </c>
      <c r="F211" s="61">
        <f>IFERROR('Raw Data'!F108/'Raw Data'!F$77,"")</f>
        <v>-5.0659264399722403E-2</v>
      </c>
      <c r="G211" s="61">
        <f>IFERROR('Raw Data'!G108/'Raw Data'!G$77,"")</f>
        <v>-1.960444136016655E-2</v>
      </c>
    </row>
    <row r="212" spans="1:17">
      <c r="A212" s="19" t="s">
        <v>68</v>
      </c>
      <c r="B212" s="20"/>
      <c r="C212" s="106">
        <f>IFERROR('Raw Data'!C109/'Raw Data'!C$77,"")</f>
        <v>0.58394573205200695</v>
      </c>
      <c r="D212" s="106">
        <f>IFERROR('Raw Data'!D109/'Raw Data'!D$77,"")</f>
        <v>0.60696803915922848</v>
      </c>
      <c r="E212" s="106">
        <f>IFERROR('Raw Data'!E109/'Raw Data'!E$77,"")</f>
        <v>0.47095150960658733</v>
      </c>
      <c r="F212" s="106">
        <f>IFERROR('Raw Data'!F109/'Raw Data'!F$77,"")</f>
        <v>0.61577608142493623</v>
      </c>
      <c r="G212" s="106">
        <f>IFERROR('Raw Data'!G109/'Raw Data'!G$77,"")</f>
        <v>0.50867453157529485</v>
      </c>
    </row>
    <row r="213" spans="1:17" ht="15" thickBot="1">
      <c r="A213" s="25" t="s">
        <v>69</v>
      </c>
      <c r="B213" s="26"/>
      <c r="C213" s="109">
        <f>IFERROR('Raw Data'!C110/'Raw Data'!C$77,"")</f>
        <v>1.0000000000000002</v>
      </c>
      <c r="D213" s="109">
        <f>IFERROR('Raw Data'!D110/'Raw Data'!D$77,"")</f>
        <v>1.0000000000000002</v>
      </c>
      <c r="E213" s="109">
        <f>IFERROR('Raw Data'!E110/'Raw Data'!E$77,"")</f>
        <v>0.99999999999999989</v>
      </c>
      <c r="F213" s="109">
        <f>IFERROR('Raw Data'!F110/'Raw Data'!F$77,"")</f>
        <v>0.99999999999999978</v>
      </c>
      <c r="G213" s="109">
        <f>IFERROR('Raw Data'!G110/'Raw Data'!G$77,"")</f>
        <v>1</v>
      </c>
    </row>
    <row r="214" spans="1:17">
      <c r="A214" s="4"/>
      <c r="B214" s="4"/>
      <c r="C214" s="69"/>
      <c r="D214" s="69"/>
      <c r="E214" s="69"/>
      <c r="F214" s="69"/>
      <c r="G214" s="69"/>
    </row>
    <row r="215" spans="1:17">
      <c r="A215" s="110"/>
      <c r="B215" s="4"/>
      <c r="C215" s="4"/>
      <c r="D215" s="4"/>
      <c r="E215" s="4"/>
      <c r="F215" s="4"/>
      <c r="G215" s="4"/>
    </row>
    <row r="216" spans="1:17">
      <c r="A216" s="2" t="s">
        <v>46</v>
      </c>
      <c r="B216" s="8"/>
      <c r="C216" s="61"/>
      <c r="D216" s="61"/>
      <c r="E216" s="61"/>
      <c r="F216" s="61"/>
      <c r="G216" s="61"/>
    </row>
    <row r="217" spans="1:17">
      <c r="A217" s="4" t="s">
        <v>47</v>
      </c>
      <c r="B217" s="8"/>
      <c r="C217" s="61">
        <f t="shared" ref="C217:H219" si="119">C25/C$43</f>
        <v>0.24252717391304351</v>
      </c>
      <c r="D217" s="61">
        <f t="shared" si="119"/>
        <v>0.23150183150183151</v>
      </c>
      <c r="E217" s="61">
        <f t="shared" si="119"/>
        <v>0.20060527453523563</v>
      </c>
      <c r="F217" s="61">
        <f t="shared" si="119"/>
        <v>0.27212522576760989</v>
      </c>
      <c r="G217" s="61">
        <f t="shared" si="119"/>
        <v>0.17055084745762708</v>
      </c>
      <c r="H217" s="111">
        <f t="shared" si="119"/>
        <v>0.21536930972466761</v>
      </c>
      <c r="I217" s="111">
        <f t="shared" ref="I217:Q217" si="120">I25/I$43</f>
        <v>0.20338675640358722</v>
      </c>
      <c r="J217" s="111">
        <f t="shared" si="120"/>
        <v>0.19345833088709202</v>
      </c>
      <c r="K217" s="111">
        <f t="shared" si="120"/>
        <v>0.18512330877843963</v>
      </c>
      <c r="L217" s="111">
        <f t="shared" si="120"/>
        <v>0.17800853951920487</v>
      </c>
      <c r="M217" s="111">
        <f t="shared" si="120"/>
        <v>0.17191762080746237</v>
      </c>
      <c r="N217" s="111">
        <f t="shared" si="120"/>
        <v>0.16658282330009688</v>
      </c>
      <c r="O217" s="111">
        <f t="shared" si="120"/>
        <v>0.16195483208920716</v>
      </c>
      <c r="P217" s="111">
        <f t="shared" si="120"/>
        <v>0.15791534024932755</v>
      </c>
      <c r="Q217" s="111">
        <f t="shared" si="120"/>
        <v>0.15437067797659398</v>
      </c>
    </row>
    <row r="218" spans="1:17">
      <c r="A218" s="4" t="s">
        <v>48</v>
      </c>
      <c r="B218" s="8"/>
      <c r="C218" s="61">
        <f t="shared" si="119"/>
        <v>0</v>
      </c>
      <c r="D218" s="61">
        <f t="shared" si="119"/>
        <v>3.6630036630036632E-2</v>
      </c>
      <c r="E218" s="61">
        <f t="shared" si="119"/>
        <v>0</v>
      </c>
      <c r="F218" s="61">
        <f t="shared" si="119"/>
        <v>0</v>
      </c>
      <c r="G218" s="61">
        <f t="shared" si="119"/>
        <v>6.5324858757062135E-2</v>
      </c>
      <c r="H218" s="111">
        <f t="shared" si="119"/>
        <v>7.7065395140322179E-2</v>
      </c>
      <c r="I218" s="111">
        <f t="shared" ref="I218:Q218" si="121">I26/I$43</f>
        <v>6.873448451716424E-2</v>
      </c>
      <c r="J218" s="111">
        <f t="shared" si="121"/>
        <v>6.1747000048221784E-2</v>
      </c>
      <c r="K218" s="111">
        <f t="shared" si="121"/>
        <v>5.5804079175924268E-2</v>
      </c>
      <c r="L218" s="111">
        <f t="shared" si="121"/>
        <v>5.0678306704135333E-2</v>
      </c>
      <c r="M218" s="111">
        <f t="shared" si="121"/>
        <v>4.6225122107183256E-2</v>
      </c>
      <c r="N218" s="111">
        <f t="shared" si="121"/>
        <v>4.2302332006222104E-2</v>
      </c>
      <c r="O218" s="111">
        <f t="shared" si="121"/>
        <v>3.8842253428369916E-2</v>
      </c>
      <c r="P218" s="111">
        <f t="shared" si="121"/>
        <v>3.5769366125153149E-2</v>
      </c>
      <c r="Q218" s="111">
        <f t="shared" si="121"/>
        <v>3.3023884099983802E-2</v>
      </c>
    </row>
    <row r="219" spans="1:17">
      <c r="A219" s="4" t="s">
        <v>49</v>
      </c>
      <c r="B219" s="8"/>
      <c r="C219" s="61">
        <f t="shared" si="119"/>
        <v>0</v>
      </c>
      <c r="D219" s="61">
        <f t="shared" si="119"/>
        <v>0</v>
      </c>
      <c r="E219" s="61">
        <f t="shared" si="119"/>
        <v>2.2913964548205795E-2</v>
      </c>
      <c r="F219" s="61">
        <f t="shared" si="119"/>
        <v>3.0704394942805538E-2</v>
      </c>
      <c r="G219" s="61">
        <f t="shared" si="119"/>
        <v>1.9067796610169489E-2</v>
      </c>
      <c r="H219" s="105">
        <f t="shared" si="119"/>
        <v>2.2494763986904854E-2</v>
      </c>
      <c r="I219" s="105">
        <f t="shared" ref="I219:Q219" si="122">I27/I$43</f>
        <v>2.0063038723929023E-2</v>
      </c>
      <c r="J219" s="105">
        <f t="shared" si="122"/>
        <v>1.8023448662724196E-2</v>
      </c>
      <c r="K219" s="105">
        <f t="shared" si="122"/>
        <v>1.6288758245945462E-2</v>
      </c>
      <c r="L219" s="105">
        <f t="shared" si="122"/>
        <v>1.4792586821747611E-2</v>
      </c>
      <c r="M219" s="105">
        <f t="shared" si="122"/>
        <v>1.3492738344799438E-2</v>
      </c>
      <c r="N219" s="105">
        <f t="shared" si="122"/>
        <v>1.2347707720735101E-2</v>
      </c>
      <c r="O219" s="105">
        <f t="shared" si="122"/>
        <v>1.133773883855122E-2</v>
      </c>
      <c r="P219" s="105">
        <f t="shared" si="122"/>
        <v>1.0440787950044704E-2</v>
      </c>
      <c r="Q219" s="105">
        <f t="shared" si="122"/>
        <v>9.63940400756284E-3</v>
      </c>
    </row>
    <row r="220" spans="1:17">
      <c r="A220" s="4" t="s">
        <v>50</v>
      </c>
      <c r="B220" s="8"/>
      <c r="C220" s="61">
        <f t="shared" ref="C220:G225" si="123">C28/C$43</f>
        <v>8.8315217391304358E-3</v>
      </c>
      <c r="D220" s="61">
        <f t="shared" si="123"/>
        <v>0</v>
      </c>
      <c r="E220" s="61">
        <f t="shared" si="123"/>
        <v>0</v>
      </c>
      <c r="F220" s="61">
        <f t="shared" si="123"/>
        <v>2.4081878386514148E-2</v>
      </c>
      <c r="G220" s="61">
        <f t="shared" si="123"/>
        <v>2.6129943502824857E-2</v>
      </c>
      <c r="H220" s="105">
        <v>1.9800000000000002E-2</v>
      </c>
      <c r="I220" s="105">
        <f t="shared" ref="I220:Q225" si="124">H220</f>
        <v>1.9800000000000002E-2</v>
      </c>
      <c r="J220" s="105">
        <f t="shared" si="124"/>
        <v>1.9800000000000002E-2</v>
      </c>
      <c r="K220" s="105">
        <f t="shared" si="124"/>
        <v>1.9800000000000002E-2</v>
      </c>
      <c r="L220" s="105">
        <f t="shared" si="124"/>
        <v>1.9800000000000002E-2</v>
      </c>
      <c r="M220" s="105">
        <f t="shared" si="124"/>
        <v>1.9800000000000002E-2</v>
      </c>
      <c r="N220" s="105">
        <f t="shared" si="124"/>
        <v>1.9800000000000002E-2</v>
      </c>
      <c r="O220" s="105">
        <f t="shared" si="124"/>
        <v>1.9800000000000002E-2</v>
      </c>
      <c r="P220" s="105">
        <f t="shared" si="124"/>
        <v>1.9800000000000002E-2</v>
      </c>
      <c r="Q220" s="105">
        <f t="shared" si="124"/>
        <v>1.9800000000000002E-2</v>
      </c>
    </row>
    <row r="221" spans="1:17">
      <c r="A221" s="4" t="s">
        <v>40</v>
      </c>
      <c r="B221" s="8"/>
      <c r="C221" s="61">
        <f t="shared" si="123"/>
        <v>0</v>
      </c>
      <c r="D221" s="61">
        <f t="shared" si="123"/>
        <v>0</v>
      </c>
      <c r="E221" s="61">
        <f t="shared" si="123"/>
        <v>0</v>
      </c>
      <c r="F221" s="61">
        <f t="shared" si="123"/>
        <v>4.8163756773028305E-3</v>
      </c>
      <c r="G221" s="61">
        <f t="shared" si="123"/>
        <v>0</v>
      </c>
      <c r="H221" s="112">
        <f>0.4%</f>
        <v>4.0000000000000001E-3</v>
      </c>
      <c r="I221" s="105">
        <f t="shared" si="124"/>
        <v>4.0000000000000001E-3</v>
      </c>
      <c r="J221" s="105">
        <f t="shared" si="124"/>
        <v>4.0000000000000001E-3</v>
      </c>
      <c r="K221" s="105">
        <f t="shared" si="124"/>
        <v>4.0000000000000001E-3</v>
      </c>
      <c r="L221" s="105">
        <f t="shared" si="124"/>
        <v>4.0000000000000001E-3</v>
      </c>
      <c r="M221" s="105">
        <f t="shared" si="124"/>
        <v>4.0000000000000001E-3</v>
      </c>
      <c r="N221" s="105">
        <f t="shared" si="124"/>
        <v>4.0000000000000001E-3</v>
      </c>
      <c r="O221" s="105">
        <f t="shared" si="124"/>
        <v>4.0000000000000001E-3</v>
      </c>
      <c r="P221" s="105">
        <f t="shared" si="124"/>
        <v>4.0000000000000001E-3</v>
      </c>
      <c r="Q221" s="105">
        <f t="shared" si="124"/>
        <v>4.0000000000000001E-3</v>
      </c>
    </row>
    <row r="222" spans="1:17">
      <c r="A222" s="4" t="s">
        <v>51</v>
      </c>
      <c r="B222" s="8"/>
      <c r="C222" s="61">
        <f t="shared" si="123"/>
        <v>0</v>
      </c>
      <c r="D222" s="61">
        <f t="shared" si="123"/>
        <v>0</v>
      </c>
      <c r="E222" s="61">
        <f t="shared" si="123"/>
        <v>0</v>
      </c>
      <c r="F222" s="61">
        <f t="shared" si="123"/>
        <v>0</v>
      </c>
      <c r="G222" s="61">
        <f t="shared" si="123"/>
        <v>6.7090395480225978E-3</v>
      </c>
      <c r="H222" s="112">
        <f>0%</f>
        <v>0</v>
      </c>
      <c r="I222" s="105">
        <f t="shared" si="124"/>
        <v>0</v>
      </c>
      <c r="J222" s="105">
        <f t="shared" si="124"/>
        <v>0</v>
      </c>
      <c r="K222" s="105">
        <f t="shared" si="124"/>
        <v>0</v>
      </c>
      <c r="L222" s="105">
        <f t="shared" si="124"/>
        <v>0</v>
      </c>
      <c r="M222" s="105">
        <f t="shared" si="124"/>
        <v>0</v>
      </c>
      <c r="N222" s="105">
        <f t="shared" si="124"/>
        <v>0</v>
      </c>
      <c r="O222" s="105">
        <f t="shared" si="124"/>
        <v>0</v>
      </c>
      <c r="P222" s="105">
        <f t="shared" si="124"/>
        <v>0</v>
      </c>
      <c r="Q222" s="105">
        <f t="shared" si="124"/>
        <v>0</v>
      </c>
    </row>
    <row r="223" spans="1:17">
      <c r="A223" s="4" t="s">
        <v>52</v>
      </c>
      <c r="B223" s="8"/>
      <c r="C223" s="61">
        <f t="shared" si="123"/>
        <v>1.7663043478260872E-2</v>
      </c>
      <c r="D223" s="61">
        <f t="shared" si="123"/>
        <v>1.9780219780219783E-2</v>
      </c>
      <c r="E223" s="61">
        <f t="shared" si="123"/>
        <v>8.6467790747946395E-3</v>
      </c>
      <c r="F223" s="61">
        <f t="shared" si="123"/>
        <v>1.4449127031908489E-2</v>
      </c>
      <c r="G223" s="61">
        <f t="shared" si="123"/>
        <v>9.5338983050847446E-3</v>
      </c>
      <c r="H223" s="105">
        <v>1.2999999999999999E-2</v>
      </c>
      <c r="I223" s="105">
        <f t="shared" si="124"/>
        <v>1.2999999999999999E-2</v>
      </c>
      <c r="J223" s="105">
        <f t="shared" si="124"/>
        <v>1.2999999999999999E-2</v>
      </c>
      <c r="K223" s="105">
        <f t="shared" si="124"/>
        <v>1.2999999999999999E-2</v>
      </c>
      <c r="L223" s="105">
        <f t="shared" si="124"/>
        <v>1.2999999999999999E-2</v>
      </c>
      <c r="M223" s="105">
        <f t="shared" si="124"/>
        <v>1.2999999999999999E-2</v>
      </c>
      <c r="N223" s="105">
        <f t="shared" si="124"/>
        <v>1.2999999999999999E-2</v>
      </c>
      <c r="O223" s="105">
        <f t="shared" si="124"/>
        <v>1.2999999999999999E-2</v>
      </c>
      <c r="P223" s="105">
        <f t="shared" si="124"/>
        <v>1.2999999999999999E-2</v>
      </c>
      <c r="Q223" s="105">
        <f t="shared" si="124"/>
        <v>1.2999999999999999E-2</v>
      </c>
    </row>
    <row r="224" spans="1:17">
      <c r="A224" s="4" t="s">
        <v>53</v>
      </c>
      <c r="B224" s="8"/>
      <c r="C224" s="61">
        <f t="shared" si="123"/>
        <v>8.0842391304347838E-2</v>
      </c>
      <c r="D224" s="61">
        <f t="shared" si="123"/>
        <v>0</v>
      </c>
      <c r="E224" s="61">
        <f t="shared" si="123"/>
        <v>0</v>
      </c>
      <c r="F224" s="61">
        <f t="shared" si="123"/>
        <v>0</v>
      </c>
      <c r="G224" s="61">
        <f t="shared" si="123"/>
        <v>0</v>
      </c>
      <c r="H224" s="105">
        <v>0</v>
      </c>
      <c r="I224" s="105">
        <f t="shared" si="124"/>
        <v>0</v>
      </c>
      <c r="J224" s="105">
        <f t="shared" si="124"/>
        <v>0</v>
      </c>
      <c r="K224" s="105">
        <f t="shared" si="124"/>
        <v>0</v>
      </c>
      <c r="L224" s="105">
        <f t="shared" si="124"/>
        <v>0</v>
      </c>
      <c r="M224" s="105">
        <f t="shared" si="124"/>
        <v>0</v>
      </c>
      <c r="N224" s="105">
        <f t="shared" si="124"/>
        <v>0</v>
      </c>
      <c r="O224" s="105">
        <f t="shared" si="124"/>
        <v>0</v>
      </c>
      <c r="P224" s="105">
        <f t="shared" si="124"/>
        <v>0</v>
      </c>
      <c r="Q224" s="105">
        <f t="shared" si="124"/>
        <v>0</v>
      </c>
    </row>
    <row r="225" spans="1:17">
      <c r="A225" s="4" t="s">
        <v>54</v>
      </c>
      <c r="B225" s="8"/>
      <c r="C225" s="61">
        <f t="shared" si="123"/>
        <v>0.20788043478260873</v>
      </c>
      <c r="D225" s="61">
        <f t="shared" si="123"/>
        <v>0.2652014652014652</v>
      </c>
      <c r="E225" s="61">
        <f t="shared" si="123"/>
        <v>0.17077388672719412</v>
      </c>
      <c r="F225" s="61">
        <f t="shared" si="123"/>
        <v>0.26249247441300422</v>
      </c>
      <c r="G225" s="61">
        <f t="shared" si="123"/>
        <v>0.21786723163841806</v>
      </c>
      <c r="H225" s="105">
        <v>0.22500000000000001</v>
      </c>
      <c r="I225" s="105">
        <f t="shared" si="124"/>
        <v>0.22500000000000001</v>
      </c>
      <c r="J225" s="105">
        <f t="shared" si="124"/>
        <v>0.22500000000000001</v>
      </c>
      <c r="K225" s="105">
        <f t="shared" si="124"/>
        <v>0.22500000000000001</v>
      </c>
      <c r="L225" s="105">
        <f t="shared" si="124"/>
        <v>0.22500000000000001</v>
      </c>
      <c r="M225" s="105">
        <f t="shared" si="124"/>
        <v>0.22500000000000001</v>
      </c>
      <c r="N225" s="105">
        <f t="shared" si="124"/>
        <v>0.22500000000000001</v>
      </c>
      <c r="O225" s="105">
        <f t="shared" si="124"/>
        <v>0.22500000000000001</v>
      </c>
      <c r="P225" s="105">
        <f t="shared" si="124"/>
        <v>0.22500000000000001</v>
      </c>
      <c r="Q225" s="105">
        <f t="shared" si="124"/>
        <v>0.22500000000000001</v>
      </c>
    </row>
    <row r="226" spans="1:17">
      <c r="A226" s="19" t="s">
        <v>55</v>
      </c>
      <c r="B226" s="20"/>
      <c r="C226" s="106">
        <f>SUM(C217:C225)</f>
        <v>0.55774456521739135</v>
      </c>
      <c r="D226" s="106">
        <f t="shared" ref="D226:G226" si="125">SUM(D217:D225)</f>
        <v>0.55311355311355315</v>
      </c>
      <c r="E226" s="106">
        <f t="shared" si="125"/>
        <v>0.40293990488543019</v>
      </c>
      <c r="F226" s="106">
        <f t="shared" si="125"/>
        <v>0.60866947621914513</v>
      </c>
      <c r="G226" s="106">
        <f t="shared" si="125"/>
        <v>0.51518361581920902</v>
      </c>
      <c r="H226" s="107">
        <f t="shared" ref="H226" si="126">SUM(H217:H225)</f>
        <v>0.57672946885189469</v>
      </c>
      <c r="I226" s="107">
        <f t="shared" ref="I226" si="127">SUM(I217:I225)</f>
        <v>0.55398427964468044</v>
      </c>
      <c r="J226" s="107">
        <f t="shared" ref="J226" si="128">SUM(J217:J225)</f>
        <v>0.53502877959803807</v>
      </c>
      <c r="K226" s="107">
        <f t="shared" ref="K226" si="129">SUM(K217:K225)</f>
        <v>0.51901614620030934</v>
      </c>
      <c r="L226" s="107">
        <f t="shared" ref="L226" si="130">SUM(L217:L225)</f>
        <v>0.50527943304508782</v>
      </c>
      <c r="M226" s="107">
        <f t="shared" ref="M226" si="131">SUM(M217:M225)</f>
        <v>0.49343548125944514</v>
      </c>
      <c r="N226" s="107">
        <f t="shared" ref="N226" si="132">SUM(N217:N225)</f>
        <v>0.48303286302705406</v>
      </c>
      <c r="O226" s="107">
        <f t="shared" ref="O226" si="133">SUM(O217:O225)</f>
        <v>0.47393482435612833</v>
      </c>
      <c r="P226" s="107">
        <f t="shared" ref="P226" si="134">SUM(P217:P225)</f>
        <v>0.46592549432452546</v>
      </c>
      <c r="Q226" s="107">
        <f t="shared" ref="Q226" si="135">SUM(Q217:Q225)</f>
        <v>0.45883396608414062</v>
      </c>
    </row>
    <row r="227" spans="1:17">
      <c r="A227" s="4"/>
      <c r="B227" s="8"/>
      <c r="C227" s="61"/>
      <c r="D227" s="61"/>
      <c r="E227" s="61"/>
      <c r="F227" s="61"/>
      <c r="G227" s="61"/>
    </row>
    <row r="228" spans="1:17">
      <c r="A228" s="5" t="s">
        <v>56</v>
      </c>
      <c r="B228" s="8"/>
      <c r="C228" s="61"/>
      <c r="D228" s="61"/>
      <c r="E228" s="61"/>
      <c r="F228" s="61"/>
      <c r="G228" s="61"/>
    </row>
    <row r="229" spans="1:17">
      <c r="A229" s="4" t="s">
        <v>48</v>
      </c>
      <c r="B229" s="8"/>
      <c r="C229" s="61">
        <f t="shared" ref="C229:Q229" si="136">C37/C$43</f>
        <v>0.3328804347826087</v>
      </c>
      <c r="D229" s="61">
        <f t="shared" si="136"/>
        <v>0.36703296703296706</v>
      </c>
      <c r="E229" s="61">
        <f t="shared" si="136"/>
        <v>0.42888024210981412</v>
      </c>
      <c r="F229" s="61">
        <f t="shared" si="136"/>
        <v>0.19987959060806745</v>
      </c>
      <c r="G229" s="61">
        <f t="shared" si="136"/>
        <v>0.37817796610169485</v>
      </c>
      <c r="H229" s="111">
        <f t="shared" si="136"/>
        <v>0.44614615240694616</v>
      </c>
      <c r="I229" s="111">
        <f t="shared" si="136"/>
        <v>0.39791693469125883</v>
      </c>
      <c r="J229" s="111">
        <f t="shared" si="136"/>
        <v>0.35746506514402981</v>
      </c>
      <c r="K229" s="111">
        <f t="shared" si="136"/>
        <v>0.32306037187791825</v>
      </c>
      <c r="L229" s="111">
        <f t="shared" si="136"/>
        <v>0.2933863052979942</v>
      </c>
      <c r="M229" s="111">
        <f t="shared" si="136"/>
        <v>0.26760597717185541</v>
      </c>
      <c r="N229" s="111">
        <f t="shared" si="136"/>
        <v>0.24489620312791274</v>
      </c>
      <c r="O229" s="111">
        <f t="shared" si="136"/>
        <v>0.22486515363126577</v>
      </c>
      <c r="P229" s="111">
        <f t="shared" si="136"/>
        <v>0.20707562767588655</v>
      </c>
      <c r="Q229" s="111">
        <f t="shared" si="136"/>
        <v>0.19118151281666293</v>
      </c>
    </row>
    <row r="230" spans="1:17">
      <c r="A230" s="4" t="s">
        <v>49</v>
      </c>
      <c r="B230" s="8"/>
      <c r="C230" s="61">
        <f t="shared" ref="C230:H230" si="137">C38/C$43</f>
        <v>0</v>
      </c>
      <c r="D230" s="61">
        <f t="shared" si="137"/>
        <v>0</v>
      </c>
      <c r="E230" s="61">
        <f t="shared" si="137"/>
        <v>0.14223951578037181</v>
      </c>
      <c r="F230" s="61">
        <f t="shared" si="137"/>
        <v>0.17639975918121614</v>
      </c>
      <c r="G230" s="61">
        <f t="shared" si="137"/>
        <v>9.604519774011297E-2</v>
      </c>
      <c r="H230" s="105">
        <f t="shared" si="137"/>
        <v>0.11330695934144666</v>
      </c>
      <c r="I230" s="105">
        <f t="shared" ref="I230:Q230" si="138">I38/I$43</f>
        <v>0.10105826912793875</v>
      </c>
      <c r="J230" s="105">
        <f t="shared" si="138"/>
        <v>9.0784778449277417E-2</v>
      </c>
      <c r="K230" s="105">
        <f t="shared" si="138"/>
        <v>8.204707857216971E-2</v>
      </c>
      <c r="L230" s="105">
        <f t="shared" si="138"/>
        <v>7.451080769472869E-2</v>
      </c>
      <c r="M230" s="105">
        <f t="shared" si="138"/>
        <v>6.7963422773804558E-2</v>
      </c>
      <c r="N230" s="105">
        <f t="shared" si="138"/>
        <v>6.2195861111850867E-2</v>
      </c>
      <c r="O230" s="105">
        <f t="shared" si="138"/>
        <v>5.7108610446035754E-2</v>
      </c>
      <c r="P230" s="105">
        <f t="shared" si="138"/>
        <v>5.2590635600225158E-2</v>
      </c>
      <c r="Q230" s="105">
        <f t="shared" si="138"/>
        <v>4.8554035001057247E-2</v>
      </c>
    </row>
    <row r="231" spans="1:17">
      <c r="A231" s="4" t="s">
        <v>57</v>
      </c>
      <c r="B231" s="8"/>
      <c r="C231" s="61">
        <f t="shared" ref="C231:G233" si="139">C39/C$43</f>
        <v>6.6576086956521743E-2</v>
      </c>
      <c r="D231" s="61">
        <f t="shared" si="139"/>
        <v>3.9560439560439566E-2</v>
      </c>
      <c r="E231" s="61">
        <f t="shared" si="139"/>
        <v>1.2537829658452227E-2</v>
      </c>
      <c r="F231" s="61">
        <f t="shared" si="139"/>
        <v>7.2245635159542444E-3</v>
      </c>
      <c r="G231" s="61">
        <f t="shared" si="139"/>
        <v>5.6497175141242929E-3</v>
      </c>
      <c r="H231" s="105">
        <v>1.4999999999999999E-2</v>
      </c>
      <c r="I231" s="105">
        <f>H231</f>
        <v>1.4999999999999999E-2</v>
      </c>
      <c r="J231" s="105">
        <f t="shared" ref="J231:Q231" si="140">I231</f>
        <v>1.4999999999999999E-2</v>
      </c>
      <c r="K231" s="105">
        <f t="shared" si="140"/>
        <v>1.4999999999999999E-2</v>
      </c>
      <c r="L231" s="105">
        <f t="shared" si="140"/>
        <v>1.4999999999999999E-2</v>
      </c>
      <c r="M231" s="105">
        <f t="shared" si="140"/>
        <v>1.4999999999999999E-2</v>
      </c>
      <c r="N231" s="105">
        <f t="shared" si="140"/>
        <v>1.4999999999999999E-2</v>
      </c>
      <c r="O231" s="105">
        <f t="shared" si="140"/>
        <v>1.4999999999999999E-2</v>
      </c>
      <c r="P231" s="105">
        <f t="shared" si="140"/>
        <v>1.4999999999999999E-2</v>
      </c>
      <c r="Q231" s="105">
        <f t="shared" si="140"/>
        <v>1.4999999999999999E-2</v>
      </c>
    </row>
    <row r="232" spans="1:17">
      <c r="A232" s="4" t="s">
        <v>52</v>
      </c>
      <c r="B232" s="8"/>
      <c r="C232" s="61">
        <f t="shared" si="139"/>
        <v>4.2798913043478264E-2</v>
      </c>
      <c r="D232" s="61">
        <f t="shared" si="139"/>
        <v>4.0293040293040296E-2</v>
      </c>
      <c r="E232" s="61">
        <f t="shared" si="139"/>
        <v>7.3497622135754439E-3</v>
      </c>
      <c r="F232" s="61">
        <f t="shared" si="139"/>
        <v>3.6122817579771222E-3</v>
      </c>
      <c r="G232" s="61">
        <f t="shared" si="139"/>
        <v>2.8248587570621464E-3</v>
      </c>
      <c r="H232" s="105">
        <f>H235-SUM(H226,H229:H231,H233)</f>
        <v>-0.15518258060028733</v>
      </c>
      <c r="I232" s="105">
        <f>I235-SUM(I226,I229:I231,I233)</f>
        <v>-7.1959483463877927E-2</v>
      </c>
      <c r="J232" s="105">
        <f t="shared" ref="J232:Q232" si="141">J235-SUM(J226,J229:J231,J233)</f>
        <v>-2.2786231913451971E-3</v>
      </c>
      <c r="K232" s="105">
        <f t="shared" si="141"/>
        <v>5.6876403349602644E-2</v>
      </c>
      <c r="L232" s="105">
        <f t="shared" si="141"/>
        <v>0.10782345396218929</v>
      </c>
      <c r="M232" s="105">
        <f t="shared" si="141"/>
        <v>0.15199511879489491</v>
      </c>
      <c r="N232" s="105">
        <f t="shared" si="141"/>
        <v>0.19087507273318238</v>
      </c>
      <c r="O232" s="105">
        <f t="shared" si="141"/>
        <v>0.22509141156657009</v>
      </c>
      <c r="P232" s="105">
        <f t="shared" si="141"/>
        <v>0.25540824239936288</v>
      </c>
      <c r="Q232" s="105">
        <f t="shared" si="141"/>
        <v>0.28243048609813914</v>
      </c>
    </row>
    <row r="233" spans="1:17">
      <c r="A233" s="4" t="s">
        <v>54</v>
      </c>
      <c r="B233" s="8"/>
      <c r="C233" s="61">
        <f t="shared" si="139"/>
        <v>0</v>
      </c>
      <c r="D233" s="61">
        <f t="shared" si="139"/>
        <v>0</v>
      </c>
      <c r="E233" s="61">
        <f t="shared" si="139"/>
        <v>6.0527453523562475E-3</v>
      </c>
      <c r="F233" s="61">
        <f t="shared" si="139"/>
        <v>4.2143287176399759E-3</v>
      </c>
      <c r="G233" s="61">
        <f t="shared" si="139"/>
        <v>2.1186440677966097E-3</v>
      </c>
      <c r="H233" s="105">
        <v>4.0000000000000001E-3</v>
      </c>
      <c r="I233" s="105">
        <f>H233</f>
        <v>4.0000000000000001E-3</v>
      </c>
      <c r="J233" s="105">
        <f t="shared" ref="J233:Q233" si="142">I233</f>
        <v>4.0000000000000001E-3</v>
      </c>
      <c r="K233" s="105">
        <f t="shared" si="142"/>
        <v>4.0000000000000001E-3</v>
      </c>
      <c r="L233" s="105">
        <f t="shared" si="142"/>
        <v>4.0000000000000001E-3</v>
      </c>
      <c r="M233" s="105">
        <f t="shared" si="142"/>
        <v>4.0000000000000001E-3</v>
      </c>
      <c r="N233" s="105">
        <f t="shared" si="142"/>
        <v>4.0000000000000001E-3</v>
      </c>
      <c r="O233" s="105">
        <f t="shared" si="142"/>
        <v>4.0000000000000001E-3</v>
      </c>
      <c r="P233" s="105">
        <f t="shared" si="142"/>
        <v>4.0000000000000001E-3</v>
      </c>
      <c r="Q233" s="105">
        <f t="shared" si="142"/>
        <v>4.0000000000000001E-3</v>
      </c>
    </row>
    <row r="234" spans="1:17">
      <c r="A234" s="4" t="s">
        <v>58</v>
      </c>
      <c r="B234" s="8"/>
      <c r="C234" s="61">
        <f>SUM(C229:C233)</f>
        <v>0.4422554347826087</v>
      </c>
      <c r="D234" s="61">
        <f t="shared" ref="D234:G234" si="143">SUM(D229:D233)</f>
        <v>0.44688644688644696</v>
      </c>
      <c r="E234" s="61">
        <f t="shared" si="143"/>
        <v>0.5970600951145697</v>
      </c>
      <c r="F234" s="61">
        <f t="shared" si="143"/>
        <v>0.39133052378085492</v>
      </c>
      <c r="G234" s="61">
        <f t="shared" si="143"/>
        <v>0.48481638418079087</v>
      </c>
      <c r="H234" s="111">
        <f t="shared" ref="H234" si="144">SUM(H229:H233)</f>
        <v>0.42327053114810553</v>
      </c>
      <c r="I234" s="111">
        <f t="shared" ref="I234" si="145">SUM(I229:I233)</f>
        <v>0.44601572035531967</v>
      </c>
      <c r="J234" s="111">
        <f t="shared" ref="J234" si="146">SUM(J229:J233)</f>
        <v>0.46497122040196204</v>
      </c>
      <c r="K234" s="111">
        <f t="shared" ref="K234" si="147">SUM(K229:K233)</f>
        <v>0.48098385379969061</v>
      </c>
      <c r="L234" s="111">
        <f t="shared" ref="L234" si="148">SUM(L229:L233)</f>
        <v>0.49472056695491218</v>
      </c>
      <c r="M234" s="111">
        <f t="shared" ref="M234" si="149">SUM(M229:M233)</f>
        <v>0.50656451874055497</v>
      </c>
      <c r="N234" s="111">
        <f t="shared" ref="N234" si="150">SUM(N229:N233)</f>
        <v>0.51696713697294605</v>
      </c>
      <c r="O234" s="111">
        <f t="shared" ref="O234" si="151">SUM(O229:O233)</f>
        <v>0.52606517564387167</v>
      </c>
      <c r="P234" s="111">
        <f t="shared" ref="P234" si="152">SUM(P229:P233)</f>
        <v>0.53407450567547454</v>
      </c>
      <c r="Q234" s="111">
        <f t="shared" ref="Q234" si="153">SUM(Q229:Q233)</f>
        <v>0.54116603391585927</v>
      </c>
    </row>
    <row r="235" spans="1:17" ht="15" thickBot="1">
      <c r="A235" s="13" t="s">
        <v>59</v>
      </c>
      <c r="B235" s="14"/>
      <c r="C235" s="108">
        <f t="shared" ref="C235:Q235" si="154">C43/C$43</f>
        <v>1</v>
      </c>
      <c r="D235" s="108">
        <f t="shared" si="154"/>
        <v>1</v>
      </c>
      <c r="E235" s="108">
        <f t="shared" si="154"/>
        <v>1</v>
      </c>
      <c r="F235" s="108">
        <f t="shared" si="154"/>
        <v>1</v>
      </c>
      <c r="G235" s="108">
        <f t="shared" si="154"/>
        <v>1</v>
      </c>
      <c r="H235" s="113">
        <f t="shared" si="154"/>
        <v>1</v>
      </c>
      <c r="I235" s="113">
        <f t="shared" si="154"/>
        <v>1</v>
      </c>
      <c r="J235" s="113">
        <f t="shared" si="154"/>
        <v>1</v>
      </c>
      <c r="K235" s="113">
        <f t="shared" si="154"/>
        <v>1</v>
      </c>
      <c r="L235" s="113">
        <f t="shared" si="154"/>
        <v>1</v>
      </c>
      <c r="M235" s="113">
        <f t="shared" si="154"/>
        <v>1</v>
      </c>
      <c r="N235" s="113">
        <f t="shared" si="154"/>
        <v>1</v>
      </c>
      <c r="O235" s="113">
        <f t="shared" si="154"/>
        <v>1</v>
      </c>
      <c r="P235" s="113">
        <f t="shared" si="154"/>
        <v>1</v>
      </c>
      <c r="Q235" s="113">
        <f t="shared" si="154"/>
        <v>1</v>
      </c>
    </row>
    <row r="236" spans="1:17" ht="15" thickTop="1">
      <c r="A236" s="4"/>
      <c r="B236" s="8"/>
      <c r="C236" s="61"/>
      <c r="D236" s="61"/>
      <c r="E236" s="61"/>
      <c r="F236" s="61"/>
      <c r="G236" s="61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</row>
    <row r="237" spans="1:17">
      <c r="A237" s="4"/>
      <c r="B237" s="4"/>
      <c r="C237" s="4"/>
      <c r="D237" s="4"/>
      <c r="E237" s="4"/>
      <c r="F237" s="4"/>
      <c r="G237" s="4"/>
    </row>
    <row r="238" spans="1:17">
      <c r="A238" s="4"/>
      <c r="B238" s="4"/>
      <c r="C238" s="4"/>
      <c r="D238" s="4"/>
      <c r="E238" s="4"/>
      <c r="F238" s="4"/>
      <c r="G238" s="4"/>
    </row>
    <row r="239" spans="1:17">
      <c r="A239" s="4"/>
      <c r="B239" s="4"/>
      <c r="C239" s="4"/>
      <c r="D239" s="4"/>
      <c r="E239" s="4"/>
      <c r="F239" s="4"/>
      <c r="G239" s="4"/>
    </row>
    <row r="242" spans="1:17">
      <c r="A242" s="4"/>
      <c r="B242" s="4"/>
      <c r="C242" s="4"/>
      <c r="D242" s="4"/>
      <c r="E242" s="4"/>
      <c r="F242" s="4"/>
    </row>
    <row r="243" spans="1:17" ht="18">
      <c r="A243" s="32" t="s">
        <v>728</v>
      </c>
      <c r="B243" s="2"/>
      <c r="C243" s="122">
        <f>C161</f>
        <v>2018</v>
      </c>
      <c r="D243" s="122">
        <f t="shared" ref="D243:G243" si="155">D161</f>
        <v>2019</v>
      </c>
      <c r="E243" s="122">
        <f t="shared" si="155"/>
        <v>2020</v>
      </c>
      <c r="F243" s="122">
        <f t="shared" si="155"/>
        <v>2021</v>
      </c>
      <c r="G243" s="122">
        <f t="shared" si="155"/>
        <v>2022</v>
      </c>
      <c r="H243" s="121">
        <f>H161</f>
        <v>2023</v>
      </c>
      <c r="I243" s="121">
        <f t="shared" ref="I243:Q243" si="156">I161</f>
        <v>2024</v>
      </c>
      <c r="J243" s="121">
        <f t="shared" si="156"/>
        <v>2025</v>
      </c>
      <c r="K243" s="121">
        <f t="shared" si="156"/>
        <v>2026</v>
      </c>
      <c r="L243" s="121">
        <f t="shared" si="156"/>
        <v>2027</v>
      </c>
      <c r="M243" s="121">
        <f t="shared" si="156"/>
        <v>2028</v>
      </c>
      <c r="N243" s="121">
        <f t="shared" si="156"/>
        <v>2029</v>
      </c>
      <c r="O243" s="121">
        <f t="shared" si="156"/>
        <v>2030</v>
      </c>
      <c r="P243" s="121">
        <f t="shared" si="156"/>
        <v>2031</v>
      </c>
      <c r="Q243" s="121">
        <f t="shared" si="156"/>
        <v>2032</v>
      </c>
    </row>
    <row r="244" spans="1:17" ht="15">
      <c r="A244" s="2"/>
      <c r="B244" s="2"/>
      <c r="C244" s="1"/>
      <c r="D244" s="1"/>
      <c r="E244" s="1"/>
      <c r="F244" s="1"/>
      <c r="G244" s="1"/>
      <c r="H244" s="83"/>
      <c r="I244" s="83"/>
      <c r="J244" s="83"/>
      <c r="K244" s="83"/>
      <c r="L244" s="83"/>
      <c r="M244" s="83"/>
      <c r="N244" s="83"/>
      <c r="O244" s="83"/>
      <c r="P244" s="83"/>
      <c r="Q244" s="83"/>
    </row>
    <row r="245" spans="1:17">
      <c r="A245" s="5" t="s">
        <v>29</v>
      </c>
      <c r="B245" s="4"/>
      <c r="C245" s="4"/>
      <c r="D245" s="4"/>
      <c r="E245" s="4"/>
      <c r="F245" s="4"/>
      <c r="G245" s="4"/>
    </row>
    <row r="246" spans="1:17">
      <c r="A246" s="4" t="s">
        <v>30</v>
      </c>
      <c r="B246" s="8"/>
      <c r="C246" s="61"/>
      <c r="D246" s="61">
        <f t="shared" ref="D246:Q246" si="157">IFERROR(D6/C6-1,"")</f>
        <v>1.1752136752136932E-2</v>
      </c>
      <c r="E246" s="61">
        <f t="shared" si="157"/>
        <v>1.9535374868004274E-2</v>
      </c>
      <c r="F246" s="61">
        <f t="shared" si="157"/>
        <v>-5.282237182806826E-2</v>
      </c>
      <c r="G246" s="61">
        <f t="shared" si="157"/>
        <v>0.45489338436304005</v>
      </c>
      <c r="H246" s="61">
        <f t="shared" si="157"/>
        <v>-2.7872008415090965E-2</v>
      </c>
      <c r="I246" s="61">
        <f t="shared" si="157"/>
        <v>8.0000000000000071E-2</v>
      </c>
      <c r="J246" s="61">
        <f t="shared" si="157"/>
        <v>8.0000000000000071E-2</v>
      </c>
      <c r="K246" s="61">
        <f t="shared" si="157"/>
        <v>7.9999999999999849E-2</v>
      </c>
      <c r="L246" s="61">
        <f t="shared" si="157"/>
        <v>8.0000000000000293E-2</v>
      </c>
      <c r="M246" s="61">
        <f t="shared" si="157"/>
        <v>7.9999999999999849E-2</v>
      </c>
      <c r="N246" s="61">
        <f t="shared" si="157"/>
        <v>8.0000000000000293E-2</v>
      </c>
      <c r="O246" s="61">
        <f t="shared" si="157"/>
        <v>8.0000000000000071E-2</v>
      </c>
      <c r="P246" s="61">
        <f t="shared" si="157"/>
        <v>8.0000000000000071E-2</v>
      </c>
      <c r="Q246" s="61">
        <f t="shared" si="157"/>
        <v>7.9999999999999849E-2</v>
      </c>
    </row>
    <row r="247" spans="1:17">
      <c r="A247" s="4" t="s">
        <v>31</v>
      </c>
      <c r="B247" s="8"/>
      <c r="C247" s="61"/>
      <c r="D247" s="61">
        <f t="shared" ref="D247:Q247" si="158">IFERROR(D7/C7-1,"")</f>
        <v>-0.20833333333333337</v>
      </c>
      <c r="E247" s="61">
        <f t="shared" si="158"/>
        <v>-0.30622009569377984</v>
      </c>
      <c r="F247" s="61">
        <f t="shared" si="158"/>
        <v>-0.27586206896551724</v>
      </c>
      <c r="G247" s="61">
        <f t="shared" si="158"/>
        <v>4.6476190476190471</v>
      </c>
      <c r="H247" s="61">
        <f t="shared" si="158"/>
        <v>-0.11423684289917857</v>
      </c>
      <c r="I247" s="61">
        <f t="shared" si="158"/>
        <v>8.0000000000000071E-2</v>
      </c>
      <c r="J247" s="61">
        <f t="shared" si="158"/>
        <v>8.0000000000000293E-2</v>
      </c>
      <c r="K247" s="61">
        <f t="shared" si="158"/>
        <v>8.0000000000000071E-2</v>
      </c>
      <c r="L247" s="61">
        <f t="shared" si="158"/>
        <v>8.0000000000000071E-2</v>
      </c>
      <c r="M247" s="61">
        <f t="shared" si="158"/>
        <v>7.9999999999999849E-2</v>
      </c>
      <c r="N247" s="61">
        <f t="shared" si="158"/>
        <v>8.0000000000000515E-2</v>
      </c>
      <c r="O247" s="61">
        <f t="shared" si="158"/>
        <v>8.0000000000000071E-2</v>
      </c>
      <c r="P247" s="61">
        <f t="shared" si="158"/>
        <v>8.0000000000000071E-2</v>
      </c>
      <c r="Q247" s="61">
        <f t="shared" si="158"/>
        <v>7.9999999999999849E-2</v>
      </c>
    </row>
    <row r="248" spans="1:17">
      <c r="A248" s="4" t="s">
        <v>32</v>
      </c>
      <c r="B248" s="8"/>
      <c r="C248" s="61"/>
      <c r="D248" s="61">
        <f t="shared" ref="D248:Q248" si="159">IFERROR(D8/C8-1,"")</f>
        <v>-0.12886597938144329</v>
      </c>
      <c r="E248" s="61">
        <f t="shared" si="159"/>
        <v>-0.17751479289940819</v>
      </c>
      <c r="F248" s="61">
        <f t="shared" si="159"/>
        <v>-0.17266187050359716</v>
      </c>
      <c r="G248" s="61">
        <f t="shared" si="159"/>
        <v>0.12173913043478257</v>
      </c>
      <c r="H248" s="61">
        <f t="shared" si="159"/>
        <v>1.3971205322225542</v>
      </c>
      <c r="I248" s="61">
        <f t="shared" si="159"/>
        <v>8.0000000000000293E-2</v>
      </c>
      <c r="J248" s="61">
        <f t="shared" si="159"/>
        <v>8.0000000000000071E-2</v>
      </c>
      <c r="K248" s="61">
        <f t="shared" si="159"/>
        <v>7.9999999999999849E-2</v>
      </c>
      <c r="L248" s="61">
        <f t="shared" si="159"/>
        <v>8.0000000000000293E-2</v>
      </c>
      <c r="M248" s="61">
        <f t="shared" si="159"/>
        <v>7.9999999999999849E-2</v>
      </c>
      <c r="N248" s="61">
        <f t="shared" si="159"/>
        <v>8.0000000000000293E-2</v>
      </c>
      <c r="O248" s="61">
        <f t="shared" si="159"/>
        <v>8.0000000000000071E-2</v>
      </c>
      <c r="P248" s="61">
        <f t="shared" si="159"/>
        <v>8.0000000000000293E-2</v>
      </c>
      <c r="Q248" s="61">
        <f t="shared" si="159"/>
        <v>7.9999999999999849E-2</v>
      </c>
    </row>
    <row r="249" spans="1:17">
      <c r="A249" s="4" t="s">
        <v>33</v>
      </c>
      <c r="B249" s="8"/>
      <c r="C249" s="61"/>
      <c r="D249" s="61" t="str">
        <f t="shared" ref="D249:Q249" si="160">IFERROR(D9/C9-1,"")</f>
        <v/>
      </c>
      <c r="E249" s="61" t="str">
        <f t="shared" si="160"/>
        <v/>
      </c>
      <c r="F249" s="61">
        <f t="shared" si="160"/>
        <v>-0.1707317073170731</v>
      </c>
      <c r="G249" s="61">
        <f t="shared" si="160"/>
        <v>-7.5630252100840401E-2</v>
      </c>
      <c r="H249" s="61">
        <f t="shared" si="160"/>
        <v>-0.22194633125865049</v>
      </c>
      <c r="I249" s="61">
        <f t="shared" si="160"/>
        <v>8.0000000000000071E-2</v>
      </c>
      <c r="J249" s="61">
        <f t="shared" si="160"/>
        <v>8.0000000000000071E-2</v>
      </c>
      <c r="K249" s="61">
        <f t="shared" si="160"/>
        <v>8.0000000000000071E-2</v>
      </c>
      <c r="L249" s="61">
        <f t="shared" si="160"/>
        <v>8.0000000000000071E-2</v>
      </c>
      <c r="M249" s="61">
        <f t="shared" si="160"/>
        <v>7.9999999999999849E-2</v>
      </c>
      <c r="N249" s="61">
        <f t="shared" si="160"/>
        <v>8.0000000000000293E-2</v>
      </c>
      <c r="O249" s="61">
        <f t="shared" si="160"/>
        <v>8.0000000000000071E-2</v>
      </c>
      <c r="P249" s="61">
        <f t="shared" si="160"/>
        <v>8.0000000000000293E-2</v>
      </c>
      <c r="Q249" s="61">
        <f t="shared" si="160"/>
        <v>7.9999999999999849E-2</v>
      </c>
    </row>
    <row r="250" spans="1:17">
      <c r="A250" s="4" t="s">
        <v>34</v>
      </c>
      <c r="B250" s="8"/>
      <c r="C250" s="61"/>
      <c r="D250" s="61">
        <f t="shared" ref="D250:Q250" si="161">IFERROR(D10/C10-1,"")</f>
        <v>-0.25000000000000011</v>
      </c>
      <c r="E250" s="61">
        <f t="shared" si="161"/>
        <v>0</v>
      </c>
      <c r="F250" s="61">
        <f t="shared" si="161"/>
        <v>0</v>
      </c>
      <c r="G250" s="61">
        <f t="shared" si="161"/>
        <v>0</v>
      </c>
      <c r="H250" s="61">
        <f t="shared" si="161"/>
        <v>0</v>
      </c>
      <c r="I250" s="61">
        <f t="shared" si="161"/>
        <v>0</v>
      </c>
      <c r="J250" s="61">
        <f t="shared" si="161"/>
        <v>0</v>
      </c>
      <c r="K250" s="61">
        <f t="shared" si="161"/>
        <v>0</v>
      </c>
      <c r="L250" s="61">
        <f t="shared" si="161"/>
        <v>0</v>
      </c>
      <c r="M250" s="61">
        <f t="shared" si="161"/>
        <v>0</v>
      </c>
      <c r="N250" s="61">
        <f t="shared" si="161"/>
        <v>0</v>
      </c>
      <c r="O250" s="61">
        <f t="shared" si="161"/>
        <v>0</v>
      </c>
      <c r="P250" s="61">
        <f t="shared" si="161"/>
        <v>0</v>
      </c>
      <c r="Q250" s="61">
        <f t="shared" si="161"/>
        <v>0</v>
      </c>
    </row>
    <row r="251" spans="1:17">
      <c r="A251" s="4" t="s">
        <v>35</v>
      </c>
      <c r="B251" s="8"/>
      <c r="C251" s="61"/>
      <c r="D251" s="61">
        <f t="shared" ref="D251:Q251" si="162">IFERROR(D11/C11-1,"")</f>
        <v>-0.75555555555555554</v>
      </c>
      <c r="E251" s="61">
        <f t="shared" si="162"/>
        <v>1.0909090909090904</v>
      </c>
      <c r="F251" s="61">
        <f t="shared" si="162"/>
        <v>-0.13043478260869557</v>
      </c>
      <c r="G251" s="61">
        <f t="shared" si="162"/>
        <v>-0.30000000000000004</v>
      </c>
      <c r="H251" s="61">
        <f t="shared" si="162"/>
        <v>0.50073586331653464</v>
      </c>
      <c r="I251" s="61">
        <f t="shared" si="162"/>
        <v>7.9999999999999849E-2</v>
      </c>
      <c r="J251" s="61">
        <f t="shared" si="162"/>
        <v>8.0000000000000293E-2</v>
      </c>
      <c r="K251" s="61">
        <f t="shared" si="162"/>
        <v>7.9999999999999849E-2</v>
      </c>
      <c r="L251" s="61">
        <f t="shared" si="162"/>
        <v>8.0000000000000071E-2</v>
      </c>
      <c r="M251" s="61">
        <f t="shared" si="162"/>
        <v>7.9999999999999849E-2</v>
      </c>
      <c r="N251" s="61">
        <f t="shared" si="162"/>
        <v>8.0000000000000293E-2</v>
      </c>
      <c r="O251" s="61">
        <f t="shared" si="162"/>
        <v>7.9999999999999849E-2</v>
      </c>
      <c r="P251" s="61">
        <f t="shared" si="162"/>
        <v>8.0000000000000293E-2</v>
      </c>
      <c r="Q251" s="61">
        <f t="shared" si="162"/>
        <v>7.9999999999999849E-2</v>
      </c>
    </row>
    <row r="252" spans="1:17">
      <c r="A252" s="19" t="s">
        <v>36</v>
      </c>
      <c r="B252" s="20"/>
      <c r="C252" s="106"/>
      <c r="D252" s="106">
        <f t="shared" ref="D252:Q252" si="163">IFERROR(D12/C12-1,"")</f>
        <v>-5.5996973136587025E-2</v>
      </c>
      <c r="E252" s="106">
        <f t="shared" si="163"/>
        <v>7.134268537074151E-2</v>
      </c>
      <c r="F252" s="106">
        <f t="shared" si="163"/>
        <v>-9.6520763187429748E-2</v>
      </c>
      <c r="G252" s="106">
        <f t="shared" si="163"/>
        <v>0.74451345755693565</v>
      </c>
      <c r="H252" s="106">
        <f t="shared" si="163"/>
        <v>-1.6909957798420305E-2</v>
      </c>
      <c r="I252" s="106">
        <f t="shared" si="163"/>
        <v>7.9942053596601781E-2</v>
      </c>
      <c r="J252" s="106">
        <f t="shared" si="163"/>
        <v>7.9946343043864943E-2</v>
      </c>
      <c r="K252" s="106">
        <f t="shared" si="163"/>
        <v>7.9950315164747598E-2</v>
      </c>
      <c r="L252" s="106">
        <f t="shared" si="163"/>
        <v>7.9953993406405521E-2</v>
      </c>
      <c r="M252" s="106">
        <f t="shared" si="163"/>
        <v>7.9957399487500913E-2</v>
      </c>
      <c r="N252" s="106">
        <f t="shared" si="163"/>
        <v>7.9960553525056932E-2</v>
      </c>
      <c r="O252" s="106">
        <f t="shared" si="163"/>
        <v>7.9963474152074498E-2</v>
      </c>
      <c r="P252" s="106">
        <f t="shared" si="163"/>
        <v>7.9966178626592832E-2</v>
      </c>
      <c r="Q252" s="106">
        <f t="shared" si="163"/>
        <v>7.9968682932783697E-2</v>
      </c>
    </row>
    <row r="253" spans="1:17">
      <c r="A253" s="4"/>
      <c r="B253" s="8"/>
      <c r="C253" s="61"/>
      <c r="D253" s="61" t="str">
        <f t="shared" ref="D253:G283" si="164">IFERROR(D13/C13-1,"")</f>
        <v/>
      </c>
      <c r="E253" s="61" t="str">
        <f t="shared" si="164"/>
        <v/>
      </c>
      <c r="F253" s="61" t="str">
        <f t="shared" si="164"/>
        <v/>
      </c>
      <c r="G253" s="61" t="str">
        <f t="shared" si="164"/>
        <v/>
      </c>
    </row>
    <row r="254" spans="1:17">
      <c r="A254" s="5" t="s">
        <v>37</v>
      </c>
      <c r="B254" s="8"/>
      <c r="C254" s="61"/>
      <c r="D254" s="61" t="str">
        <f t="shared" si="164"/>
        <v/>
      </c>
      <c r="E254" s="61" t="str">
        <f t="shared" si="164"/>
        <v/>
      </c>
      <c r="F254" s="61" t="str">
        <f t="shared" si="164"/>
        <v/>
      </c>
      <c r="G254" s="61" t="str">
        <f t="shared" si="164"/>
        <v/>
      </c>
    </row>
    <row r="255" spans="1:17">
      <c r="A255" s="4" t="s">
        <v>38</v>
      </c>
      <c r="B255" s="8"/>
      <c r="C255" s="61"/>
      <c r="D255" s="61">
        <f t="shared" si="164"/>
        <v>-0.12500000000000011</v>
      </c>
      <c r="E255" s="61">
        <f t="shared" si="164"/>
        <v>0.28571428571428581</v>
      </c>
      <c r="F255" s="61">
        <f t="shared" si="164"/>
        <v>0.22222222222222232</v>
      </c>
      <c r="G255" s="61">
        <f t="shared" si="164"/>
        <v>-0.18181818181818188</v>
      </c>
      <c r="H255" s="61">
        <f t="shared" ref="H255:Q255" si="165">IFERROR(H15/G15-1,"")</f>
        <v>0.25102741678719642</v>
      </c>
      <c r="I255" s="61">
        <f t="shared" si="165"/>
        <v>8.0000000000000293E-2</v>
      </c>
      <c r="J255" s="61">
        <f t="shared" si="165"/>
        <v>7.9999999999999849E-2</v>
      </c>
      <c r="K255" s="61">
        <f t="shared" si="165"/>
        <v>8.0000000000000071E-2</v>
      </c>
      <c r="L255" s="61">
        <f t="shared" si="165"/>
        <v>7.9999999999999849E-2</v>
      </c>
      <c r="M255" s="61">
        <f t="shared" si="165"/>
        <v>8.0000000000000293E-2</v>
      </c>
      <c r="N255" s="61">
        <f t="shared" si="165"/>
        <v>8.0000000000000071E-2</v>
      </c>
      <c r="O255" s="61">
        <f t="shared" si="165"/>
        <v>8.0000000000000071E-2</v>
      </c>
      <c r="P255" s="61">
        <f t="shared" si="165"/>
        <v>8.0000000000000071E-2</v>
      </c>
      <c r="Q255" s="61">
        <f t="shared" si="165"/>
        <v>8.0000000000000071E-2</v>
      </c>
    </row>
    <row r="256" spans="1:17">
      <c r="A256" s="4" t="s">
        <v>39</v>
      </c>
      <c r="B256" s="8"/>
      <c r="C256" s="61"/>
      <c r="D256" s="61">
        <f t="shared" si="164"/>
        <v>-6.6666666666666652E-2</v>
      </c>
      <c r="E256" s="61">
        <f t="shared" si="164"/>
        <v>0.19155844155844171</v>
      </c>
      <c r="F256" s="61">
        <f t="shared" si="164"/>
        <v>-6.4032697547683926E-2</v>
      </c>
      <c r="G256" s="61">
        <f t="shared" si="164"/>
        <v>0.13100436681222716</v>
      </c>
      <c r="H256" s="61">
        <f t="shared" ref="H256:Q256" si="166">IFERROR(H16/G16-1,"")</f>
        <v>0.14475974735849695</v>
      </c>
      <c r="I256" s="61">
        <f t="shared" si="166"/>
        <v>8.0000000000000293E-2</v>
      </c>
      <c r="J256" s="61">
        <f t="shared" si="166"/>
        <v>7.9999999999999849E-2</v>
      </c>
      <c r="K256" s="61">
        <f t="shared" si="166"/>
        <v>8.0000000000000071E-2</v>
      </c>
      <c r="L256" s="61">
        <f t="shared" si="166"/>
        <v>8.0000000000000071E-2</v>
      </c>
      <c r="M256" s="61">
        <f t="shared" si="166"/>
        <v>8.0000000000000293E-2</v>
      </c>
      <c r="N256" s="61">
        <f t="shared" si="166"/>
        <v>8.0000000000000071E-2</v>
      </c>
      <c r="O256" s="61">
        <f t="shared" si="166"/>
        <v>8.0000000000000071E-2</v>
      </c>
      <c r="P256" s="61">
        <f t="shared" si="166"/>
        <v>8.0000000000000071E-2</v>
      </c>
      <c r="Q256" s="61">
        <f t="shared" si="166"/>
        <v>7.9999999999999849E-2</v>
      </c>
    </row>
    <row r="257" spans="1:17">
      <c r="A257" s="4" t="s">
        <v>40</v>
      </c>
      <c r="B257" s="8"/>
      <c r="C257" s="61"/>
      <c r="D257" s="61" t="str">
        <f t="shared" si="164"/>
        <v/>
      </c>
      <c r="E257" s="61" t="str">
        <f t="shared" si="164"/>
        <v/>
      </c>
      <c r="F257" s="61" t="str">
        <f t="shared" si="164"/>
        <v/>
      </c>
      <c r="G257" s="61" t="str">
        <f t="shared" si="164"/>
        <v/>
      </c>
      <c r="H257" s="61">
        <f t="shared" ref="H257:Q257" si="167">IFERROR(H17/G17-1,"")</f>
        <v>-0.73063715273805796</v>
      </c>
      <c r="I257" s="61">
        <f t="shared" si="167"/>
        <v>8.0000000000000071E-2</v>
      </c>
      <c r="J257" s="61">
        <f t="shared" si="167"/>
        <v>8.0000000000000071E-2</v>
      </c>
      <c r="K257" s="61">
        <f t="shared" si="167"/>
        <v>8.0000000000000071E-2</v>
      </c>
      <c r="L257" s="61">
        <f t="shared" si="167"/>
        <v>8.0000000000000071E-2</v>
      </c>
      <c r="M257" s="61">
        <f t="shared" si="167"/>
        <v>7.9999999999999849E-2</v>
      </c>
      <c r="N257" s="61">
        <f t="shared" si="167"/>
        <v>8.0000000000000293E-2</v>
      </c>
      <c r="O257" s="61">
        <f t="shared" si="167"/>
        <v>8.0000000000000071E-2</v>
      </c>
      <c r="P257" s="61">
        <f t="shared" si="167"/>
        <v>8.0000000000000071E-2</v>
      </c>
      <c r="Q257" s="61">
        <f t="shared" si="167"/>
        <v>7.9999999999999849E-2</v>
      </c>
    </row>
    <row r="258" spans="1:17">
      <c r="A258" s="4" t="s">
        <v>41</v>
      </c>
      <c r="B258" s="8"/>
      <c r="C258" s="61"/>
      <c r="D258" s="61">
        <f t="shared" si="164"/>
        <v>-1</v>
      </c>
      <c r="E258" s="61" t="str">
        <f t="shared" si="164"/>
        <v/>
      </c>
      <c r="F258" s="61" t="str">
        <f t="shared" si="164"/>
        <v/>
      </c>
      <c r="G258" s="61" t="str">
        <f t="shared" si="164"/>
        <v/>
      </c>
      <c r="H258" s="61" t="str">
        <f t="shared" ref="H258:Q258" si="168">IFERROR(H18/G18-1,"")</f>
        <v/>
      </c>
      <c r="I258" s="61" t="str">
        <f t="shared" si="168"/>
        <v/>
      </c>
      <c r="J258" s="61" t="str">
        <f t="shared" si="168"/>
        <v/>
      </c>
      <c r="K258" s="61" t="str">
        <f t="shared" si="168"/>
        <v/>
      </c>
      <c r="L258" s="61" t="str">
        <f t="shared" si="168"/>
        <v/>
      </c>
      <c r="M258" s="61" t="str">
        <f t="shared" si="168"/>
        <v/>
      </c>
      <c r="N258" s="61" t="str">
        <f t="shared" si="168"/>
        <v/>
      </c>
      <c r="O258" s="61" t="str">
        <f t="shared" si="168"/>
        <v/>
      </c>
      <c r="P258" s="61" t="str">
        <f t="shared" si="168"/>
        <v/>
      </c>
      <c r="Q258" s="61" t="str">
        <f t="shared" si="168"/>
        <v/>
      </c>
    </row>
    <row r="259" spans="1:17">
      <c r="A259" s="4" t="s">
        <v>42</v>
      </c>
      <c r="B259" s="8"/>
      <c r="C259" s="61"/>
      <c r="D259" s="61" t="str">
        <f t="shared" si="164"/>
        <v/>
      </c>
      <c r="E259" s="61">
        <f t="shared" si="164"/>
        <v>0</v>
      </c>
      <c r="F259" s="61">
        <f t="shared" si="164"/>
        <v>6.5</v>
      </c>
      <c r="G259" s="61">
        <f t="shared" si="164"/>
        <v>-0.31111111111111112</v>
      </c>
      <c r="H259" s="61">
        <f t="shared" ref="H259:Q259" si="169">IFERROR(H19/G19-1,"")</f>
        <v>-0.47865255368656379</v>
      </c>
      <c r="I259" s="61">
        <f t="shared" si="169"/>
        <v>8.0000000000000071E-2</v>
      </c>
      <c r="J259" s="61">
        <f t="shared" si="169"/>
        <v>8.0000000000000071E-2</v>
      </c>
      <c r="K259" s="61">
        <f t="shared" si="169"/>
        <v>7.9999999999999849E-2</v>
      </c>
      <c r="L259" s="61">
        <f t="shared" si="169"/>
        <v>8.0000000000000293E-2</v>
      </c>
      <c r="M259" s="61">
        <f t="shared" si="169"/>
        <v>7.9999999999999849E-2</v>
      </c>
      <c r="N259" s="61">
        <f t="shared" si="169"/>
        <v>8.0000000000000293E-2</v>
      </c>
      <c r="O259" s="61">
        <f t="shared" si="169"/>
        <v>8.0000000000000071E-2</v>
      </c>
      <c r="P259" s="61">
        <f t="shared" si="169"/>
        <v>8.0000000000000071E-2</v>
      </c>
      <c r="Q259" s="61">
        <f t="shared" si="169"/>
        <v>7.9999999999999849E-2</v>
      </c>
    </row>
    <row r="260" spans="1:17">
      <c r="A260" s="4" t="s">
        <v>43</v>
      </c>
      <c r="B260" s="8"/>
      <c r="C260" s="61"/>
      <c r="D260" s="61">
        <f t="shared" si="164"/>
        <v>0.64622641509433953</v>
      </c>
      <c r="E260" s="61">
        <f t="shared" si="164"/>
        <v>1.7220630372492836</v>
      </c>
      <c r="F260" s="61">
        <f t="shared" si="164"/>
        <v>0.22631578947368425</v>
      </c>
      <c r="G260" s="61">
        <f t="shared" si="164"/>
        <v>-0.37167381974248925</v>
      </c>
      <c r="H260" s="61">
        <f t="shared" ref="H260:Q260" si="170">IFERROR(H20/G20-1,"")</f>
        <v>-0.55184598405818064</v>
      </c>
      <c r="I260" s="61">
        <f t="shared" si="170"/>
        <v>8.073159860404111E-2</v>
      </c>
      <c r="J260" s="61">
        <f t="shared" si="170"/>
        <v>8.0676947546445721E-2</v>
      </c>
      <c r="K260" s="61">
        <f t="shared" si="170"/>
        <v>8.0626410647498759E-2</v>
      </c>
      <c r="L260" s="61">
        <f t="shared" si="170"/>
        <v>8.0579673642367622E-2</v>
      </c>
      <c r="M260" s="61">
        <f t="shared" si="170"/>
        <v>8.0536446924279748E-2</v>
      </c>
      <c r="N260" s="61">
        <f t="shared" si="170"/>
        <v>8.0496463516622319E-2</v>
      </c>
      <c r="O260" s="61">
        <f t="shared" si="170"/>
        <v>8.0459477224949616E-2</v>
      </c>
      <c r="P260" s="61">
        <f t="shared" si="170"/>
        <v>8.0425260951137334E-2</v>
      </c>
      <c r="Q260" s="61">
        <f t="shared" si="170"/>
        <v>8.0393605153919134E-2</v>
      </c>
    </row>
    <row r="261" spans="1:17">
      <c r="A261" s="4" t="s">
        <v>44</v>
      </c>
      <c r="B261" s="8"/>
      <c r="C261" s="61"/>
      <c r="D261" s="61">
        <f t="shared" si="164"/>
        <v>9.2737430167597834E-2</v>
      </c>
      <c r="E261" s="61">
        <f t="shared" si="164"/>
        <v>0.73721881390593036</v>
      </c>
      <c r="F261" s="61">
        <f t="shared" si="164"/>
        <v>0.12301353737492637</v>
      </c>
      <c r="G261" s="61">
        <f t="shared" si="164"/>
        <v>-0.18710691823899361</v>
      </c>
      <c r="H261" s="61">
        <f t="shared" ref="H261:Q261" si="171">IFERROR(H21/G21-1,"")</f>
        <v>-0.19697820332154148</v>
      </c>
      <c r="I261" s="61">
        <f t="shared" si="171"/>
        <v>8.0192695738500408E-2</v>
      </c>
      <c r="J261" s="61">
        <f t="shared" si="171"/>
        <v>8.017839015136885E-2</v>
      </c>
      <c r="K261" s="61">
        <f t="shared" si="171"/>
        <v>8.0165148787456175E-2</v>
      </c>
      <c r="L261" s="61">
        <f t="shared" si="171"/>
        <v>8.0152892164352618E-2</v>
      </c>
      <c r="M261" s="61">
        <f t="shared" si="171"/>
        <v>8.0141546780517103E-2</v>
      </c>
      <c r="N261" s="61">
        <f t="shared" si="171"/>
        <v>8.0131044658858119E-2</v>
      </c>
      <c r="O261" s="61">
        <f t="shared" si="171"/>
        <v>8.0121322926053118E-2</v>
      </c>
      <c r="P261" s="61">
        <f t="shared" si="171"/>
        <v>8.0112323424673004E-2</v>
      </c>
      <c r="Q261" s="61">
        <f t="shared" si="171"/>
        <v>8.0103992355457843E-2</v>
      </c>
    </row>
    <row r="262" spans="1:17" ht="15" thickBot="1">
      <c r="A262" s="13" t="s">
        <v>45</v>
      </c>
      <c r="B262" s="14"/>
      <c r="C262" s="108"/>
      <c r="D262" s="108">
        <f t="shared" si="164"/>
        <v>-1.8371961560203376E-2</v>
      </c>
      <c r="E262" s="108">
        <f t="shared" si="164"/>
        <v>0.25885401670025932</v>
      </c>
      <c r="F262" s="108">
        <f t="shared" si="164"/>
        <v>-1.1207685269899348E-2</v>
      </c>
      <c r="G262" s="108">
        <f t="shared" si="164"/>
        <v>0.33333333333333326</v>
      </c>
      <c r="H262" s="108">
        <f>IFERROR(H22/G22-1,"")</f>
        <v>-6.5361390485974891E-2</v>
      </c>
      <c r="I262" s="108">
        <f>IFERROR(I22/H22-1,"")</f>
        <v>8.0000000000000071E-2</v>
      </c>
      <c r="J262" s="108">
        <f t="shared" ref="J262:Q262" si="172">IFERROR(J22/I22-1,"")</f>
        <v>8.0000000000000071E-2</v>
      </c>
      <c r="K262" s="108">
        <f t="shared" si="172"/>
        <v>7.9999999999999849E-2</v>
      </c>
      <c r="L262" s="108">
        <f t="shared" si="172"/>
        <v>8.0000000000000071E-2</v>
      </c>
      <c r="M262" s="108">
        <f t="shared" si="172"/>
        <v>7.9999999999999849E-2</v>
      </c>
      <c r="N262" s="108">
        <f t="shared" si="172"/>
        <v>8.0000000000000293E-2</v>
      </c>
      <c r="O262" s="108">
        <f t="shared" si="172"/>
        <v>8.0000000000000071E-2</v>
      </c>
      <c r="P262" s="108">
        <f t="shared" si="172"/>
        <v>8.0000000000000071E-2</v>
      </c>
      <c r="Q262" s="108">
        <f t="shared" si="172"/>
        <v>7.9999999999999849E-2</v>
      </c>
    </row>
    <row r="263" spans="1:17" ht="15" thickTop="1">
      <c r="A263" s="4"/>
      <c r="B263" s="8"/>
      <c r="C263" s="61"/>
      <c r="D263" s="61" t="str">
        <f t="shared" si="164"/>
        <v/>
      </c>
      <c r="E263" s="61" t="str">
        <f t="shared" si="164"/>
        <v/>
      </c>
      <c r="F263" s="61" t="str">
        <f t="shared" si="164"/>
        <v/>
      </c>
      <c r="G263" s="61" t="str">
        <f t="shared" si="164"/>
        <v/>
      </c>
    </row>
    <row r="264" spans="1:17">
      <c r="A264" s="5" t="s">
        <v>46</v>
      </c>
      <c r="B264" s="8"/>
      <c r="C264" s="61"/>
      <c r="D264" s="61" t="str">
        <f t="shared" si="164"/>
        <v/>
      </c>
      <c r="E264" s="61" t="str">
        <f t="shared" si="164"/>
        <v/>
      </c>
      <c r="F264" s="61" t="str">
        <f t="shared" si="164"/>
        <v/>
      </c>
      <c r="G264" s="61" t="str">
        <f t="shared" si="164"/>
        <v/>
      </c>
    </row>
    <row r="265" spans="1:17">
      <c r="A265" s="4" t="s">
        <v>47</v>
      </c>
      <c r="B265" s="8"/>
      <c r="C265" s="61"/>
      <c r="D265" s="61">
        <f t="shared" si="164"/>
        <v>-0.11484593837535018</v>
      </c>
      <c r="E265" s="61">
        <f t="shared" si="164"/>
        <v>0.46835443037974667</v>
      </c>
      <c r="F265" s="61">
        <f t="shared" si="164"/>
        <v>-2.5862068965517127E-2</v>
      </c>
      <c r="G265" s="61">
        <f t="shared" si="164"/>
        <v>6.8584070796460006E-2</v>
      </c>
      <c r="H265" s="61">
        <f t="shared" ref="H265:Q265" si="173">IFERROR(H25/G25-1,"")</f>
        <v>9.181530014563255E-2</v>
      </c>
      <c r="I265" s="61">
        <f t="shared" si="173"/>
        <v>8.0000000000000293E-2</v>
      </c>
      <c r="J265" s="61">
        <f t="shared" si="173"/>
        <v>7.9999999999999849E-2</v>
      </c>
      <c r="K265" s="61">
        <f t="shared" si="173"/>
        <v>8.0000000000000293E-2</v>
      </c>
      <c r="L265" s="61">
        <f t="shared" si="173"/>
        <v>7.9999999999999849E-2</v>
      </c>
      <c r="M265" s="61">
        <f t="shared" si="173"/>
        <v>8.0000000000000293E-2</v>
      </c>
      <c r="N265" s="61">
        <f t="shared" si="173"/>
        <v>8.0000000000000293E-2</v>
      </c>
      <c r="O265" s="61">
        <f t="shared" si="173"/>
        <v>8.0000000000000071E-2</v>
      </c>
      <c r="P265" s="61">
        <f t="shared" si="173"/>
        <v>8.0000000000000293E-2</v>
      </c>
      <c r="Q265" s="61">
        <f t="shared" si="173"/>
        <v>8.0000000000000071E-2</v>
      </c>
    </row>
    <row r="266" spans="1:17">
      <c r="A266" s="4" t="s">
        <v>48</v>
      </c>
      <c r="B266" s="8"/>
      <c r="C266" s="61"/>
      <c r="D266" s="61" t="str">
        <f t="shared" si="164"/>
        <v/>
      </c>
      <c r="E266" s="61">
        <f t="shared" si="164"/>
        <v>-1</v>
      </c>
      <c r="F266" s="61" t="str">
        <f t="shared" si="164"/>
        <v/>
      </c>
      <c r="G266" s="61" t="str">
        <f t="shared" si="164"/>
        <v/>
      </c>
      <c r="H266" s="61">
        <f t="shared" ref="H266:Q266" si="174">IFERROR(H26/G26-1,"")</f>
        <v>2.0000000000000018E-2</v>
      </c>
      <c r="I266" s="61">
        <f t="shared" si="174"/>
        <v>2.0000000000000018E-2</v>
      </c>
      <c r="J266" s="61">
        <f t="shared" si="174"/>
        <v>2.0000000000000018E-2</v>
      </c>
      <c r="K266" s="61">
        <f t="shared" si="174"/>
        <v>2.0000000000000018E-2</v>
      </c>
      <c r="L266" s="61">
        <f t="shared" si="174"/>
        <v>2.0000000000000018E-2</v>
      </c>
      <c r="M266" s="61">
        <f t="shared" si="174"/>
        <v>2.0000000000000018E-2</v>
      </c>
      <c r="N266" s="61">
        <f t="shared" si="174"/>
        <v>2.0000000000000018E-2</v>
      </c>
      <c r="O266" s="61">
        <f t="shared" si="174"/>
        <v>2.0000000000000018E-2</v>
      </c>
      <c r="P266" s="61">
        <f t="shared" si="174"/>
        <v>2.0000000000000018E-2</v>
      </c>
      <c r="Q266" s="61">
        <f t="shared" si="174"/>
        <v>2.0000000000000018E-2</v>
      </c>
    </row>
    <row r="267" spans="1:17">
      <c r="A267" s="4" t="s">
        <v>49</v>
      </c>
      <c r="B267" s="8"/>
      <c r="C267" s="61"/>
      <c r="D267" s="61" t="str">
        <f t="shared" si="164"/>
        <v/>
      </c>
      <c r="E267" s="61" t="str">
        <f t="shared" si="164"/>
        <v/>
      </c>
      <c r="F267" s="61">
        <f t="shared" si="164"/>
        <v>-3.7735849056603765E-2</v>
      </c>
      <c r="G267" s="61">
        <f t="shared" si="164"/>
        <v>5.8823529411764941E-2</v>
      </c>
      <c r="H267" s="61">
        <f t="shared" ref="H267:Q267" si="175">IFERROR(H27/G27-1,"")</f>
        <v>2.0000000000000018E-2</v>
      </c>
      <c r="I267" s="61">
        <f t="shared" si="175"/>
        <v>2.0000000000000018E-2</v>
      </c>
      <c r="J267" s="61">
        <f t="shared" si="175"/>
        <v>2.0000000000000018E-2</v>
      </c>
      <c r="K267" s="61">
        <f t="shared" si="175"/>
        <v>2.0000000000000018E-2</v>
      </c>
      <c r="L267" s="61">
        <f t="shared" si="175"/>
        <v>2.0000000000000018E-2</v>
      </c>
      <c r="M267" s="61">
        <f t="shared" si="175"/>
        <v>2.0000000000000018E-2</v>
      </c>
      <c r="N267" s="61">
        <f t="shared" si="175"/>
        <v>2.0000000000000018E-2</v>
      </c>
      <c r="O267" s="61">
        <f t="shared" si="175"/>
        <v>2.0000000000000018E-2</v>
      </c>
      <c r="P267" s="61">
        <f t="shared" si="175"/>
        <v>2.0000000000000018E-2</v>
      </c>
      <c r="Q267" s="61">
        <f t="shared" si="175"/>
        <v>2.0000000000000018E-2</v>
      </c>
    </row>
    <row r="268" spans="1:17">
      <c r="A268" s="4" t="s">
        <v>50</v>
      </c>
      <c r="B268" s="8"/>
      <c r="C268" s="61"/>
      <c r="D268" s="61">
        <f t="shared" si="164"/>
        <v>-1</v>
      </c>
      <c r="E268" s="61" t="str">
        <f t="shared" si="164"/>
        <v/>
      </c>
      <c r="F268" s="61" t="str">
        <f t="shared" si="164"/>
        <v/>
      </c>
      <c r="G268" s="61">
        <f t="shared" si="164"/>
        <v>0.85000000000000009</v>
      </c>
      <c r="H268" s="61">
        <f t="shared" ref="H268:Q268" si="176">IFERROR(H28/G28-1,"")</f>
        <v>-0.34484213169780265</v>
      </c>
      <c r="I268" s="61">
        <f t="shared" si="176"/>
        <v>0.14362831983557145</v>
      </c>
      <c r="J268" s="61">
        <f t="shared" si="176"/>
        <v>0.13542640375654269</v>
      </c>
      <c r="K268" s="61">
        <f t="shared" si="176"/>
        <v>0.12862609650153889</v>
      </c>
      <c r="L268" s="61">
        <f t="shared" si="176"/>
        <v>0.12316619203060486</v>
      </c>
      <c r="M268" s="61">
        <f t="shared" si="176"/>
        <v>0.11826362985821648</v>
      </c>
      <c r="N268" s="61">
        <f t="shared" si="176"/>
        <v>0.11458688713406739</v>
      </c>
      <c r="O268" s="61">
        <f t="shared" si="176"/>
        <v>0.11086187947148018</v>
      </c>
      <c r="P268" s="61">
        <f t="shared" si="176"/>
        <v>0.107626519248744</v>
      </c>
      <c r="Q268" s="61">
        <f t="shared" si="176"/>
        <v>0.10479897934459248</v>
      </c>
    </row>
    <row r="269" spans="1:17">
      <c r="A269" s="4" t="s">
        <v>40</v>
      </c>
      <c r="B269" s="8"/>
      <c r="C269" s="61"/>
      <c r="D269" s="61" t="str">
        <f t="shared" si="164"/>
        <v/>
      </c>
      <c r="E269" s="61" t="str">
        <f t="shared" si="164"/>
        <v/>
      </c>
      <c r="F269" s="61" t="str">
        <f t="shared" si="164"/>
        <v/>
      </c>
      <c r="G269" s="61">
        <f t="shared" si="164"/>
        <v>-1</v>
      </c>
      <c r="H269" s="61" t="str">
        <f t="shared" ref="H269:Q269" si="177">IFERROR(H29/G29-1,"")</f>
        <v/>
      </c>
      <c r="I269" s="61">
        <f t="shared" si="177"/>
        <v>0.14362831983557123</v>
      </c>
      <c r="J269" s="61">
        <f t="shared" si="177"/>
        <v>0.13542640375654269</v>
      </c>
      <c r="K269" s="61">
        <f t="shared" si="177"/>
        <v>0.12862609650153889</v>
      </c>
      <c r="L269" s="61">
        <f t="shared" si="177"/>
        <v>0.12316619203060486</v>
      </c>
      <c r="M269" s="61">
        <f t="shared" si="177"/>
        <v>0.11826362985821648</v>
      </c>
      <c r="N269" s="61">
        <f t="shared" si="177"/>
        <v>0.11458688713406739</v>
      </c>
      <c r="O269" s="61">
        <f t="shared" si="177"/>
        <v>0.11086187947147996</v>
      </c>
      <c r="P269" s="61">
        <f t="shared" si="177"/>
        <v>0.107626519248744</v>
      </c>
      <c r="Q269" s="61">
        <f t="shared" si="177"/>
        <v>0.10479897934459248</v>
      </c>
    </row>
    <row r="270" spans="1:17">
      <c r="A270" s="4" t="s">
        <v>51</v>
      </c>
      <c r="B270" s="8"/>
      <c r="C270" s="61"/>
      <c r="D270" s="61" t="str">
        <f t="shared" si="164"/>
        <v/>
      </c>
      <c r="E270" s="61" t="str">
        <f t="shared" si="164"/>
        <v/>
      </c>
      <c r="F270" s="61" t="str">
        <f t="shared" si="164"/>
        <v/>
      </c>
      <c r="G270" s="61" t="str">
        <f t="shared" si="164"/>
        <v/>
      </c>
      <c r="H270" s="61">
        <f t="shared" ref="H270:Q270" si="178">IFERROR(H30/G30-1,"")</f>
        <v>-1</v>
      </c>
      <c r="I270" s="61" t="str">
        <f t="shared" si="178"/>
        <v/>
      </c>
      <c r="J270" s="61" t="str">
        <f t="shared" si="178"/>
        <v/>
      </c>
      <c r="K270" s="61" t="str">
        <f t="shared" si="178"/>
        <v/>
      </c>
      <c r="L270" s="61" t="str">
        <f t="shared" si="178"/>
        <v/>
      </c>
      <c r="M270" s="61" t="str">
        <f t="shared" si="178"/>
        <v/>
      </c>
      <c r="N270" s="61" t="str">
        <f t="shared" si="178"/>
        <v/>
      </c>
      <c r="O270" s="61" t="str">
        <f t="shared" si="178"/>
        <v/>
      </c>
      <c r="P270" s="61" t="str">
        <f t="shared" si="178"/>
        <v/>
      </c>
      <c r="Q270" s="61" t="str">
        <f t="shared" si="178"/>
        <v/>
      </c>
    </row>
    <row r="271" spans="1:17">
      <c r="A271" s="4" t="s">
        <v>52</v>
      </c>
      <c r="B271" s="8"/>
      <c r="C271" s="61"/>
      <c r="D271" s="61">
        <f t="shared" si="164"/>
        <v>3.8461538461538547E-2</v>
      </c>
      <c r="E271" s="61">
        <f t="shared" si="164"/>
        <v>-0.2592592592592593</v>
      </c>
      <c r="F271" s="61">
        <f t="shared" si="164"/>
        <v>0.19999999999999996</v>
      </c>
      <c r="G271" s="61">
        <f t="shared" si="164"/>
        <v>0.12500000000000022</v>
      </c>
      <c r="H271" s="61">
        <f t="shared" ref="H271:Q271" si="179">IFERROR(H31/G31-1,"")</f>
        <v>0.17894102002752321</v>
      </c>
      <c r="I271" s="61">
        <f t="shared" si="179"/>
        <v>0.14362831983557123</v>
      </c>
      <c r="J271" s="61">
        <f t="shared" si="179"/>
        <v>0.13542640375654269</v>
      </c>
      <c r="K271" s="61">
        <f t="shared" si="179"/>
        <v>0.12862609650153889</v>
      </c>
      <c r="L271" s="61">
        <f t="shared" si="179"/>
        <v>0.12316619203060486</v>
      </c>
      <c r="M271" s="61">
        <f t="shared" si="179"/>
        <v>0.11826362985821648</v>
      </c>
      <c r="N271" s="61">
        <f t="shared" si="179"/>
        <v>0.11458688713406739</v>
      </c>
      <c r="O271" s="61">
        <f t="shared" si="179"/>
        <v>0.11086187947148018</v>
      </c>
      <c r="P271" s="61">
        <f t="shared" si="179"/>
        <v>0.10762651924874378</v>
      </c>
      <c r="Q271" s="61">
        <f t="shared" si="179"/>
        <v>0.10479897934459248</v>
      </c>
    </row>
    <row r="272" spans="1:17">
      <c r="A272" s="4" t="s">
        <v>53</v>
      </c>
      <c r="B272" s="8"/>
      <c r="C272" s="61"/>
      <c r="D272" s="61">
        <f t="shared" si="164"/>
        <v>-1</v>
      </c>
      <c r="E272" s="61" t="str">
        <f t="shared" si="164"/>
        <v/>
      </c>
      <c r="F272" s="61" t="str">
        <f t="shared" si="164"/>
        <v/>
      </c>
      <c r="G272" s="61" t="str">
        <f t="shared" si="164"/>
        <v/>
      </c>
      <c r="H272" s="61" t="str">
        <f t="shared" ref="H272:Q272" si="180">IFERROR(H32/G32-1,"")</f>
        <v/>
      </c>
      <c r="I272" s="61" t="str">
        <f t="shared" si="180"/>
        <v/>
      </c>
      <c r="J272" s="61" t="str">
        <f t="shared" si="180"/>
        <v/>
      </c>
      <c r="K272" s="61" t="str">
        <f t="shared" si="180"/>
        <v/>
      </c>
      <c r="L272" s="61" t="str">
        <f t="shared" si="180"/>
        <v/>
      </c>
      <c r="M272" s="61" t="str">
        <f t="shared" si="180"/>
        <v/>
      </c>
      <c r="N272" s="61" t="str">
        <f t="shared" si="180"/>
        <v/>
      </c>
      <c r="O272" s="61" t="str">
        <f t="shared" si="180"/>
        <v/>
      </c>
      <c r="P272" s="61" t="str">
        <f t="shared" si="180"/>
        <v/>
      </c>
      <c r="Q272" s="61" t="str">
        <f t="shared" si="180"/>
        <v/>
      </c>
    </row>
    <row r="273" spans="1:17">
      <c r="A273" s="4" t="s">
        <v>54</v>
      </c>
      <c r="B273" s="8"/>
      <c r="C273" s="61"/>
      <c r="D273" s="61">
        <f t="shared" si="164"/>
        <v>0.18300653594771243</v>
      </c>
      <c r="E273" s="61">
        <f t="shared" si="164"/>
        <v>9.1160220994475072E-2</v>
      </c>
      <c r="F273" s="61">
        <f t="shared" si="164"/>
        <v>0.10379746835443049</v>
      </c>
      <c r="G273" s="61">
        <f t="shared" si="164"/>
        <v>0.4151376146788992</v>
      </c>
      <c r="H273" s="61">
        <f t="shared" ref="H273:Q273" si="181">IFERROR(H33/G33-1,"")</f>
        <v>-0.1070855633129032</v>
      </c>
      <c r="I273" s="61">
        <f t="shared" si="181"/>
        <v>0.14362831983557123</v>
      </c>
      <c r="J273" s="61">
        <f t="shared" si="181"/>
        <v>0.13542640375654269</v>
      </c>
      <c r="K273" s="61">
        <f t="shared" si="181"/>
        <v>0.12862609650153889</v>
      </c>
      <c r="L273" s="61">
        <f t="shared" si="181"/>
        <v>0.12316619203060486</v>
      </c>
      <c r="M273" s="61">
        <f t="shared" si="181"/>
        <v>0.11826362985821648</v>
      </c>
      <c r="N273" s="61">
        <f t="shared" si="181"/>
        <v>0.11458688713406762</v>
      </c>
      <c r="O273" s="61">
        <f t="shared" si="181"/>
        <v>0.11086187947148018</v>
      </c>
      <c r="P273" s="61">
        <f t="shared" si="181"/>
        <v>0.10762651924874378</v>
      </c>
      <c r="Q273" s="61">
        <f t="shared" si="181"/>
        <v>0.10479897934459248</v>
      </c>
    </row>
    <row r="274" spans="1:17">
      <c r="A274" s="19" t="s">
        <v>55</v>
      </c>
      <c r="B274" s="20"/>
      <c r="C274" s="106"/>
      <c r="D274" s="106">
        <f t="shared" si="164"/>
        <v>-8.0389768574908538E-2</v>
      </c>
      <c r="E274" s="106">
        <f t="shared" si="164"/>
        <v>0.23443708609271519</v>
      </c>
      <c r="F274" s="106">
        <f t="shared" si="164"/>
        <v>8.476394849785418E-2</v>
      </c>
      <c r="G274" s="106">
        <f t="shared" si="164"/>
        <v>0.44312561819980267</v>
      </c>
      <c r="H274" s="106">
        <f t="shared" ref="H274:Q274" si="182">IFERROR(H34/G34-1,"")</f>
        <v>-3.2102558982391893E-2</v>
      </c>
      <c r="I274" s="106">
        <f t="shared" si="182"/>
        <v>9.8525643585698042E-2</v>
      </c>
      <c r="J274" s="106">
        <f t="shared" si="182"/>
        <v>9.6575887523174808E-2</v>
      </c>
      <c r="K274" s="106">
        <f t="shared" si="182"/>
        <v>9.4847958547976452E-2</v>
      </c>
      <c r="L274" s="106">
        <f t="shared" si="182"/>
        <v>9.3439541099763934E-2</v>
      </c>
      <c r="M274" s="106">
        <f t="shared" si="182"/>
        <v>9.205108359275882E-2</v>
      </c>
      <c r="N274" s="106">
        <f t="shared" si="182"/>
        <v>9.1089140591620543E-2</v>
      </c>
      <c r="O274" s="106">
        <f t="shared" si="182"/>
        <v>8.9938532198268195E-2</v>
      </c>
      <c r="P274" s="106">
        <f t="shared" si="182"/>
        <v>8.8908024872495162E-2</v>
      </c>
      <c r="Q274" s="106">
        <f t="shared" si="182"/>
        <v>8.7983601655657662E-2</v>
      </c>
    </row>
    <row r="275" spans="1:17">
      <c r="A275" s="4"/>
      <c r="B275" s="8"/>
      <c r="C275" s="61"/>
      <c r="D275" s="61" t="str">
        <f t="shared" si="164"/>
        <v/>
      </c>
      <c r="E275" s="61" t="str">
        <f t="shared" si="164"/>
        <v/>
      </c>
      <c r="F275" s="61" t="str">
        <f t="shared" si="164"/>
        <v/>
      </c>
      <c r="G275" s="61" t="str">
        <f t="shared" si="164"/>
        <v/>
      </c>
    </row>
    <row r="276" spans="1:17">
      <c r="A276" s="5" t="s">
        <v>56</v>
      </c>
      <c r="B276" s="8"/>
      <c r="C276" s="61"/>
      <c r="D276" s="61" t="str">
        <f t="shared" si="164"/>
        <v/>
      </c>
      <c r="E276" s="61" t="str">
        <f t="shared" si="164"/>
        <v/>
      </c>
      <c r="F276" s="61" t="str">
        <f t="shared" si="164"/>
        <v/>
      </c>
      <c r="G276" s="61" t="str">
        <f t="shared" si="164"/>
        <v/>
      </c>
    </row>
    <row r="277" spans="1:17">
      <c r="A277" s="4" t="s">
        <v>48</v>
      </c>
      <c r="B277" s="8"/>
      <c r="C277" s="61"/>
      <c r="D277" s="61">
        <f t="shared" si="164"/>
        <v>2.2448979591836782E-2</v>
      </c>
      <c r="E277" s="61">
        <f t="shared" si="164"/>
        <v>0.98003992015968056</v>
      </c>
      <c r="F277" s="61">
        <f t="shared" si="164"/>
        <v>-0.66532258064516125</v>
      </c>
      <c r="G277" s="61">
        <f t="shared" si="164"/>
        <v>2.225903614457831</v>
      </c>
      <c r="H277" s="61">
        <f t="shared" ref="H277:Q277" si="183">IFERROR(H37/G37-1,"")</f>
        <v>2.0000000000000018E-2</v>
      </c>
      <c r="I277" s="61">
        <f t="shared" si="183"/>
        <v>2.0000000000000018E-2</v>
      </c>
      <c r="J277" s="61">
        <f t="shared" si="183"/>
        <v>2.0000000000000018E-2</v>
      </c>
      <c r="K277" s="61">
        <f t="shared" si="183"/>
        <v>2.0000000000000018E-2</v>
      </c>
      <c r="L277" s="61">
        <f t="shared" si="183"/>
        <v>2.0000000000000018E-2</v>
      </c>
      <c r="M277" s="61">
        <f t="shared" si="183"/>
        <v>2.0000000000000018E-2</v>
      </c>
      <c r="N277" s="61">
        <f t="shared" si="183"/>
        <v>2.0000000000000018E-2</v>
      </c>
      <c r="O277" s="61">
        <f t="shared" si="183"/>
        <v>2.0000000000000018E-2</v>
      </c>
      <c r="P277" s="61">
        <f t="shared" si="183"/>
        <v>2.0000000000000018E-2</v>
      </c>
      <c r="Q277" s="61">
        <f t="shared" si="183"/>
        <v>2.0000000000000018E-2</v>
      </c>
    </row>
    <row r="278" spans="1:17">
      <c r="A278" s="4" t="s">
        <v>49</v>
      </c>
      <c r="B278" s="8"/>
      <c r="C278" s="61"/>
      <c r="D278" s="61" t="str">
        <f t="shared" si="164"/>
        <v/>
      </c>
      <c r="E278" s="61" t="str">
        <f t="shared" si="164"/>
        <v/>
      </c>
      <c r="F278" s="61">
        <f t="shared" si="164"/>
        <v>-0.10942249240121571</v>
      </c>
      <c r="G278" s="61">
        <f t="shared" si="164"/>
        <v>-7.1672354948805528E-2</v>
      </c>
      <c r="H278" s="61">
        <f t="shared" ref="H278:Q278" si="184">IFERROR(H38/G38-1,"")</f>
        <v>2.0000000000000018E-2</v>
      </c>
      <c r="I278" s="61">
        <f t="shared" si="184"/>
        <v>2.0000000000000018E-2</v>
      </c>
      <c r="J278" s="61">
        <f t="shared" si="184"/>
        <v>2.0000000000000018E-2</v>
      </c>
      <c r="K278" s="61">
        <f t="shared" si="184"/>
        <v>2.0000000000000018E-2</v>
      </c>
      <c r="L278" s="61">
        <f t="shared" si="184"/>
        <v>2.0000000000000018E-2</v>
      </c>
      <c r="M278" s="61">
        <f t="shared" si="184"/>
        <v>2.0000000000000018E-2</v>
      </c>
      <c r="N278" s="61">
        <f t="shared" si="184"/>
        <v>2.0000000000000018E-2</v>
      </c>
      <c r="O278" s="61">
        <f t="shared" si="184"/>
        <v>2.0000000000000018E-2</v>
      </c>
      <c r="P278" s="61">
        <f t="shared" si="184"/>
        <v>2.0000000000000018E-2</v>
      </c>
      <c r="Q278" s="61">
        <f t="shared" si="184"/>
        <v>2.0000000000000018E-2</v>
      </c>
    </row>
    <row r="279" spans="1:17">
      <c r="A279" s="4" t="s">
        <v>57</v>
      </c>
      <c r="B279" s="8"/>
      <c r="C279" s="61"/>
      <c r="D279" s="61">
        <f t="shared" si="164"/>
        <v>-0.44897959183673475</v>
      </c>
      <c r="E279" s="61">
        <f t="shared" si="164"/>
        <v>-0.46296296296296302</v>
      </c>
      <c r="F279" s="61">
        <f t="shared" si="164"/>
        <v>-0.5862068965517242</v>
      </c>
      <c r="G279" s="61">
        <f t="shared" si="164"/>
        <v>0.33333333333333348</v>
      </c>
      <c r="H279" s="61">
        <f t="shared" ref="H279:Q279" si="185">IFERROR(H39/G39-1,"")</f>
        <v>1.2955341976497445</v>
      </c>
      <c r="I279" s="61">
        <f t="shared" si="185"/>
        <v>0.14362831983557145</v>
      </c>
      <c r="J279" s="61">
        <f t="shared" si="185"/>
        <v>0.13542640375654247</v>
      </c>
      <c r="K279" s="61">
        <f t="shared" si="185"/>
        <v>0.12862609650153889</v>
      </c>
      <c r="L279" s="61">
        <f t="shared" si="185"/>
        <v>0.12316619203060464</v>
      </c>
      <c r="M279" s="61">
        <f t="shared" si="185"/>
        <v>0.11826362985821648</v>
      </c>
      <c r="N279" s="61">
        <f t="shared" si="185"/>
        <v>0.11458688713406739</v>
      </c>
      <c r="O279" s="61">
        <f t="shared" si="185"/>
        <v>0.11086187947148018</v>
      </c>
      <c r="P279" s="61">
        <f t="shared" si="185"/>
        <v>0.107626519248744</v>
      </c>
      <c r="Q279" s="61">
        <f t="shared" si="185"/>
        <v>0.10479897934459248</v>
      </c>
    </row>
    <row r="280" spans="1:17">
      <c r="A280" s="4" t="s">
        <v>52</v>
      </c>
      <c r="B280" s="8"/>
      <c r="C280" s="61"/>
      <c r="D280" s="61">
        <f t="shared" si="164"/>
        <v>-0.12698412698412698</v>
      </c>
      <c r="E280" s="61">
        <f t="shared" si="164"/>
        <v>-0.69090909090909092</v>
      </c>
      <c r="F280" s="61">
        <f t="shared" si="164"/>
        <v>-0.64705882352941169</v>
      </c>
      <c r="G280" s="61">
        <f t="shared" si="164"/>
        <v>0.33333333333333348</v>
      </c>
      <c r="H280" s="61">
        <f t="shared" ref="H280:Q280" si="186">IFERROR(H40/G40-1,"")</f>
        <v>-48.496922752999652</v>
      </c>
      <c r="I280" s="61">
        <f t="shared" si="186"/>
        <v>-0.46968981407776689</v>
      </c>
      <c r="J280" s="61">
        <f t="shared" si="186"/>
        <v>-0.96404631035235189</v>
      </c>
      <c r="K280" s="61">
        <f t="shared" si="186"/>
        <v>-29.171482384330904</v>
      </c>
      <c r="L280" s="61">
        <f t="shared" si="186"/>
        <v>1.1292425516766689</v>
      </c>
      <c r="M280" s="61">
        <f t="shared" si="186"/>
        <v>0.57637885838747138</v>
      </c>
      <c r="N280" s="61">
        <f t="shared" si="186"/>
        <v>0.39969529834869943</v>
      </c>
      <c r="O280" s="61">
        <f t="shared" si="186"/>
        <v>0.30999540655189906</v>
      </c>
      <c r="P280" s="61">
        <f t="shared" si="186"/>
        <v>0.25680913610770917</v>
      </c>
      <c r="Q280" s="61">
        <f t="shared" si="186"/>
        <v>0.22168693479016555</v>
      </c>
    </row>
    <row r="281" spans="1:17">
      <c r="A281" s="4" t="s">
        <v>54</v>
      </c>
      <c r="B281" s="8"/>
      <c r="C281" s="61"/>
      <c r="D281" s="61" t="str">
        <f t="shared" si="164"/>
        <v/>
      </c>
      <c r="E281" s="61" t="str">
        <f t="shared" si="164"/>
        <v/>
      </c>
      <c r="F281" s="61">
        <f t="shared" si="164"/>
        <v>-0.5</v>
      </c>
      <c r="G281" s="61">
        <f t="shared" si="164"/>
        <v>-0.14285714285714279</v>
      </c>
      <c r="H281" s="61">
        <f t="shared" ref="H281:Q281" si="187">IFERROR(H41/G41-1,"")</f>
        <v>0.63237987388426298</v>
      </c>
      <c r="I281" s="61">
        <f t="shared" si="187"/>
        <v>0.14362831983557123</v>
      </c>
      <c r="J281" s="61">
        <f t="shared" si="187"/>
        <v>0.13542640375654269</v>
      </c>
      <c r="K281" s="61">
        <f t="shared" si="187"/>
        <v>0.12862609650153889</v>
      </c>
      <c r="L281" s="61">
        <f t="shared" si="187"/>
        <v>0.12316619203060486</v>
      </c>
      <c r="M281" s="61">
        <f t="shared" si="187"/>
        <v>0.11826362985821648</v>
      </c>
      <c r="N281" s="61">
        <f t="shared" si="187"/>
        <v>0.11458688713406739</v>
      </c>
      <c r="O281" s="61">
        <f t="shared" si="187"/>
        <v>0.11086187947147996</v>
      </c>
      <c r="P281" s="61">
        <f t="shared" si="187"/>
        <v>0.107626519248744</v>
      </c>
      <c r="Q281" s="61">
        <f t="shared" si="187"/>
        <v>0.10479897934459248</v>
      </c>
    </row>
    <row r="282" spans="1:17">
      <c r="A282" s="4" t="s">
        <v>58</v>
      </c>
      <c r="B282" s="8"/>
      <c r="C282" s="61"/>
      <c r="D282" s="61">
        <f t="shared" si="164"/>
        <v>-6.2980030721966118E-2</v>
      </c>
      <c r="E282" s="61">
        <f t="shared" si="164"/>
        <v>1.263934426229508</v>
      </c>
      <c r="F282" s="61">
        <f t="shared" si="164"/>
        <v>-0.52932657494569146</v>
      </c>
      <c r="G282" s="61">
        <f t="shared" si="164"/>
        <v>1.112307692307692</v>
      </c>
      <c r="H282" s="61">
        <f t="shared" ref="H282:Q282" si="188">IFERROR(H42/G42-1,"")</f>
        <v>-0.24515116942337645</v>
      </c>
      <c r="I282" s="61">
        <f t="shared" si="188"/>
        <v>0.2050832064935959</v>
      </c>
      <c r="J282" s="61">
        <f t="shared" si="188"/>
        <v>0.18368159806274309</v>
      </c>
      <c r="K282" s="61">
        <f t="shared" si="188"/>
        <v>0.16749361159368892</v>
      </c>
      <c r="L282" s="61">
        <f t="shared" si="188"/>
        <v>0.15524338481718902</v>
      </c>
      <c r="M282" s="61">
        <f t="shared" si="188"/>
        <v>0.14503563288449373</v>
      </c>
      <c r="N282" s="61">
        <f t="shared" si="188"/>
        <v>0.13747562379985689</v>
      </c>
      <c r="O282" s="61">
        <f t="shared" si="188"/>
        <v>0.1304117959258746</v>
      </c>
      <c r="P282" s="61">
        <f t="shared" si="188"/>
        <v>0.12449010717501352</v>
      </c>
      <c r="Q282" s="61">
        <f t="shared" si="188"/>
        <v>0.11946868006745559</v>
      </c>
    </row>
    <row r="283" spans="1:17" ht="15" thickBot="1">
      <c r="A283" s="13" t="s">
        <v>59</v>
      </c>
      <c r="B283" s="14"/>
      <c r="C283" s="108"/>
      <c r="D283" s="108">
        <f t="shared" si="164"/>
        <v>-7.2690217391304324E-2</v>
      </c>
      <c r="E283" s="108">
        <f t="shared" si="164"/>
        <v>0.69450549450549448</v>
      </c>
      <c r="F283" s="108">
        <f t="shared" si="164"/>
        <v>-0.28188499783830523</v>
      </c>
      <c r="G283" s="108">
        <f t="shared" si="164"/>
        <v>0.70499698976520198</v>
      </c>
      <c r="H283" s="108">
        <f t="shared" ref="H283:Q283" si="189">IFERROR(H43/G43-1,"")</f>
        <v>-0.13539201595113204</v>
      </c>
      <c r="I283" s="108">
        <f t="shared" si="189"/>
        <v>0.14362831983557145</v>
      </c>
      <c r="J283" s="108">
        <f t="shared" si="189"/>
        <v>0.13542640375654269</v>
      </c>
      <c r="K283" s="108">
        <f t="shared" si="189"/>
        <v>0.12862609650153889</v>
      </c>
      <c r="L283" s="108">
        <f t="shared" si="189"/>
        <v>0.12316619203060486</v>
      </c>
      <c r="M283" s="108">
        <f t="shared" si="189"/>
        <v>0.11826362985821648</v>
      </c>
      <c r="N283" s="108">
        <f t="shared" si="189"/>
        <v>0.11458688713406739</v>
      </c>
      <c r="O283" s="108">
        <f t="shared" si="189"/>
        <v>0.11086187947148018</v>
      </c>
      <c r="P283" s="108">
        <f t="shared" si="189"/>
        <v>0.107626519248744</v>
      </c>
      <c r="Q283" s="108">
        <f t="shared" si="189"/>
        <v>0.10479897934459248</v>
      </c>
    </row>
    <row r="284" spans="1:17" ht="15" thickTop="1">
      <c r="A284" s="4"/>
      <c r="B284" s="8"/>
      <c r="C284" s="61"/>
      <c r="D284" s="61"/>
      <c r="E284" s="61" t="str">
        <f>IFERROR(E44/D44-1,"")</f>
        <v/>
      </c>
      <c r="F284" s="61" t="str">
        <f>IFERROR(F44/E44-1,"")</f>
        <v/>
      </c>
      <c r="G284" s="61" t="str">
        <f>IFERROR(G44/F44-1,"")</f>
        <v/>
      </c>
    </row>
    <row r="285" spans="1:17">
      <c r="A285" s="23" t="s">
        <v>60</v>
      </c>
      <c r="B285" s="24"/>
      <c r="C285" s="164"/>
      <c r="D285" s="164" t="str">
        <f>IFERROR(D46/#REF!-1,"")</f>
        <v/>
      </c>
      <c r="E285" s="164">
        <f t="shared" ref="E285:Q285" si="190">IFERROR(E46/D46-1,"")</f>
        <v>-2.3244781783680946E-2</v>
      </c>
      <c r="F285" s="164">
        <f t="shared" si="190"/>
        <v>0.2928606119475472</v>
      </c>
      <c r="G285" s="164">
        <f t="shared" si="190"/>
        <v>0.10142749812171292</v>
      </c>
      <c r="H285" s="164">
        <f t="shared" si="190"/>
        <v>2.2807416140677716E-3</v>
      </c>
      <c r="I285" s="164">
        <f t="shared" si="190"/>
        <v>2.6983678106265785E-2</v>
      </c>
      <c r="J285" s="164">
        <f t="shared" si="190"/>
        <v>2.8572288370740218E-2</v>
      </c>
      <c r="K285" s="164">
        <f t="shared" si="190"/>
        <v>3.019487018348932E-2</v>
      </c>
      <c r="L285" s="164">
        <f t="shared" si="190"/>
        <v>3.1562790837479815E-2</v>
      </c>
      <c r="M285" s="164">
        <f t="shared" si="190"/>
        <v>3.3251261667300636E-2</v>
      </c>
      <c r="N285" s="164">
        <f t="shared" si="190"/>
        <v>3.4266603085554959E-2</v>
      </c>
      <c r="O285" s="164">
        <f t="shared" si="190"/>
        <v>3.6022981466724113E-2</v>
      </c>
      <c r="P285" s="164">
        <f t="shared" si="190"/>
        <v>3.778952333346508E-2</v>
      </c>
      <c r="Q285" s="164">
        <f t="shared" si="190"/>
        <v>3.9559924635518939E-2</v>
      </c>
    </row>
    <row r="286" spans="1:17">
      <c r="A286" s="4"/>
      <c r="B286" s="8"/>
      <c r="C286" s="61"/>
      <c r="D286" s="61" t="str">
        <f t="shared" ref="D286:G295" si="191">IFERROR(D47/C47-1,"")</f>
        <v/>
      </c>
      <c r="E286" s="61" t="str">
        <f t="shared" si="191"/>
        <v/>
      </c>
      <c r="F286" s="61" t="str">
        <f t="shared" si="191"/>
        <v/>
      </c>
      <c r="G286" s="61" t="str">
        <f t="shared" si="191"/>
        <v/>
      </c>
    </row>
    <row r="287" spans="1:17">
      <c r="A287" s="5" t="s">
        <v>61</v>
      </c>
      <c r="B287" s="8"/>
      <c r="C287" s="61"/>
      <c r="D287" s="61" t="str">
        <f t="shared" si="191"/>
        <v/>
      </c>
      <c r="E287" s="61" t="str">
        <f t="shared" si="191"/>
        <v/>
      </c>
      <c r="F287" s="61" t="str">
        <f t="shared" si="191"/>
        <v/>
      </c>
      <c r="G287" s="61" t="str">
        <f t="shared" si="191"/>
        <v/>
      </c>
    </row>
    <row r="288" spans="1:17">
      <c r="A288" s="4" t="s">
        <v>62</v>
      </c>
      <c r="B288" s="8"/>
      <c r="C288" s="61"/>
      <c r="D288" s="61">
        <f t="shared" si="191"/>
        <v>0</v>
      </c>
      <c r="E288" s="61">
        <f t="shared" si="191"/>
        <v>0</v>
      </c>
      <c r="F288" s="61">
        <f t="shared" si="191"/>
        <v>0.10714285714285721</v>
      </c>
      <c r="G288" s="61">
        <f t="shared" si="191"/>
        <v>0</v>
      </c>
      <c r="H288" s="61">
        <f t="shared" ref="H288:Q288" si="192">IFERROR(H49/G49-1,"")</f>
        <v>0</v>
      </c>
      <c r="I288" s="61">
        <f t="shared" si="192"/>
        <v>0</v>
      </c>
      <c r="J288" s="61">
        <f t="shared" si="192"/>
        <v>0</v>
      </c>
      <c r="K288" s="61">
        <f t="shared" si="192"/>
        <v>0</v>
      </c>
      <c r="L288" s="61">
        <f t="shared" si="192"/>
        <v>0</v>
      </c>
      <c r="M288" s="61">
        <f t="shared" si="192"/>
        <v>0</v>
      </c>
      <c r="N288" s="61">
        <f t="shared" si="192"/>
        <v>0</v>
      </c>
      <c r="O288" s="61">
        <f t="shared" si="192"/>
        <v>0</v>
      </c>
      <c r="P288" s="61">
        <f t="shared" si="192"/>
        <v>0</v>
      </c>
      <c r="Q288" s="61">
        <f t="shared" si="192"/>
        <v>0</v>
      </c>
    </row>
    <row r="289" spans="1:17">
      <c r="A289" s="4" t="s">
        <v>63</v>
      </c>
      <c r="B289" s="8"/>
      <c r="C289" s="61"/>
      <c r="D289" s="61">
        <f t="shared" si="191"/>
        <v>2.0066889632108786E-3</v>
      </c>
      <c r="E289" s="61">
        <f t="shared" si="191"/>
        <v>7.3431241655539381E-3</v>
      </c>
      <c r="F289" s="61">
        <f t="shared" si="191"/>
        <v>0.47912524850894611</v>
      </c>
      <c r="G289" s="61">
        <f t="shared" si="191"/>
        <v>3.5842293906811484E-3</v>
      </c>
      <c r="H289" s="61">
        <f t="shared" ref="H289:Q289" si="193">IFERROR(H50/G50-1,"")</f>
        <v>0</v>
      </c>
      <c r="I289" s="61">
        <f t="shared" si="193"/>
        <v>0</v>
      </c>
      <c r="J289" s="61">
        <f t="shared" si="193"/>
        <v>0</v>
      </c>
      <c r="K289" s="61">
        <f t="shared" si="193"/>
        <v>0</v>
      </c>
      <c r="L289" s="61">
        <f t="shared" si="193"/>
        <v>0</v>
      </c>
      <c r="M289" s="61">
        <f t="shared" si="193"/>
        <v>0</v>
      </c>
      <c r="N289" s="61">
        <f t="shared" si="193"/>
        <v>0</v>
      </c>
      <c r="O289" s="61">
        <f t="shared" si="193"/>
        <v>0</v>
      </c>
      <c r="P289" s="61">
        <f t="shared" si="193"/>
        <v>0</v>
      </c>
      <c r="Q289" s="61">
        <f t="shared" si="193"/>
        <v>0</v>
      </c>
    </row>
    <row r="290" spans="1:17">
      <c r="A290" s="4" t="s">
        <v>64</v>
      </c>
      <c r="B290" s="8"/>
      <c r="C290" s="61"/>
      <c r="D290" s="61" t="str">
        <f t="shared" si="191"/>
        <v/>
      </c>
      <c r="E290" s="61" t="str">
        <f t="shared" si="191"/>
        <v/>
      </c>
      <c r="F290" s="61" t="str">
        <f t="shared" si="191"/>
        <v/>
      </c>
      <c r="G290" s="61">
        <f t="shared" si="191"/>
        <v>-1</v>
      </c>
      <c r="H290" s="61" t="str">
        <f t="shared" ref="H290:Q290" si="194">IFERROR(H51/G51-1,"")</f>
        <v/>
      </c>
      <c r="I290" s="61" t="str">
        <f t="shared" si="194"/>
        <v/>
      </c>
      <c r="J290" s="61" t="str">
        <f t="shared" si="194"/>
        <v/>
      </c>
      <c r="K290" s="61" t="str">
        <f t="shared" si="194"/>
        <v/>
      </c>
      <c r="L290" s="61" t="str">
        <f t="shared" si="194"/>
        <v/>
      </c>
      <c r="M290" s="61" t="str">
        <f t="shared" si="194"/>
        <v/>
      </c>
      <c r="N290" s="61" t="str">
        <f t="shared" si="194"/>
        <v/>
      </c>
      <c r="O290" s="61" t="str">
        <f t="shared" si="194"/>
        <v/>
      </c>
      <c r="P290" s="61" t="str">
        <f t="shared" si="194"/>
        <v/>
      </c>
      <c r="Q290" s="61" t="str">
        <f t="shared" si="194"/>
        <v/>
      </c>
    </row>
    <row r="291" spans="1:17">
      <c r="A291" s="4" t="s">
        <v>65</v>
      </c>
      <c r="B291" s="8"/>
      <c r="C291" s="61"/>
      <c r="D291" s="61">
        <f t="shared" si="191"/>
        <v>0</v>
      </c>
      <c r="E291" s="61">
        <f t="shared" si="191"/>
        <v>0</v>
      </c>
      <c r="F291" s="61">
        <f t="shared" si="191"/>
        <v>0</v>
      </c>
      <c r="G291" s="61">
        <f t="shared" si="191"/>
        <v>0</v>
      </c>
      <c r="H291" s="61">
        <f t="shared" ref="H291:Q291" si="195">IFERROR(H52/G52-1,"")</f>
        <v>0</v>
      </c>
      <c r="I291" s="61">
        <f t="shared" si="195"/>
        <v>0</v>
      </c>
      <c r="J291" s="61">
        <f t="shared" si="195"/>
        <v>0</v>
      </c>
      <c r="K291" s="61">
        <f t="shared" si="195"/>
        <v>0</v>
      </c>
      <c r="L291" s="61">
        <f t="shared" si="195"/>
        <v>0</v>
      </c>
      <c r="M291" s="61">
        <f t="shared" si="195"/>
        <v>0</v>
      </c>
      <c r="N291" s="61">
        <f t="shared" si="195"/>
        <v>0</v>
      </c>
      <c r="O291" s="61">
        <f t="shared" si="195"/>
        <v>0</v>
      </c>
      <c r="P291" s="61">
        <f t="shared" si="195"/>
        <v>0</v>
      </c>
      <c r="Q291" s="61">
        <f t="shared" si="195"/>
        <v>0</v>
      </c>
    </row>
    <row r="292" spans="1:17">
      <c r="A292" s="4" t="s">
        <v>66</v>
      </c>
      <c r="B292" s="8"/>
      <c r="C292" s="61"/>
      <c r="D292" s="61">
        <f t="shared" si="191"/>
        <v>5.6818181818181879E-2</v>
      </c>
      <c r="E292" s="61">
        <f t="shared" si="191"/>
        <v>0.14336917562724016</v>
      </c>
      <c r="F292" s="61">
        <f t="shared" si="191"/>
        <v>-0.36363636363636354</v>
      </c>
      <c r="G292" s="61">
        <f t="shared" si="191"/>
        <v>0.72906403940886699</v>
      </c>
      <c r="H292" s="61">
        <f t="shared" ref="H292:Q292" si="196">IFERROR(H53/G53-1,"")</f>
        <v>-0.19316239316239314</v>
      </c>
      <c r="I292" s="61">
        <f t="shared" si="196"/>
        <v>0</v>
      </c>
      <c r="J292" s="61">
        <f t="shared" si="196"/>
        <v>0</v>
      </c>
      <c r="K292" s="61">
        <f t="shared" si="196"/>
        <v>0</v>
      </c>
      <c r="L292" s="61">
        <f t="shared" si="196"/>
        <v>0</v>
      </c>
      <c r="M292" s="61">
        <f t="shared" si="196"/>
        <v>0</v>
      </c>
      <c r="N292" s="61">
        <f t="shared" si="196"/>
        <v>0</v>
      </c>
      <c r="O292" s="61">
        <f t="shared" si="196"/>
        <v>0</v>
      </c>
      <c r="P292" s="61">
        <f t="shared" si="196"/>
        <v>0</v>
      </c>
      <c r="Q292" s="61">
        <f t="shared" si="196"/>
        <v>0</v>
      </c>
    </row>
    <row r="293" spans="1:17">
      <c r="A293" s="4" t="s">
        <v>67</v>
      </c>
      <c r="B293" s="8"/>
      <c r="C293" s="61"/>
      <c r="D293" s="61">
        <f t="shared" si="191"/>
        <v>-0.16666666666666674</v>
      </c>
      <c r="E293" s="61">
        <f t="shared" si="191"/>
        <v>0.83333333333333326</v>
      </c>
      <c r="F293" s="61">
        <f t="shared" si="191"/>
        <v>-4.5454545454546302E-3</v>
      </c>
      <c r="G293" s="61">
        <f t="shared" si="191"/>
        <v>-0.48401826484018262</v>
      </c>
      <c r="H293" s="61">
        <f t="shared" ref="H293:Q293" si="197">IFERROR(H54/G54-1,"")</f>
        <v>-0.65917818064112677</v>
      </c>
      <c r="I293" s="61">
        <f t="shared" si="197"/>
        <v>-2.0589635821759984</v>
      </c>
      <c r="J293" s="61">
        <f t="shared" si="197"/>
        <v>2.1143411331972333</v>
      </c>
      <c r="K293" s="61">
        <f t="shared" si="197"/>
        <v>0.73795832860499</v>
      </c>
      <c r="L293" s="61">
        <f t="shared" si="197"/>
        <v>0.45725039889505892</v>
      </c>
      <c r="M293" s="61">
        <f t="shared" si="197"/>
        <v>0.34099523466470893</v>
      </c>
      <c r="N293" s="61">
        <f t="shared" si="197"/>
        <v>0.27076339137533978</v>
      </c>
      <c r="O293" s="61">
        <f t="shared" si="197"/>
        <v>0.23166816140341706</v>
      </c>
      <c r="P293" s="61">
        <f t="shared" si="197"/>
        <v>0.20442489593635194</v>
      </c>
      <c r="Q293" s="61">
        <f t="shared" si="197"/>
        <v>0.18439425463381376</v>
      </c>
    </row>
    <row r="294" spans="1:17">
      <c r="A294" s="19" t="s">
        <v>68</v>
      </c>
      <c r="B294" s="20"/>
      <c r="C294" s="106"/>
      <c r="D294" s="106">
        <f t="shared" si="191"/>
        <v>2.0329138431752325E-2</v>
      </c>
      <c r="E294" s="106">
        <f t="shared" si="191"/>
        <v>-2.324478178368139E-2</v>
      </c>
      <c r="F294" s="106">
        <f t="shared" si="191"/>
        <v>0.2928606119475472</v>
      </c>
      <c r="G294" s="106">
        <f t="shared" si="191"/>
        <v>0.10142749812171292</v>
      </c>
      <c r="H294" s="106">
        <f t="shared" ref="H294:Q294" si="198">IFERROR(H55/G55-1,"")</f>
        <v>2.2807416140679937E-3</v>
      </c>
      <c r="I294" s="106">
        <f t="shared" si="198"/>
        <v>2.6983678106265785E-2</v>
      </c>
      <c r="J294" s="106">
        <f t="shared" si="198"/>
        <v>2.8572288370740218E-2</v>
      </c>
      <c r="K294" s="106">
        <f t="shared" si="198"/>
        <v>3.019487018348932E-2</v>
      </c>
      <c r="L294" s="106">
        <f t="shared" si="198"/>
        <v>3.1562790837479815E-2</v>
      </c>
      <c r="M294" s="106">
        <f t="shared" si="198"/>
        <v>3.3251261667300636E-2</v>
      </c>
      <c r="N294" s="106">
        <f t="shared" si="198"/>
        <v>3.4266603085554959E-2</v>
      </c>
      <c r="O294" s="106">
        <f t="shared" si="198"/>
        <v>3.6022981466724113E-2</v>
      </c>
      <c r="P294" s="106">
        <f t="shared" si="198"/>
        <v>3.778952333346508E-2</v>
      </c>
      <c r="Q294" s="106">
        <f t="shared" si="198"/>
        <v>3.9559924635518939E-2</v>
      </c>
    </row>
    <row r="295" spans="1:17" ht="15" thickBot="1">
      <c r="A295" s="25" t="s">
        <v>69</v>
      </c>
      <c r="B295" s="26"/>
      <c r="C295" s="109"/>
      <c r="D295" s="109">
        <f t="shared" si="191"/>
        <v>-1.8371961560203376E-2</v>
      </c>
      <c r="E295" s="109">
        <f t="shared" si="191"/>
        <v>0.25885401670025887</v>
      </c>
      <c r="F295" s="109">
        <f t="shared" si="191"/>
        <v>-1.1207685269899459E-2</v>
      </c>
      <c r="G295" s="109">
        <f t="shared" si="191"/>
        <v>0.3333333333333337</v>
      </c>
      <c r="H295" s="109">
        <f t="shared" ref="H295:Q295" si="199">IFERROR(H56/G56-1,"")</f>
        <v>-6.5361390485974891E-2</v>
      </c>
      <c r="I295" s="109">
        <f t="shared" si="199"/>
        <v>8.0000000000000071E-2</v>
      </c>
      <c r="J295" s="109">
        <f t="shared" si="199"/>
        <v>8.0000000000000071E-2</v>
      </c>
      <c r="K295" s="109">
        <f t="shared" si="199"/>
        <v>7.9999999999999849E-2</v>
      </c>
      <c r="L295" s="109">
        <f t="shared" si="199"/>
        <v>8.0000000000000071E-2</v>
      </c>
      <c r="M295" s="109">
        <f t="shared" si="199"/>
        <v>7.9999999999999849E-2</v>
      </c>
      <c r="N295" s="109">
        <f t="shared" si="199"/>
        <v>8.0000000000000293E-2</v>
      </c>
      <c r="O295" s="109">
        <f t="shared" si="199"/>
        <v>8.0000000000000071E-2</v>
      </c>
      <c r="P295" s="109">
        <f t="shared" si="199"/>
        <v>8.0000000000000071E-2</v>
      </c>
      <c r="Q295" s="109">
        <f t="shared" si="199"/>
        <v>7.9999999999999849E-2</v>
      </c>
    </row>
    <row r="296" spans="1:17">
      <c r="A296" s="4"/>
      <c r="B296" s="4"/>
      <c r="C296" s="69"/>
      <c r="D296" s="69"/>
      <c r="E296" s="69"/>
      <c r="F296" s="69"/>
      <c r="G296" s="69"/>
    </row>
  </sheetData>
  <pageMargins left="0.7" right="0.7" top="0.75" bottom="0.75" header="0.3" footer="0.3"/>
  <pageSetup paperSize="9" orientation="portrait" r:id="rId1"/>
  <ignoredErrors>
    <ignoredError sqref="C234:G234 I232:Q232 M6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8A42-92D5-FC48-9787-AE049CB7BA25}">
  <dimension ref="A1:Z200"/>
  <sheetViews>
    <sheetView showGridLines="0" topLeftCell="A36" zoomScale="115" zoomScaleNormal="115" workbookViewId="0">
      <selection activeCell="P55" sqref="P55"/>
    </sheetView>
  </sheetViews>
  <sheetFormatPr baseColWidth="10" defaultColWidth="9.1640625" defaultRowHeight="14"/>
  <cols>
    <col min="1" max="1" width="19.33203125" style="4" customWidth="1"/>
    <col min="2" max="2" width="11.6640625" style="4" customWidth="1"/>
    <col min="3" max="3" width="9.6640625" style="4" customWidth="1"/>
    <col min="4" max="4" width="10.6640625" style="4" customWidth="1"/>
    <col min="5" max="8" width="7.83203125" style="4" customWidth="1"/>
    <col min="9" max="9" width="11.83203125" style="4" bestFit="1" customWidth="1"/>
    <col min="10" max="11" width="10.33203125" style="4" bestFit="1" customWidth="1"/>
    <col min="12" max="13" width="9.83203125" style="4" bestFit="1" customWidth="1"/>
    <col min="14" max="18" width="9.5" style="4" bestFit="1" customWidth="1"/>
    <col min="19" max="22" width="9.1640625" style="4"/>
    <col min="23" max="23" width="17.5" style="4" customWidth="1"/>
    <col min="24" max="25" width="24.6640625" style="4" customWidth="1"/>
    <col min="26" max="26" width="72.33203125" style="4" bestFit="1" customWidth="1"/>
    <col min="27" max="16384" width="9.1640625" style="4"/>
  </cols>
  <sheetData>
    <row r="1" spans="1:26">
      <c r="A1" s="192"/>
      <c r="B1" s="193"/>
      <c r="C1" s="194"/>
      <c r="D1" s="195" t="s">
        <v>791</v>
      </c>
      <c r="E1" s="196"/>
      <c r="F1" s="196"/>
      <c r="G1" s="196"/>
      <c r="H1" s="196"/>
      <c r="I1" s="197" t="s">
        <v>792</v>
      </c>
      <c r="J1" s="197"/>
      <c r="K1" s="197"/>
      <c r="L1" s="197"/>
      <c r="M1" s="197"/>
      <c r="N1" s="197"/>
      <c r="O1" s="197"/>
      <c r="P1" s="197"/>
      <c r="Q1" s="197"/>
      <c r="R1" s="197"/>
      <c r="S1" s="198"/>
      <c r="W1" s="412" t="s">
        <v>725</v>
      </c>
      <c r="X1" s="412" t="s">
        <v>726</v>
      </c>
      <c r="Y1" s="413" t="s">
        <v>2646</v>
      </c>
      <c r="Z1" s="413" t="s">
        <v>727</v>
      </c>
    </row>
    <row r="2" spans="1:26" ht="18">
      <c r="A2" s="239" t="s">
        <v>793</v>
      </c>
      <c r="B2" s="199"/>
      <c r="C2" s="200"/>
      <c r="D2" s="73">
        <f>'IS normalized'!C2</f>
        <v>2018</v>
      </c>
      <c r="E2" s="73">
        <f>'IS normalized'!D2</f>
        <v>2019</v>
      </c>
      <c r="F2" s="73">
        <f>'IS normalized'!E2</f>
        <v>2020</v>
      </c>
      <c r="G2" s="73">
        <f>'IS normalized'!F2</f>
        <v>2021</v>
      </c>
      <c r="H2" s="73">
        <f>'IS normalized'!G2</f>
        <v>2022</v>
      </c>
      <c r="I2" s="167">
        <f>'IS normalized'!H2</f>
        <v>2023</v>
      </c>
      <c r="J2" s="167">
        <f>'IS normalized'!I2</f>
        <v>2024</v>
      </c>
      <c r="K2" s="167">
        <f>'IS normalized'!J2</f>
        <v>2025</v>
      </c>
      <c r="L2" s="167">
        <f>'IS normalized'!K2</f>
        <v>2026</v>
      </c>
      <c r="M2" s="167">
        <f>'IS normalized'!L2</f>
        <v>2027</v>
      </c>
      <c r="N2" s="167">
        <f>'IS normalized'!M2</f>
        <v>2028</v>
      </c>
      <c r="O2" s="167">
        <f>'IS normalized'!N2</f>
        <v>2029</v>
      </c>
      <c r="P2" s="167">
        <f>'IS normalized'!O2</f>
        <v>2030</v>
      </c>
      <c r="Q2" s="167">
        <f>'IS normalized'!P2</f>
        <v>2031</v>
      </c>
      <c r="R2" s="167">
        <f>'IS normalized'!Q2</f>
        <v>2032</v>
      </c>
      <c r="S2" s="198"/>
      <c r="W2" s="404" t="s">
        <v>2644</v>
      </c>
      <c r="X2" s="402" t="s">
        <v>0</v>
      </c>
      <c r="Y2" s="414"/>
      <c r="Z2" s="414" t="s">
        <v>2643</v>
      </c>
    </row>
    <row r="3" spans="1:26">
      <c r="A3" s="203" t="s">
        <v>794</v>
      </c>
      <c r="B3" s="204"/>
      <c r="C3" s="205"/>
      <c r="D3" s="204"/>
      <c r="E3" s="204"/>
      <c r="F3" s="204"/>
      <c r="G3" s="204"/>
      <c r="H3" s="204"/>
      <c r="I3" s="206"/>
      <c r="J3" s="206"/>
      <c r="K3" s="206"/>
      <c r="L3" s="206"/>
      <c r="M3" s="206"/>
      <c r="N3" s="207"/>
      <c r="O3" s="207"/>
      <c r="P3" s="207"/>
      <c r="Q3" s="208"/>
      <c r="R3" s="208"/>
      <c r="S3" s="198"/>
      <c r="W3" s="404"/>
      <c r="X3" s="402" t="s">
        <v>729</v>
      </c>
      <c r="Y3" s="414" t="s">
        <v>2647</v>
      </c>
      <c r="Z3" s="414" t="s">
        <v>730</v>
      </c>
    </row>
    <row r="4" spans="1:26">
      <c r="A4" s="211" t="s">
        <v>795</v>
      </c>
      <c r="B4" s="212"/>
      <c r="C4" s="213"/>
      <c r="D4" s="214">
        <f>IFERROR(#REF!/#REF!-1,0)</f>
        <v>0</v>
      </c>
      <c r="E4" s="214">
        <f>'IS normalized'!D138</f>
        <v>7.5965665236051416E-2</v>
      </c>
      <c r="F4" s="214">
        <f>'IS normalized'!E138</f>
        <v>5.1854806541683285E-2</v>
      </c>
      <c r="G4" s="214">
        <f>'IS normalized'!F138</f>
        <v>2.5786879029199961E-2</v>
      </c>
      <c r="H4" s="214">
        <f>'IS normalized'!G138</f>
        <v>0.16377079482439938</v>
      </c>
      <c r="I4" s="215">
        <v>0.08</v>
      </c>
      <c r="J4" s="215">
        <f t="shared" ref="J4:R4" si="0">J5</f>
        <v>0.08</v>
      </c>
      <c r="K4" s="215">
        <f t="shared" si="0"/>
        <v>0.08</v>
      </c>
      <c r="L4" s="215">
        <f t="shared" si="0"/>
        <v>0.08</v>
      </c>
      <c r="M4" s="215">
        <f t="shared" si="0"/>
        <v>0.08</v>
      </c>
      <c r="N4" s="215">
        <f t="shared" si="0"/>
        <v>0.08</v>
      </c>
      <c r="O4" s="215">
        <f t="shared" si="0"/>
        <v>0.08</v>
      </c>
      <c r="P4" s="215">
        <f t="shared" si="0"/>
        <v>0.08</v>
      </c>
      <c r="Q4" s="215">
        <f t="shared" si="0"/>
        <v>0.08</v>
      </c>
      <c r="R4" s="215">
        <f t="shared" si="0"/>
        <v>0.08</v>
      </c>
      <c r="S4" s="198"/>
      <c r="W4" s="404"/>
      <c r="X4" s="403" t="s">
        <v>731</v>
      </c>
      <c r="Y4" s="415"/>
      <c r="Z4" s="415" t="s">
        <v>732</v>
      </c>
    </row>
    <row r="5" spans="1:26" s="38" customFormat="1">
      <c r="A5" s="38" t="s">
        <v>763</v>
      </c>
      <c r="D5" s="234">
        <f>'IS normalized'!C138</f>
        <v>0</v>
      </c>
      <c r="E5" s="234">
        <f>'IS normalized'!D138</f>
        <v>7.5965665236051416E-2</v>
      </c>
      <c r="F5" s="234">
        <f>'IS normalized'!E138</f>
        <v>5.1854806541683285E-2</v>
      </c>
      <c r="G5" s="234">
        <f>'IS normalized'!F138</f>
        <v>2.5786879029199961E-2</v>
      </c>
      <c r="H5" s="234">
        <f>'IS normalized'!G138</f>
        <v>0.16377079482439938</v>
      </c>
      <c r="I5" s="234">
        <v>0.08</v>
      </c>
      <c r="J5" s="234">
        <f>I5</f>
        <v>0.08</v>
      </c>
      <c r="K5" s="234">
        <f t="shared" ref="K5:R5" si="1">J5</f>
        <v>0.08</v>
      </c>
      <c r="L5" s="234">
        <f t="shared" si="1"/>
        <v>0.08</v>
      </c>
      <c r="M5" s="234">
        <f t="shared" si="1"/>
        <v>0.08</v>
      </c>
      <c r="N5" s="234">
        <f t="shared" si="1"/>
        <v>0.08</v>
      </c>
      <c r="O5" s="234">
        <f t="shared" si="1"/>
        <v>0.08</v>
      </c>
      <c r="P5" s="234">
        <f t="shared" si="1"/>
        <v>0.08</v>
      </c>
      <c r="Q5" s="234">
        <f t="shared" si="1"/>
        <v>0.08</v>
      </c>
      <c r="R5" s="234">
        <f t="shared" si="1"/>
        <v>0.08</v>
      </c>
      <c r="S5" s="220"/>
      <c r="W5" s="404"/>
      <c r="X5" s="402" t="s">
        <v>733</v>
      </c>
      <c r="Y5" s="414" t="s">
        <v>0</v>
      </c>
      <c r="Z5" s="414" t="s">
        <v>734</v>
      </c>
    </row>
    <row r="6" spans="1:26">
      <c r="A6" s="216" t="s">
        <v>796</v>
      </c>
      <c r="B6" s="216"/>
      <c r="C6" s="217"/>
      <c r="D6" s="218">
        <f>'IS normalized'!C117</f>
        <v>0.5884120171673819</v>
      </c>
      <c r="E6" s="218">
        <f>'IS normalized'!D117</f>
        <v>0.59393697646589549</v>
      </c>
      <c r="F6" s="218">
        <f>'IS normalized'!E117</f>
        <v>0.60409556313993185</v>
      </c>
      <c r="G6" s="218">
        <f>'IS normalized'!F117</f>
        <v>0.59112754158964886</v>
      </c>
      <c r="H6" s="218">
        <f>'IS normalized'!G117</f>
        <v>0.57878017789072422</v>
      </c>
      <c r="I6" s="219">
        <f>AVERAGE(D6:H6)</f>
        <v>0.59127045525071653</v>
      </c>
      <c r="J6" s="219">
        <f>I6</f>
        <v>0.59127045525071653</v>
      </c>
      <c r="K6" s="219">
        <f t="shared" ref="K6:R6" si="2">J6</f>
        <v>0.59127045525071653</v>
      </c>
      <c r="L6" s="219">
        <f t="shared" si="2"/>
        <v>0.59127045525071653</v>
      </c>
      <c r="M6" s="219">
        <f t="shared" si="2"/>
        <v>0.59127045525071653</v>
      </c>
      <c r="N6" s="219">
        <f t="shared" si="2"/>
        <v>0.59127045525071653</v>
      </c>
      <c r="O6" s="219">
        <f t="shared" si="2"/>
        <v>0.59127045525071653</v>
      </c>
      <c r="P6" s="219">
        <f t="shared" si="2"/>
        <v>0.59127045525071653</v>
      </c>
      <c r="Q6" s="219">
        <f t="shared" si="2"/>
        <v>0.59127045525071653</v>
      </c>
      <c r="R6" s="219">
        <f t="shared" si="2"/>
        <v>0.59127045525071653</v>
      </c>
      <c r="S6" s="198"/>
      <c r="W6" s="404"/>
      <c r="X6" s="403" t="s">
        <v>735</v>
      </c>
      <c r="Y6" s="415"/>
      <c r="Z6" s="415" t="s">
        <v>732</v>
      </c>
    </row>
    <row r="7" spans="1:26">
      <c r="A7" s="216"/>
      <c r="B7" s="216"/>
      <c r="C7" s="217"/>
      <c r="D7" s="218"/>
      <c r="E7" s="218"/>
      <c r="F7" s="218"/>
      <c r="G7" s="218"/>
      <c r="H7" s="218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198"/>
      <c r="W7" s="404"/>
      <c r="X7" s="402" t="s">
        <v>736</v>
      </c>
      <c r="Y7" s="426" t="s">
        <v>2648</v>
      </c>
      <c r="Z7" s="414" t="s">
        <v>737</v>
      </c>
    </row>
    <row r="8" spans="1:26" ht="15">
      <c r="A8" s="216" t="s">
        <v>812</v>
      </c>
      <c r="B8" s="216"/>
      <c r="C8" s="217"/>
      <c r="D8" s="218">
        <f>'IS normalized'!C121</f>
        <v>0.27939914163090124</v>
      </c>
      <c r="E8" s="218">
        <f>'IS normalized'!D121</f>
        <v>0.25249301954527326</v>
      </c>
      <c r="F8" s="218">
        <f>'IS normalized'!E121</f>
        <v>0.22866894197952217</v>
      </c>
      <c r="G8" s="218">
        <f>'IS normalized'!F121</f>
        <v>0.22513863216266172</v>
      </c>
      <c r="H8" s="218">
        <f>'IS normalized'!G121</f>
        <v>0.24555273189326554</v>
      </c>
      <c r="I8" s="219">
        <f>AVERAGE(D8:H8)</f>
        <v>0.24625049344232477</v>
      </c>
      <c r="J8" s="219">
        <f>I8</f>
        <v>0.24625049344232477</v>
      </c>
      <c r="K8" s="219">
        <f t="shared" ref="K8:R8" si="3">J8</f>
        <v>0.24625049344232477</v>
      </c>
      <c r="L8" s="219">
        <f t="shared" si="3"/>
        <v>0.24625049344232477</v>
      </c>
      <c r="M8" s="219">
        <f t="shared" si="3"/>
        <v>0.24625049344232477</v>
      </c>
      <c r="N8" s="219">
        <f t="shared" si="3"/>
        <v>0.24625049344232477</v>
      </c>
      <c r="O8" s="219">
        <f t="shared" si="3"/>
        <v>0.24625049344232477</v>
      </c>
      <c r="P8" s="219">
        <f t="shared" si="3"/>
        <v>0.24625049344232477</v>
      </c>
      <c r="Q8" s="219">
        <f t="shared" si="3"/>
        <v>0.24625049344232477</v>
      </c>
      <c r="R8" s="219">
        <f t="shared" si="3"/>
        <v>0.24625049344232477</v>
      </c>
      <c r="S8" s="198"/>
      <c r="W8" s="404"/>
      <c r="X8" s="427" t="s">
        <v>738</v>
      </c>
      <c r="Y8" s="428" t="s">
        <v>2649</v>
      </c>
      <c r="Z8" s="429" t="s">
        <v>2650</v>
      </c>
    </row>
    <row r="9" spans="1:26" s="38" customFormat="1" ht="36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20"/>
      <c r="W9" s="404"/>
      <c r="X9" s="430"/>
      <c r="Y9" s="431"/>
      <c r="Z9" s="432" t="s">
        <v>2641</v>
      </c>
    </row>
    <row r="10" spans="1:26" s="38" customFormat="1">
      <c r="A10" s="216" t="s">
        <v>819</v>
      </c>
      <c r="B10" s="4"/>
      <c r="C10" s="4"/>
      <c r="D10" s="69">
        <f>'IS normalized'!C120</f>
        <v>4.034334763948498E-2</v>
      </c>
      <c r="E10" s="69">
        <f>'IS normalized'!D120</f>
        <v>7.578779417630635E-2</v>
      </c>
      <c r="F10" s="69">
        <f>'IS normalized'!E120</f>
        <v>8.9495638983693601E-2</v>
      </c>
      <c r="G10" s="69">
        <f>'IS normalized'!F120</f>
        <v>7.2828096118299449E-2</v>
      </c>
      <c r="H10" s="69">
        <f>'IS normalized'!G120</f>
        <v>6.2579415501905974E-2</v>
      </c>
      <c r="I10" s="69">
        <f>AVERAGE(D10:H10)</f>
        <v>6.8206858483938065E-2</v>
      </c>
      <c r="J10" s="53">
        <v>7.0000000000000007E-2</v>
      </c>
      <c r="K10" s="66">
        <f>J10</f>
        <v>7.0000000000000007E-2</v>
      </c>
      <c r="L10" s="66">
        <f t="shared" ref="L10:R10" si="4">K10</f>
        <v>7.0000000000000007E-2</v>
      </c>
      <c r="M10" s="66">
        <f t="shared" si="4"/>
        <v>7.0000000000000007E-2</v>
      </c>
      <c r="N10" s="66">
        <f t="shared" si="4"/>
        <v>7.0000000000000007E-2</v>
      </c>
      <c r="O10" s="66">
        <f t="shared" si="4"/>
        <v>7.0000000000000007E-2</v>
      </c>
      <c r="P10" s="66">
        <f t="shared" si="4"/>
        <v>7.0000000000000007E-2</v>
      </c>
      <c r="Q10" s="66">
        <f t="shared" si="4"/>
        <v>7.0000000000000007E-2</v>
      </c>
      <c r="R10" s="66">
        <f t="shared" si="4"/>
        <v>7.0000000000000007E-2</v>
      </c>
      <c r="S10" s="220"/>
      <c r="W10" s="404"/>
      <c r="X10" s="403" t="s">
        <v>739</v>
      </c>
      <c r="Y10" s="426" t="s">
        <v>2648</v>
      </c>
      <c r="Z10" s="415" t="s">
        <v>732</v>
      </c>
    </row>
    <row r="11" spans="1:26" s="38" customFormat="1">
      <c r="A11" s="4">
        <v>2</v>
      </c>
      <c r="B11" s="4"/>
      <c r="C11" s="4"/>
      <c r="D11" s="4"/>
      <c r="E11" s="4"/>
      <c r="F11" s="4"/>
      <c r="G11" s="4"/>
      <c r="H11" s="4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0"/>
      <c r="W11" s="404"/>
      <c r="X11" s="402" t="s">
        <v>740</v>
      </c>
      <c r="Y11" s="414"/>
      <c r="Z11" s="414" t="s">
        <v>741</v>
      </c>
    </row>
    <row r="12" spans="1:26">
      <c r="A12" s="216" t="s">
        <v>797</v>
      </c>
      <c r="B12" s="216"/>
      <c r="C12" s="217"/>
      <c r="D12" s="218"/>
      <c r="E12" s="218">
        <f>-'IS normalized'!D9/SUM('Decomposed SFP'!C7,'Decomposed SFP'!C8,'Decomposed SFP'!C9)</f>
        <v>0.26315789473684215</v>
      </c>
      <c r="F12" s="218">
        <f>-'IS normalized'!E9/SUM('Decomposed SFP'!D7,'Decomposed SFP'!D8,'Decomposed SFP'!D9)</f>
        <v>0.40204429301533223</v>
      </c>
      <c r="G12" s="218">
        <f>-'IS normalized'!F9/SUM('Decomposed SFP'!E7,'Decomposed SFP'!E8,'Decomposed SFP'!E9)</f>
        <v>0.27513966480446927</v>
      </c>
      <c r="H12" s="218">
        <f>-'IS normalized'!G9/SUM('Decomposed SFP'!F7,'Decomposed SFP'!F8,'Decomposed SFP'!F9)</f>
        <v>0.34991119005328597</v>
      </c>
      <c r="I12" s="218">
        <f>-'IS normalized'!H9/SUM('Decomposed SFP'!G7,'Decomposed SFP'!G8,'Decomposed SFP'!G9)</f>
        <v>0.15106997117135634</v>
      </c>
      <c r="J12" s="218">
        <f>-'IS normalized'!I9/SUM('Decomposed SFP'!H7,'Decomposed SFP'!H8,'Decomposed SFP'!H9)</f>
        <v>0.16789163784588021</v>
      </c>
      <c r="K12" s="218">
        <f>-'IS normalized'!J9/SUM('Decomposed SFP'!I7,'Decomposed SFP'!I8,'Decomposed SFP'!I9)</f>
        <v>0.16789163784588021</v>
      </c>
      <c r="L12" s="218">
        <f>-'IS normalized'!K9/SUM('Decomposed SFP'!J7,'Decomposed SFP'!J8,'Decomposed SFP'!J9)</f>
        <v>0.16789163784588018</v>
      </c>
      <c r="M12" s="218">
        <f>-'IS normalized'!L9/SUM('Decomposed SFP'!K7,'Decomposed SFP'!K8,'Decomposed SFP'!K9)</f>
        <v>0.16789163784588021</v>
      </c>
      <c r="N12" s="218">
        <f>-'IS normalized'!M9/SUM('Decomposed SFP'!L7,'Decomposed SFP'!L8,'Decomposed SFP'!L9)</f>
        <v>0.16789163784588021</v>
      </c>
      <c r="O12" s="218">
        <f>-'IS normalized'!N9/SUM('Decomposed SFP'!M7,'Decomposed SFP'!M8,'Decomposed SFP'!M9)</f>
        <v>0.16789163784588026</v>
      </c>
      <c r="P12" s="218">
        <f>-'IS normalized'!O9/SUM('Decomposed SFP'!N7,'Decomposed SFP'!N8,'Decomposed SFP'!N9)</f>
        <v>0.16789163784588018</v>
      </c>
      <c r="Q12" s="218">
        <f>-'IS normalized'!P9/SUM('Decomposed SFP'!O7,'Decomposed SFP'!O8,'Decomposed SFP'!O9)</f>
        <v>0.16789163784588021</v>
      </c>
      <c r="R12" s="218">
        <f>-'IS normalized'!Q9/SUM('Decomposed SFP'!P7,'Decomposed SFP'!P8,'Decomposed SFP'!P9)</f>
        <v>0.16789163784588018</v>
      </c>
      <c r="S12" s="222"/>
      <c r="W12" s="404"/>
      <c r="X12" s="419" t="s">
        <v>742</v>
      </c>
      <c r="Y12" s="437" t="s">
        <v>2648</v>
      </c>
      <c r="Z12" s="409" t="s">
        <v>732</v>
      </c>
    </row>
    <row r="13" spans="1:26">
      <c r="A13" s="216" t="s">
        <v>798</v>
      </c>
      <c r="B13" s="216"/>
      <c r="C13" s="217"/>
      <c r="D13" s="218"/>
      <c r="E13" s="218"/>
      <c r="F13" s="218"/>
      <c r="G13" s="218"/>
      <c r="H13" s="218"/>
      <c r="I13" s="219"/>
      <c r="J13" s="219"/>
      <c r="K13" s="219"/>
      <c r="L13" s="219"/>
      <c r="M13" s="219"/>
      <c r="N13" s="201"/>
      <c r="O13" s="201"/>
      <c r="P13" s="201"/>
      <c r="Q13" s="198"/>
      <c r="R13" s="198"/>
      <c r="S13" s="198"/>
      <c r="W13" s="404"/>
      <c r="X13" s="419"/>
      <c r="Y13" s="409"/>
      <c r="Z13" s="409"/>
    </row>
    <row r="14" spans="1:26">
      <c r="A14" s="216"/>
      <c r="B14" s="216"/>
      <c r="C14" s="217"/>
      <c r="D14" s="218"/>
      <c r="E14" s="218"/>
      <c r="F14" s="218"/>
      <c r="G14" s="218"/>
      <c r="H14" s="218"/>
      <c r="I14" s="219"/>
      <c r="J14" s="219"/>
      <c r="K14" s="219"/>
      <c r="L14" s="219"/>
      <c r="M14" s="219"/>
      <c r="N14" s="201"/>
      <c r="O14" s="201"/>
      <c r="P14" s="201"/>
      <c r="Q14" s="198"/>
      <c r="R14" s="198"/>
      <c r="S14" s="198"/>
      <c r="W14" s="404"/>
      <c r="X14" s="405"/>
      <c r="Y14" s="411"/>
      <c r="Z14" s="411"/>
    </row>
    <row r="15" spans="1:26">
      <c r="A15" s="235" t="s">
        <v>759</v>
      </c>
      <c r="D15" s="236">
        <f>-'IS normalized'!C14/'IS normalized'!C4</f>
        <v>7.725321888412017E-3</v>
      </c>
      <c r="E15" s="236">
        <f>-'IS normalized'!D14/'IS normalized'!D4</f>
        <v>6.7810131631431993E-3</v>
      </c>
      <c r="F15" s="236">
        <f>-'IS normalized'!E14/'IS normalized'!E4</f>
        <v>1.1376564277588168E-2</v>
      </c>
      <c r="G15" s="236">
        <f>-'IS normalized'!F14/'IS normalized'!F4</f>
        <v>9.242144177449169E-3</v>
      </c>
      <c r="H15" s="236">
        <f>-'IS normalized'!G14/'IS normalized'!G4</f>
        <v>1.1753494282083863E-2</v>
      </c>
      <c r="I15" s="237">
        <v>9.4999999999999998E-3</v>
      </c>
      <c r="J15" s="237">
        <f t="shared" ref="J15:R15" si="5">I15</f>
        <v>9.4999999999999998E-3</v>
      </c>
      <c r="K15" s="237">
        <f t="shared" si="5"/>
        <v>9.4999999999999998E-3</v>
      </c>
      <c r="L15" s="237">
        <f t="shared" si="5"/>
        <v>9.4999999999999998E-3</v>
      </c>
      <c r="M15" s="237">
        <f t="shared" si="5"/>
        <v>9.4999999999999998E-3</v>
      </c>
      <c r="N15" s="237">
        <f t="shared" si="5"/>
        <v>9.4999999999999998E-3</v>
      </c>
      <c r="O15" s="237">
        <f t="shared" si="5"/>
        <v>9.4999999999999998E-3</v>
      </c>
      <c r="P15" s="237">
        <f t="shared" si="5"/>
        <v>9.4999999999999998E-3</v>
      </c>
      <c r="Q15" s="237">
        <f t="shared" si="5"/>
        <v>9.4999999999999998E-3</v>
      </c>
      <c r="R15" s="237">
        <f t="shared" si="5"/>
        <v>9.4999999999999998E-3</v>
      </c>
      <c r="S15" s="198"/>
      <c r="W15" s="404" t="s">
        <v>2645</v>
      </c>
      <c r="X15" s="406" t="s">
        <v>743</v>
      </c>
      <c r="Y15" s="416" t="s">
        <v>2647</v>
      </c>
      <c r="Z15" s="416" t="s">
        <v>764</v>
      </c>
    </row>
    <row r="16" spans="1:26">
      <c r="A16" s="235" t="s">
        <v>738</v>
      </c>
      <c r="D16" s="238">
        <f>D15*'IS normalized'!C4</f>
        <v>1.8</v>
      </c>
      <c r="E16" s="238">
        <f>E15*'IS normalized'!D4</f>
        <v>1.7</v>
      </c>
      <c r="F16" s="238">
        <f>F15*'IS normalized'!E4</f>
        <v>3</v>
      </c>
      <c r="G16" s="238">
        <f>G15*'IS normalized'!F4</f>
        <v>2.5</v>
      </c>
      <c r="H16" s="238">
        <f>H15*'IS normalized'!G4</f>
        <v>3.7</v>
      </c>
      <c r="I16" s="238">
        <f>I15*'IS normalized'!H4</f>
        <v>3.2298480000000001</v>
      </c>
      <c r="J16" s="238">
        <f>J15*'IS normalized'!I4</f>
        <v>3.4882358400000006</v>
      </c>
      <c r="K16" s="238">
        <f>K15*'IS normalized'!J4</f>
        <v>3.7672947072000009</v>
      </c>
      <c r="L16" s="238">
        <f>L15*'IS normalized'!K4</f>
        <v>4.0686782837760012</v>
      </c>
      <c r="M16" s="238">
        <f>M15*'IS normalized'!L4</f>
        <v>4.3941725464780808</v>
      </c>
      <c r="N16" s="238">
        <f>N15*'IS normalized'!M4</f>
        <v>4.7457063501963281</v>
      </c>
      <c r="O16" s="238">
        <f>O15*'IS normalized'!N4</f>
        <v>5.1253628582120347</v>
      </c>
      <c r="P16" s="238">
        <f>P15*'IS normalized'!O4</f>
        <v>5.5353918868689975</v>
      </c>
      <c r="Q16" s="238">
        <f>Q15*'IS normalized'!P4</f>
        <v>5.9782232378185185</v>
      </c>
      <c r="R16" s="238">
        <f>R15*'IS normalized'!Q4</f>
        <v>6.4564810968440005</v>
      </c>
      <c r="S16" s="198"/>
      <c r="W16" s="404"/>
      <c r="X16" s="405"/>
      <c r="Y16" s="411"/>
      <c r="Z16" s="411" t="s">
        <v>2642</v>
      </c>
    </row>
    <row r="17" spans="1:26">
      <c r="A17" s="4" t="s">
        <v>760</v>
      </c>
      <c r="D17" s="56">
        <f>D19/D18</f>
        <v>3.6734693877551024E-2</v>
      </c>
      <c r="E17" s="56">
        <f>E19/E18</f>
        <v>3.2660902977905859E-2</v>
      </c>
      <c r="F17" s="56">
        <f>F19/F18</f>
        <v>3.1168831168831169E-2</v>
      </c>
      <c r="G17" s="56">
        <f>G19/G18</f>
        <v>2.4390243902439025E-2</v>
      </c>
      <c r="H17" s="56">
        <f>H19/H18</f>
        <v>3.2772364924712132E-2</v>
      </c>
      <c r="I17" s="69">
        <v>2.3E-2</v>
      </c>
      <c r="J17" s="69">
        <f>I17</f>
        <v>2.3E-2</v>
      </c>
      <c r="K17" s="69">
        <f t="shared" ref="K17:R17" si="6">J17</f>
        <v>2.3E-2</v>
      </c>
      <c r="L17" s="69">
        <f t="shared" si="6"/>
        <v>2.3E-2</v>
      </c>
      <c r="M17" s="69">
        <v>2.5000000000000001E-2</v>
      </c>
      <c r="N17" s="69">
        <f t="shared" si="6"/>
        <v>2.5000000000000001E-2</v>
      </c>
      <c r="O17" s="69">
        <v>0.03</v>
      </c>
      <c r="P17" s="69">
        <f t="shared" si="6"/>
        <v>0.03</v>
      </c>
      <c r="Q17" s="69">
        <f t="shared" si="6"/>
        <v>0.03</v>
      </c>
      <c r="R17" s="69">
        <f t="shared" si="6"/>
        <v>0.03</v>
      </c>
      <c r="S17" s="198"/>
      <c r="W17" s="404"/>
      <c r="X17" s="405"/>
      <c r="Y17" s="411"/>
      <c r="Z17" s="411" t="s">
        <v>864</v>
      </c>
    </row>
    <row r="18" spans="1:26">
      <c r="A18" s="4" t="s">
        <v>761</v>
      </c>
      <c r="D18" s="4">
        <f>SUM('Decomposed SFP'!C26,'Decomposed SFP'!C27,'Decomposed SFP'!C37,'Decomposed SFP'!C38)</f>
        <v>49</v>
      </c>
      <c r="E18" s="4">
        <f>AVERAGE(SUM('Decomposed SFP'!D26,'Decomposed SFP'!D27,'Decomposed SFP'!D37,'Decomposed SFP'!D38),SUM('Decomposed SFP'!C26,'Decomposed SFP'!C27,'Decomposed SFP'!C37,'Decomposed SFP'!C38))</f>
        <v>52.05</v>
      </c>
      <c r="F18" s="4">
        <f>AVERAGE(SUM('Decomposed SFP'!E26,'Decomposed SFP'!E27,'Decomposed SFP'!E37,'Decomposed SFP'!E38),SUM('Decomposed SFP'!D26,'Decomposed SFP'!D27,'Decomposed SFP'!D37,'Decomposed SFP'!D38))</f>
        <v>96.25</v>
      </c>
      <c r="G18" s="4">
        <f>AVERAGE(SUM('Decomposed SFP'!F26,'Decomposed SFP'!F27,'Decomposed SFP'!F37,'Decomposed SFP'!F38),SUM('Decomposed SFP'!E26,'Decomposed SFP'!E27,'Decomposed SFP'!E37,'Decomposed SFP'!E38))</f>
        <v>102.5</v>
      </c>
      <c r="H18" s="18">
        <f>AVERAGE(SUM('Decomposed SFP'!G26,'Decomposed SFP'!G27,'Decomposed SFP'!G37,'Decomposed SFP'!G38),SUM('Decomposed SFP'!F26,'Decomposed SFP'!F27,'Decomposed SFP'!F37,'Decomposed SFP'!F38))</f>
        <v>112.9</v>
      </c>
      <c r="I18" s="18">
        <f>AVERAGE(SUM('Decomposed SFP'!H26,'Decomposed SFP'!H27,'Decomposed SFP'!H37,'Decomposed SFP'!H38),SUM('Decomposed SFP'!G26,'Decomposed SFP'!G27,'Decomposed SFP'!G37,'Decomposed SFP'!G38))</f>
        <v>159.78199999999998</v>
      </c>
      <c r="J18" s="18">
        <f>AVERAGE(SUM('Decomposed SFP'!I26,'Decomposed SFP'!I27,'Decomposed SFP'!I37,'Decomposed SFP'!I38),SUM('Decomposed SFP'!H26,'Decomposed SFP'!H27,'Decomposed SFP'!H37,'Decomposed SFP'!H38))</f>
        <v>162.97764000000001</v>
      </c>
      <c r="K18" s="18">
        <f>AVERAGE(SUM('Decomposed SFP'!J26,'Decomposed SFP'!J27,'Decomposed SFP'!J37,'Decomposed SFP'!J38),SUM('Decomposed SFP'!I26,'Decomposed SFP'!I27,'Decomposed SFP'!I37,'Decomposed SFP'!I38))</f>
        <v>166.2371928</v>
      </c>
      <c r="L18" s="18">
        <f>AVERAGE(SUM('Decomposed SFP'!K26,'Decomposed SFP'!K27,'Decomposed SFP'!K37,'Decomposed SFP'!K38),SUM('Decomposed SFP'!J26,'Decomposed SFP'!J27,'Decomposed SFP'!J37,'Decomposed SFP'!J38))</f>
        <v>169.561936656</v>
      </c>
      <c r="M18" s="18">
        <f>AVERAGE(SUM('Decomposed SFP'!L26,'Decomposed SFP'!L27,'Decomposed SFP'!L37,'Decomposed SFP'!L38),SUM('Decomposed SFP'!K26,'Decomposed SFP'!K27,'Decomposed SFP'!K37,'Decomposed SFP'!K38))</f>
        <v>172.95317538912002</v>
      </c>
      <c r="N18" s="18">
        <f>AVERAGE(SUM('Decomposed SFP'!M26,'Decomposed SFP'!M27,'Decomposed SFP'!M37,'Decomposed SFP'!M38),SUM('Decomposed SFP'!L26,'Decomposed SFP'!L27,'Decomposed SFP'!L37,'Decomposed SFP'!L38))</f>
        <v>176.41223889690241</v>
      </c>
      <c r="O18" s="18">
        <f>AVERAGE(SUM('Decomposed SFP'!N26,'Decomposed SFP'!N27,'Decomposed SFP'!N37,'Decomposed SFP'!N38),SUM('Decomposed SFP'!M26,'Decomposed SFP'!M27,'Decomposed SFP'!M37,'Decomposed SFP'!M38))</f>
        <v>179.94048367484046</v>
      </c>
      <c r="P18" s="18">
        <f>AVERAGE(SUM('Decomposed SFP'!O26,'Decomposed SFP'!O27,'Decomposed SFP'!O37,'Decomposed SFP'!O38),SUM('Decomposed SFP'!N26,'Decomposed SFP'!N27,'Decomposed SFP'!N37,'Decomposed SFP'!N38))</f>
        <v>183.53929334833725</v>
      </c>
      <c r="Q18" s="18">
        <f>AVERAGE(SUM('Decomposed SFP'!P26,'Decomposed SFP'!P27,'Decomposed SFP'!P37,'Decomposed SFP'!P38),SUM('Decomposed SFP'!O26,'Decomposed SFP'!O27,'Decomposed SFP'!O37,'Decomposed SFP'!O38))</f>
        <v>187.21007921530401</v>
      </c>
      <c r="R18" s="18">
        <f>AVERAGE(SUM('Decomposed SFP'!Q26,'Decomposed SFP'!Q27,'Decomposed SFP'!Q37,'Decomposed SFP'!Q38),SUM('Decomposed SFP'!P26,'Decomposed SFP'!P27,'Decomposed SFP'!P37,'Decomposed SFP'!P38))</f>
        <v>190.9542807996101</v>
      </c>
      <c r="S18" s="198"/>
      <c r="W18" s="404"/>
      <c r="X18" s="405"/>
      <c r="Y18" s="411"/>
      <c r="Z18" s="411"/>
    </row>
    <row r="19" spans="1:26">
      <c r="A19" s="4" t="s">
        <v>762</v>
      </c>
      <c r="D19" s="4">
        <f>-'IS normalized'!C14</f>
        <v>1.8</v>
      </c>
      <c r="E19" s="4">
        <f>-'IS normalized'!D14</f>
        <v>1.7</v>
      </c>
      <c r="F19" s="4">
        <f>-'IS normalized'!E14</f>
        <v>3</v>
      </c>
      <c r="G19" s="4">
        <f>-'IS normalized'!F14</f>
        <v>2.5</v>
      </c>
      <c r="H19" s="4">
        <f>-'IS normalized'!G14</f>
        <v>3.7</v>
      </c>
      <c r="I19" s="18">
        <f t="shared" ref="I19:R19" si="7">I17*I18</f>
        <v>3.6749859999999996</v>
      </c>
      <c r="J19" s="18">
        <f t="shared" si="7"/>
        <v>3.7484857200000001</v>
      </c>
      <c r="K19" s="18">
        <f t="shared" si="7"/>
        <v>3.8234554344</v>
      </c>
      <c r="L19" s="18">
        <f t="shared" si="7"/>
        <v>3.8999245430879999</v>
      </c>
      <c r="M19" s="18">
        <f t="shared" si="7"/>
        <v>4.3238293847280005</v>
      </c>
      <c r="N19" s="18">
        <f t="shared" si="7"/>
        <v>4.4103059724225604</v>
      </c>
      <c r="O19" s="18">
        <f t="shared" si="7"/>
        <v>5.3982145102452135</v>
      </c>
      <c r="P19" s="18">
        <f t="shared" si="7"/>
        <v>5.5061788004501171</v>
      </c>
      <c r="Q19" s="18">
        <f t="shared" si="7"/>
        <v>5.61630237645912</v>
      </c>
      <c r="R19" s="18">
        <f t="shared" si="7"/>
        <v>5.7286284239883027</v>
      </c>
      <c r="S19" s="198"/>
      <c r="W19" s="404"/>
      <c r="X19" s="405"/>
      <c r="Y19" s="411"/>
      <c r="Z19" s="417"/>
    </row>
    <row r="20" spans="1:26"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8"/>
      <c r="W20" s="404"/>
      <c r="X20" s="406" t="s">
        <v>61</v>
      </c>
      <c r="Y20" s="406"/>
      <c r="Z20" s="411" t="s">
        <v>744</v>
      </c>
    </row>
    <row r="21" spans="1:26">
      <c r="A21" s="216" t="s">
        <v>799</v>
      </c>
      <c r="B21" s="223"/>
      <c r="C21" s="224"/>
      <c r="D21" s="218"/>
      <c r="E21" s="218"/>
      <c r="F21" s="218"/>
      <c r="G21" s="218"/>
      <c r="H21" s="218"/>
      <c r="I21" s="219"/>
      <c r="J21" s="219"/>
      <c r="K21" s="219"/>
      <c r="L21" s="219"/>
      <c r="M21" s="219"/>
      <c r="N21" s="201"/>
      <c r="O21" s="201"/>
      <c r="P21" s="201"/>
      <c r="Q21" s="198"/>
      <c r="R21" s="198"/>
      <c r="S21" s="198"/>
      <c r="W21" s="404"/>
      <c r="X21" s="405"/>
      <c r="Y21" s="433" t="s">
        <v>2648</v>
      </c>
      <c r="Z21" s="411" t="s">
        <v>745</v>
      </c>
    </row>
    <row r="22" spans="1:26" ht="15">
      <c r="A22" s="4" t="s">
        <v>222</v>
      </c>
      <c r="D22" s="69">
        <f>'IS normalized'!C86</f>
        <v>0.19</v>
      </c>
      <c r="E22" s="69">
        <f>'IS normalized'!D86</f>
        <v>0.19</v>
      </c>
      <c r="F22" s="69">
        <f>'IS normalized'!E86</f>
        <v>0.19</v>
      </c>
      <c r="G22" s="69">
        <f>'IS normalized'!F86</f>
        <v>0.19</v>
      </c>
      <c r="H22" s="69">
        <f>'IS normalized'!G86</f>
        <v>0.19</v>
      </c>
      <c r="I22" s="53">
        <f>25%</f>
        <v>0.25</v>
      </c>
      <c r="J22" s="53">
        <f>25%</f>
        <v>0.25</v>
      </c>
      <c r="K22" s="53">
        <f>25%</f>
        <v>0.25</v>
      </c>
      <c r="L22" s="53">
        <f>25%</f>
        <v>0.25</v>
      </c>
      <c r="M22" s="53">
        <f>25%</f>
        <v>0.25</v>
      </c>
      <c r="N22" s="53">
        <f>25%</f>
        <v>0.25</v>
      </c>
      <c r="O22" s="53">
        <f>25%</f>
        <v>0.25</v>
      </c>
      <c r="P22" s="53">
        <f>25%</f>
        <v>0.25</v>
      </c>
      <c r="Q22" s="53">
        <f>25%</f>
        <v>0.25</v>
      </c>
      <c r="R22" s="53">
        <f>25%</f>
        <v>0.25</v>
      </c>
      <c r="S22" s="198"/>
      <c r="W22" s="404"/>
      <c r="X22" s="407"/>
      <c r="Y22" s="424"/>
      <c r="Z22" s="417"/>
    </row>
    <row r="23" spans="1:26">
      <c r="A23" s="4" t="s">
        <v>764</v>
      </c>
      <c r="B23" s="223"/>
      <c r="C23" s="224"/>
      <c r="D23" s="225">
        <f>'IS normalized'!C4/'Raw Data'!C77</f>
        <v>0.65856416054267952</v>
      </c>
      <c r="E23" s="225">
        <f>'IS normalized'!D4/'Raw Data'!D77</f>
        <v>0.7218543046357615</v>
      </c>
      <c r="F23" s="225">
        <f>'IS normalized'!E4/'Raw Data'!E77</f>
        <v>0.60315645013723684</v>
      </c>
      <c r="G23" s="225">
        <f>'IS normalized'!F4/'Raw Data'!F77</f>
        <v>0.62572287763127443</v>
      </c>
      <c r="H23" s="225">
        <f>'IS normalized'!G4/'Raw Data'!G77</f>
        <v>0.54614850798056902</v>
      </c>
      <c r="I23" s="226">
        <f>AVERAGE(D23:H23)</f>
        <v>0.63108926018550426</v>
      </c>
      <c r="J23" s="226">
        <f>I23</f>
        <v>0.63108926018550426</v>
      </c>
      <c r="K23" s="226">
        <f t="shared" ref="K23:R23" si="8">J23</f>
        <v>0.63108926018550426</v>
      </c>
      <c r="L23" s="226">
        <f t="shared" si="8"/>
        <v>0.63108926018550426</v>
      </c>
      <c r="M23" s="226">
        <f t="shared" si="8"/>
        <v>0.63108926018550426</v>
      </c>
      <c r="N23" s="226">
        <f t="shared" si="8"/>
        <v>0.63108926018550426</v>
      </c>
      <c r="O23" s="226">
        <f t="shared" si="8"/>
        <v>0.63108926018550426</v>
      </c>
      <c r="P23" s="226">
        <f t="shared" si="8"/>
        <v>0.63108926018550426</v>
      </c>
      <c r="Q23" s="226">
        <f t="shared" si="8"/>
        <v>0.63108926018550426</v>
      </c>
      <c r="R23" s="226">
        <f t="shared" si="8"/>
        <v>0.63108926018550426</v>
      </c>
      <c r="S23" s="198"/>
      <c r="W23" s="404"/>
      <c r="X23" s="406" t="s">
        <v>746</v>
      </c>
      <c r="Y23" s="434" t="s">
        <v>2648</v>
      </c>
      <c r="Z23" s="411" t="s">
        <v>747</v>
      </c>
    </row>
    <row r="24" spans="1:26">
      <c r="B24" s="223"/>
      <c r="C24" s="224"/>
      <c r="D24" s="225"/>
      <c r="E24" s="225"/>
      <c r="F24" s="225"/>
      <c r="G24" s="225"/>
      <c r="H24" s="225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198"/>
      <c r="W24" s="404"/>
      <c r="X24" s="405"/>
      <c r="Y24" s="411"/>
      <c r="Z24" s="411" t="s">
        <v>748</v>
      </c>
    </row>
    <row r="25" spans="1:26">
      <c r="A25" s="4" t="s">
        <v>765</v>
      </c>
      <c r="B25" s="223"/>
      <c r="C25" s="224"/>
      <c r="D25" s="225"/>
      <c r="E25" s="227">
        <f>'Raw Data'!D77/'Raw Data'!C77-1</f>
        <v>-1.8371961560203376E-2</v>
      </c>
      <c r="F25" s="227">
        <f>'Raw Data'!E77/'Raw Data'!D77-1</f>
        <v>0.25885401670025932</v>
      </c>
      <c r="G25" s="227">
        <f>'Raw Data'!F77/'Raw Data'!E77-1</f>
        <v>-1.1207685269899348E-2</v>
      </c>
      <c r="H25" s="227">
        <f>'Raw Data'!G77/'Raw Data'!F77-1</f>
        <v>0.33333333333333326</v>
      </c>
      <c r="I25" s="228">
        <v>7.4999999999999997E-2</v>
      </c>
      <c r="J25" s="228">
        <f>I25</f>
        <v>7.4999999999999997E-2</v>
      </c>
      <c r="K25" s="228">
        <f t="shared" ref="K25:R25" si="9">J25</f>
        <v>7.4999999999999997E-2</v>
      </c>
      <c r="L25" s="228">
        <f t="shared" si="9"/>
        <v>7.4999999999999997E-2</v>
      </c>
      <c r="M25" s="228">
        <f t="shared" si="9"/>
        <v>7.4999999999999997E-2</v>
      </c>
      <c r="N25" s="228">
        <f t="shared" si="9"/>
        <v>7.4999999999999997E-2</v>
      </c>
      <c r="O25" s="228">
        <f t="shared" si="9"/>
        <v>7.4999999999999997E-2</v>
      </c>
      <c r="P25" s="228">
        <f t="shared" si="9"/>
        <v>7.4999999999999997E-2</v>
      </c>
      <c r="Q25" s="228">
        <f t="shared" si="9"/>
        <v>7.4999999999999997E-2</v>
      </c>
      <c r="R25" s="228">
        <f t="shared" si="9"/>
        <v>7.4999999999999997E-2</v>
      </c>
      <c r="S25" s="198"/>
      <c r="W25" s="404"/>
      <c r="X25" s="405"/>
      <c r="Y25" s="411"/>
      <c r="Z25" s="411" t="s">
        <v>865</v>
      </c>
    </row>
    <row r="26" spans="1:26" ht="15" thickBot="1">
      <c r="A26" s="201" t="s">
        <v>800</v>
      </c>
      <c r="B26" s="201"/>
      <c r="C26" s="229"/>
      <c r="D26" s="209">
        <f>'Ratios Tables'!D18</f>
        <v>103.39055793991416</v>
      </c>
      <c r="E26" s="209">
        <f>'Ratios Tables'!E18</f>
        <v>89.68488232947746</v>
      </c>
      <c r="F26" s="209">
        <f>'Ratios Tables'!F18</f>
        <v>101.59651118695488</v>
      </c>
      <c r="G26" s="209">
        <f>'Ratios Tables'!G18</f>
        <v>92.700554528650656</v>
      </c>
      <c r="H26" s="209">
        <f>'Ratios Tables'!H18</f>
        <v>90.09053367217281</v>
      </c>
      <c r="I26" s="210">
        <f>AVERAGE(D26:H26)</f>
        <v>95.49260793143398</v>
      </c>
      <c r="J26" s="210">
        <f>I26</f>
        <v>95.49260793143398</v>
      </c>
      <c r="K26" s="210">
        <f t="shared" ref="K26:R26" si="10">J26</f>
        <v>95.49260793143398</v>
      </c>
      <c r="L26" s="210">
        <f t="shared" si="10"/>
        <v>95.49260793143398</v>
      </c>
      <c r="M26" s="210">
        <f t="shared" si="10"/>
        <v>95.49260793143398</v>
      </c>
      <c r="N26" s="210">
        <f t="shared" si="10"/>
        <v>95.49260793143398</v>
      </c>
      <c r="O26" s="210">
        <f t="shared" si="10"/>
        <v>95.49260793143398</v>
      </c>
      <c r="P26" s="210">
        <f t="shared" si="10"/>
        <v>95.49260793143398</v>
      </c>
      <c r="Q26" s="210">
        <f t="shared" si="10"/>
        <v>95.49260793143398</v>
      </c>
      <c r="R26" s="210">
        <f t="shared" si="10"/>
        <v>95.49260793143398</v>
      </c>
      <c r="S26" s="198"/>
      <c r="W26" s="418"/>
      <c r="X26" s="408"/>
      <c r="Y26" s="411"/>
      <c r="Z26" s="411"/>
    </row>
    <row r="27" spans="1:26">
      <c r="A27" s="201" t="s">
        <v>801</v>
      </c>
      <c r="B27" s="201"/>
      <c r="C27" s="229"/>
      <c r="D27" s="209">
        <f>'Ratios Tables'!D16</f>
        <v>2.1298322392414302</v>
      </c>
      <c r="E27" s="209">
        <f>'Ratios Tables'!E16</f>
        <v>1.7159167226326393</v>
      </c>
      <c r="F27" s="209">
        <f>'Ratios Tables'!F16</f>
        <v>2.0621468926553672</v>
      </c>
      <c r="G27" s="209">
        <f>'Ratios Tables'!G16</f>
        <v>2.510944340212633</v>
      </c>
      <c r="H27" s="209">
        <f>'Ratios Tables'!H16</f>
        <v>1.8029637760702526</v>
      </c>
      <c r="I27" s="210">
        <f t="shared" ref="I27:I28" si="11">AVERAGE(D27:H27)</f>
        <v>2.0443607941624649</v>
      </c>
      <c r="J27" s="210">
        <f t="shared" ref="J27:R28" si="12">I27</f>
        <v>2.0443607941624649</v>
      </c>
      <c r="K27" s="210">
        <f t="shared" si="12"/>
        <v>2.0443607941624649</v>
      </c>
      <c r="L27" s="210">
        <f t="shared" si="12"/>
        <v>2.0443607941624649</v>
      </c>
      <c r="M27" s="210">
        <f t="shared" si="12"/>
        <v>2.0443607941624649</v>
      </c>
      <c r="N27" s="210">
        <f t="shared" si="12"/>
        <v>2.0443607941624649</v>
      </c>
      <c r="O27" s="210">
        <f t="shared" si="12"/>
        <v>2.0443607941624649</v>
      </c>
      <c r="P27" s="210">
        <f t="shared" si="12"/>
        <v>2.0443607941624649</v>
      </c>
      <c r="Q27" s="210">
        <f t="shared" si="12"/>
        <v>2.0443607941624649</v>
      </c>
      <c r="R27" s="210">
        <f t="shared" si="12"/>
        <v>2.0443607941624649</v>
      </c>
      <c r="S27" s="198"/>
      <c r="W27" s="419" t="s">
        <v>749</v>
      </c>
      <c r="X27" s="406" t="s">
        <v>750</v>
      </c>
      <c r="Y27" s="436"/>
      <c r="Z27" s="420" t="s">
        <v>868</v>
      </c>
    </row>
    <row r="28" spans="1:26">
      <c r="A28" s="201" t="s">
        <v>802</v>
      </c>
      <c r="B28" s="201"/>
      <c r="C28" s="229"/>
      <c r="D28" s="209">
        <f>'Ratios Tables'!D20</f>
        <v>95.043763676148799</v>
      </c>
      <c r="E28" s="209">
        <f>'Ratios Tables'!E20</f>
        <v>77.461383478844866</v>
      </c>
      <c r="F28" s="209">
        <f>'Ratios Tables'!F20</f>
        <v>106.31512868801003</v>
      </c>
      <c r="G28" s="209">
        <f>'Ratios Tables'!G20</f>
        <v>103.17698561601</v>
      </c>
      <c r="H28" s="209">
        <f>'Ratios Tables'!H20</f>
        <v>96.759055982436891</v>
      </c>
      <c r="I28" s="210">
        <f t="shared" si="11"/>
        <v>95.751263488290107</v>
      </c>
      <c r="J28" s="210">
        <f t="shared" si="12"/>
        <v>95.751263488290107</v>
      </c>
      <c r="K28" s="210">
        <f t="shared" si="12"/>
        <v>95.751263488290107</v>
      </c>
      <c r="L28" s="210">
        <f t="shared" si="12"/>
        <v>95.751263488290107</v>
      </c>
      <c r="M28" s="210">
        <f t="shared" si="12"/>
        <v>95.751263488290107</v>
      </c>
      <c r="N28" s="210">
        <f t="shared" si="12"/>
        <v>95.751263488290107</v>
      </c>
      <c r="O28" s="210">
        <f t="shared" si="12"/>
        <v>95.751263488290107</v>
      </c>
      <c r="P28" s="210">
        <f t="shared" si="12"/>
        <v>95.751263488290107</v>
      </c>
      <c r="Q28" s="210">
        <f t="shared" si="12"/>
        <v>95.751263488290107</v>
      </c>
      <c r="R28" s="210">
        <f t="shared" si="12"/>
        <v>95.751263488290107</v>
      </c>
      <c r="S28" s="198"/>
      <c r="W28" s="404"/>
      <c r="X28" s="410"/>
      <c r="Y28" s="411"/>
      <c r="Z28" s="411"/>
    </row>
    <row r="29" spans="1:26">
      <c r="A29" s="201" t="s">
        <v>813</v>
      </c>
      <c r="B29" s="201"/>
      <c r="C29" s="202"/>
      <c r="D29" s="209"/>
      <c r="E29" s="209"/>
      <c r="F29" s="209"/>
      <c r="G29" s="209"/>
      <c r="H29" s="209"/>
      <c r="I29" s="210"/>
      <c r="J29" s="210"/>
      <c r="K29" s="210"/>
      <c r="L29" s="210"/>
      <c r="M29" s="210"/>
      <c r="N29" s="198"/>
      <c r="O29" s="198"/>
      <c r="P29" s="198"/>
      <c r="Q29" s="198"/>
      <c r="R29" s="198"/>
      <c r="S29" s="198"/>
      <c r="W29" s="404"/>
      <c r="X29" s="406" t="s">
        <v>751</v>
      </c>
      <c r="Y29" s="416"/>
      <c r="Z29" s="416" t="s">
        <v>752</v>
      </c>
    </row>
    <row r="30" spans="1:26">
      <c r="A30" s="201"/>
      <c r="B30" s="201"/>
      <c r="C30" s="202"/>
      <c r="D30" s="209"/>
      <c r="E30" s="209"/>
      <c r="F30" s="209"/>
      <c r="G30" s="209"/>
      <c r="H30" s="209"/>
      <c r="I30" s="210"/>
      <c r="J30" s="210"/>
      <c r="K30" s="210"/>
      <c r="L30" s="210"/>
      <c r="M30" s="210"/>
      <c r="N30" s="198"/>
      <c r="O30" s="198"/>
      <c r="P30" s="198"/>
      <c r="Q30" s="198"/>
      <c r="R30" s="198"/>
      <c r="S30" s="198"/>
      <c r="W30" s="404"/>
      <c r="X30" s="405"/>
      <c r="Y30" s="411"/>
      <c r="Z30" s="411"/>
    </row>
    <row r="31" spans="1:26">
      <c r="A31" s="4" t="s">
        <v>817</v>
      </c>
      <c r="B31" s="201"/>
      <c r="C31" s="202"/>
      <c r="D31" s="230">
        <f>'Raw Data'!C30/'Raw Data'!C23</f>
        <v>1.910447761194026</v>
      </c>
      <c r="E31" s="230">
        <f>'Raw Data'!D30/'Raw Data'!D23</f>
        <v>0.9555555555555566</v>
      </c>
      <c r="F31" s="230">
        <f>'Raw Data'!E30/'Raw Data'!E23</f>
        <v>2.0156250000000107</v>
      </c>
      <c r="G31" s="230">
        <f>'Raw Data'!F30/'Raw Data'!F23</f>
        <v>1.3000000000000005</v>
      </c>
      <c r="H31" s="230">
        <f>'Raw Data'!G30/'Raw Data'!G23</f>
        <v>0.62608695652173862</v>
      </c>
      <c r="I31" s="231">
        <v>0.65</v>
      </c>
      <c r="J31" s="231">
        <f>I31</f>
        <v>0.65</v>
      </c>
      <c r="K31" s="231">
        <f t="shared" ref="K31:R31" si="13">J31</f>
        <v>0.65</v>
      </c>
      <c r="L31" s="231">
        <f t="shared" si="13"/>
        <v>0.65</v>
      </c>
      <c r="M31" s="231">
        <f t="shared" si="13"/>
        <v>0.65</v>
      </c>
      <c r="N31" s="231">
        <f t="shared" si="13"/>
        <v>0.65</v>
      </c>
      <c r="O31" s="231">
        <f t="shared" si="13"/>
        <v>0.65</v>
      </c>
      <c r="P31" s="231">
        <f t="shared" si="13"/>
        <v>0.65</v>
      </c>
      <c r="Q31" s="231">
        <f t="shared" si="13"/>
        <v>0.65</v>
      </c>
      <c r="R31" s="231">
        <f t="shared" si="13"/>
        <v>0.65</v>
      </c>
      <c r="S31" s="198"/>
      <c r="W31" s="404"/>
      <c r="X31" s="406" t="s">
        <v>753</v>
      </c>
      <c r="Y31" s="416"/>
      <c r="Z31" s="416" t="s">
        <v>754</v>
      </c>
    </row>
    <row r="32" spans="1:26">
      <c r="A32" s="4" t="s">
        <v>766</v>
      </c>
      <c r="E32" s="53">
        <f>'Decomposed SFP'!D131/'Decomposed SFP'!C131-1</f>
        <v>0.12448979591836729</v>
      </c>
      <c r="F32" s="53">
        <f>'Decomposed SFP'!E131/'Decomposed SFP'!D131-1</f>
        <v>1.4936479128856623</v>
      </c>
      <c r="G32" s="53">
        <f>'Decomposed SFP'!F131/'Decomposed SFP'!E131-1</f>
        <v>-0.50800582241630265</v>
      </c>
      <c r="H32" s="53">
        <f>'Decomposed SFP'!G131/'Decomposed SFP'!F131-1</f>
        <v>1.340236686390532</v>
      </c>
      <c r="I32" s="66">
        <v>0.02</v>
      </c>
      <c r="J32" s="66">
        <f t="shared" ref="J32:R32" si="14">I32</f>
        <v>0.02</v>
      </c>
      <c r="K32" s="66">
        <f t="shared" si="14"/>
        <v>0.02</v>
      </c>
      <c r="L32" s="66">
        <f t="shared" si="14"/>
        <v>0.02</v>
      </c>
      <c r="M32" s="66">
        <f t="shared" si="14"/>
        <v>0.02</v>
      </c>
      <c r="N32" s="66">
        <f t="shared" si="14"/>
        <v>0.02</v>
      </c>
      <c r="O32" s="66">
        <f t="shared" si="14"/>
        <v>0.02</v>
      </c>
      <c r="P32" s="66">
        <f t="shared" si="14"/>
        <v>0.02</v>
      </c>
      <c r="Q32" s="66">
        <f t="shared" si="14"/>
        <v>0.02</v>
      </c>
      <c r="R32" s="66">
        <f t="shared" si="14"/>
        <v>0.02</v>
      </c>
      <c r="S32" s="198"/>
      <c r="W32" s="404"/>
      <c r="X32" s="405"/>
      <c r="Y32" s="411"/>
      <c r="Z32" s="411"/>
    </row>
    <row r="33" spans="1:26">
      <c r="A33" s="708" t="s">
        <v>814</v>
      </c>
      <c r="S33" s="198"/>
      <c r="W33" s="404"/>
      <c r="X33" s="406" t="s">
        <v>755</v>
      </c>
      <c r="Y33" s="416"/>
      <c r="Z33" s="416" t="s">
        <v>756</v>
      </c>
    </row>
    <row r="34" spans="1:26" ht="15" thickBot="1">
      <c r="A34" s="708" t="s">
        <v>815</v>
      </c>
      <c r="S34" s="198"/>
      <c r="W34" s="404"/>
      <c r="X34" s="405"/>
      <c r="Y34" s="411"/>
      <c r="Z34" s="421" t="s">
        <v>867</v>
      </c>
    </row>
    <row r="35" spans="1:26" ht="45">
      <c r="S35" s="198"/>
      <c r="W35" s="404"/>
      <c r="X35" s="435" t="s">
        <v>866</v>
      </c>
      <c r="Y35" s="425"/>
      <c r="Z35" s="422" t="s">
        <v>757</v>
      </c>
    </row>
    <row r="36" spans="1:26">
      <c r="S36" s="198"/>
      <c r="W36" s="404"/>
      <c r="X36" s="405"/>
      <c r="Y36" s="411"/>
      <c r="Z36" s="422" t="s">
        <v>758</v>
      </c>
    </row>
    <row r="37" spans="1:26" ht="48">
      <c r="A37" s="518"/>
      <c r="B37" s="518"/>
      <c r="C37" s="518"/>
      <c r="D37" s="518"/>
      <c r="E37" s="518"/>
      <c r="F37" s="518"/>
      <c r="G37" s="518"/>
      <c r="H37" s="518"/>
      <c r="I37" s="518"/>
      <c r="J37" s="518"/>
      <c r="K37" s="518"/>
      <c r="L37" s="518"/>
      <c r="M37" s="518"/>
      <c r="N37" s="518"/>
      <c r="O37" s="518"/>
      <c r="P37" s="518"/>
      <c r="Q37" s="518"/>
      <c r="R37" s="518"/>
      <c r="S37" s="198"/>
      <c r="W37" s="404"/>
      <c r="X37" s="405"/>
      <c r="Y37" s="411"/>
      <c r="Z37" s="423" t="s">
        <v>1081</v>
      </c>
    </row>
    <row r="38" spans="1:26" ht="21" thickBot="1">
      <c r="A38" s="709" t="s">
        <v>803</v>
      </c>
      <c r="B38" s="710"/>
      <c r="C38" s="711"/>
      <c r="D38" s="710"/>
      <c r="E38" s="710"/>
      <c r="F38" s="710"/>
      <c r="G38" s="710"/>
      <c r="H38" s="710"/>
      <c r="I38" s="710"/>
      <c r="J38" s="710"/>
      <c r="K38" s="710"/>
      <c r="L38" s="710"/>
      <c r="M38" s="710"/>
      <c r="N38" s="712"/>
      <c r="O38" s="712"/>
      <c r="P38" s="712"/>
      <c r="Q38" s="712"/>
      <c r="R38" s="712"/>
      <c r="S38" s="198"/>
      <c r="W38" s="408"/>
      <c r="X38" s="408"/>
      <c r="Y38" s="421"/>
      <c r="Z38" s="538" t="s">
        <v>2639</v>
      </c>
    </row>
    <row r="39" spans="1:26" ht="16">
      <c r="A39" s="712"/>
      <c r="B39" s="712"/>
      <c r="C39" s="713"/>
      <c r="D39" s="712"/>
      <c r="E39" s="712"/>
      <c r="F39" s="712"/>
      <c r="G39" s="712"/>
      <c r="H39" s="712"/>
      <c r="I39" s="712"/>
      <c r="J39" s="712"/>
      <c r="K39" s="712"/>
      <c r="L39" s="712"/>
      <c r="M39" s="712"/>
      <c r="N39" s="712"/>
      <c r="O39" s="712"/>
      <c r="P39" s="712"/>
      <c r="Q39" s="712"/>
      <c r="R39" s="712"/>
      <c r="S39" s="198"/>
    </row>
    <row r="40" spans="1:26" ht="16">
      <c r="A40" s="714" t="s">
        <v>2686</v>
      </c>
      <c r="B40" s="712"/>
      <c r="C40" s="713"/>
      <c r="D40" s="712"/>
      <c r="E40" s="712"/>
      <c r="F40" s="712"/>
      <c r="G40" s="712"/>
      <c r="H40" s="712"/>
      <c r="I40" s="712"/>
      <c r="J40" s="712"/>
      <c r="K40" s="712"/>
      <c r="L40" s="712"/>
      <c r="M40" s="712"/>
      <c r="N40" s="712"/>
      <c r="O40" s="712"/>
      <c r="P40" s="712"/>
      <c r="Q40" s="712"/>
      <c r="R40" s="712"/>
      <c r="S40" s="198"/>
    </row>
    <row r="41" spans="1:26" ht="16">
      <c r="A41" s="712" t="s">
        <v>2687</v>
      </c>
      <c r="B41" s="712"/>
      <c r="C41" s="713"/>
      <c r="D41" s="715"/>
      <c r="E41" s="715"/>
      <c r="F41" s="715"/>
      <c r="G41" s="715"/>
      <c r="H41" s="715"/>
      <c r="I41" s="715"/>
      <c r="J41" s="715"/>
      <c r="K41" s="715"/>
      <c r="L41" s="715"/>
      <c r="M41" s="715"/>
      <c r="N41" s="715"/>
      <c r="O41" s="715"/>
      <c r="P41" s="715"/>
      <c r="Q41" s="715"/>
      <c r="R41" s="715"/>
      <c r="S41" s="198"/>
    </row>
    <row r="42" spans="1:26" ht="16">
      <c r="A42" s="712" t="s">
        <v>2688</v>
      </c>
      <c r="B42" s="712"/>
      <c r="C42" s="713"/>
      <c r="D42" s="715"/>
      <c r="E42" s="715"/>
      <c r="F42" s="715"/>
      <c r="G42" s="715"/>
      <c r="H42" s="715"/>
      <c r="I42" s="715"/>
      <c r="J42" s="715"/>
      <c r="K42" s="715"/>
      <c r="L42" s="715"/>
      <c r="M42" s="715"/>
      <c r="N42" s="715"/>
      <c r="O42" s="715"/>
      <c r="P42" s="715"/>
      <c r="Q42" s="715"/>
      <c r="R42" s="715"/>
      <c r="S42" s="198"/>
      <c r="W42" s="5"/>
      <c r="Z42" s="307"/>
    </row>
    <row r="43" spans="1:26" ht="16">
      <c r="A43" s="710" t="s">
        <v>2689</v>
      </c>
      <c r="B43" s="710"/>
      <c r="C43" s="711"/>
      <c r="D43" s="715"/>
      <c r="E43" s="715"/>
      <c r="F43" s="715"/>
      <c r="G43" s="715"/>
      <c r="H43" s="715"/>
      <c r="I43" s="715"/>
      <c r="J43" s="715"/>
      <c r="K43" s="715"/>
      <c r="L43" s="715"/>
      <c r="M43" s="715"/>
      <c r="N43" s="715"/>
      <c r="O43" s="715"/>
      <c r="P43" s="715"/>
      <c r="Q43" s="715"/>
      <c r="R43" s="715"/>
      <c r="S43" s="198"/>
      <c r="W43" s="5"/>
    </row>
    <row r="44" spans="1:26" ht="16">
      <c r="A44" s="710" t="s">
        <v>2690</v>
      </c>
      <c r="B44" s="710"/>
      <c r="C44" s="711"/>
      <c r="D44" s="715"/>
      <c r="E44" s="715"/>
      <c r="F44" s="715"/>
      <c r="G44" s="715"/>
      <c r="H44" s="715"/>
      <c r="I44" s="715"/>
      <c r="J44" s="715"/>
      <c r="K44" s="715"/>
      <c r="L44" s="715"/>
      <c r="M44" s="715"/>
      <c r="N44" s="715"/>
      <c r="O44" s="715"/>
      <c r="P44" s="715"/>
      <c r="Q44" s="715"/>
      <c r="R44" s="715"/>
      <c r="S44" s="198"/>
      <c r="W44" s="5"/>
    </row>
    <row r="45" spans="1:26" ht="16">
      <c r="A45" s="712" t="s">
        <v>2691</v>
      </c>
      <c r="B45" s="712"/>
      <c r="C45" s="713"/>
      <c r="D45" s="715"/>
      <c r="E45" s="715"/>
      <c r="F45" s="715"/>
      <c r="G45" s="715"/>
      <c r="H45" s="715"/>
      <c r="I45" s="715"/>
      <c r="J45" s="715"/>
      <c r="K45" s="715"/>
      <c r="L45" s="715"/>
      <c r="M45" s="715"/>
      <c r="N45" s="715"/>
      <c r="O45" s="715"/>
      <c r="P45" s="715"/>
      <c r="Q45" s="715"/>
      <c r="R45" s="715"/>
      <c r="S45" s="198"/>
      <c r="W45" s="5"/>
      <c r="X45" s="308"/>
      <c r="Y45" s="308"/>
    </row>
    <row r="46" spans="1:26" ht="16">
      <c r="A46" s="712"/>
      <c r="B46" s="712"/>
      <c r="C46" s="713"/>
      <c r="D46" s="715"/>
      <c r="E46" s="715"/>
      <c r="F46" s="715"/>
      <c r="G46" s="715"/>
      <c r="H46" s="715"/>
      <c r="I46" s="715"/>
      <c r="J46" s="715"/>
      <c r="K46" s="715"/>
      <c r="L46" s="715"/>
      <c r="M46" s="715"/>
      <c r="N46" s="715"/>
      <c r="O46" s="715"/>
      <c r="P46" s="715"/>
      <c r="Q46" s="715"/>
      <c r="R46" s="715"/>
      <c r="S46" s="198"/>
      <c r="W46" s="5"/>
      <c r="X46" s="308"/>
      <c r="Y46" s="308"/>
    </row>
    <row r="47" spans="1:26" ht="16">
      <c r="A47" s="714" t="s">
        <v>804</v>
      </c>
      <c r="B47" s="712"/>
      <c r="C47" s="713"/>
      <c r="D47" s="715"/>
      <c r="E47" s="715"/>
      <c r="F47" s="715"/>
      <c r="G47" s="715"/>
      <c r="H47" s="715"/>
      <c r="I47" s="715"/>
      <c r="J47" s="715"/>
      <c r="K47" s="715"/>
      <c r="L47" s="715"/>
      <c r="M47" s="715"/>
      <c r="N47" s="715"/>
      <c r="O47" s="715"/>
      <c r="P47" s="715"/>
      <c r="Q47" s="715"/>
      <c r="R47" s="715"/>
      <c r="S47" s="198"/>
    </row>
    <row r="48" spans="1:26" ht="16">
      <c r="A48" s="712" t="s">
        <v>805</v>
      </c>
      <c r="B48" s="712"/>
      <c r="C48" s="713"/>
      <c r="D48" s="715"/>
      <c r="E48" s="715"/>
      <c r="F48" s="715"/>
      <c r="G48" s="715"/>
      <c r="H48" s="715"/>
      <c r="I48" s="715"/>
      <c r="J48" s="715"/>
      <c r="K48" s="715"/>
      <c r="L48" s="715"/>
      <c r="M48" s="715"/>
      <c r="N48" s="715"/>
      <c r="O48" s="715"/>
      <c r="P48" s="715"/>
      <c r="Q48" s="715"/>
      <c r="R48" s="715"/>
      <c r="S48" s="198"/>
    </row>
    <row r="49" spans="1:19" ht="16">
      <c r="A49" s="712" t="s">
        <v>806</v>
      </c>
      <c r="B49" s="712"/>
      <c r="C49" s="713"/>
      <c r="D49" s="715"/>
      <c r="E49" s="715"/>
      <c r="F49" s="715"/>
      <c r="G49" s="715"/>
      <c r="H49" s="715"/>
      <c r="I49" s="715"/>
      <c r="J49" s="715"/>
      <c r="K49" s="715"/>
      <c r="L49" s="715"/>
      <c r="M49" s="715"/>
      <c r="N49" s="715"/>
      <c r="O49" s="715"/>
      <c r="P49" s="715"/>
      <c r="Q49" s="715"/>
      <c r="R49" s="715"/>
      <c r="S49" s="198"/>
    </row>
    <row r="50" spans="1:19" ht="16">
      <c r="A50" s="710" t="s">
        <v>807</v>
      </c>
      <c r="B50" s="710"/>
      <c r="C50" s="716"/>
      <c r="D50" s="715">
        <f>'Raw Data'!C122</f>
        <v>6.5</v>
      </c>
      <c r="E50" s="715"/>
      <c r="F50" s="715"/>
      <c r="G50" s="715"/>
      <c r="H50" s="715"/>
      <c r="I50" s="715"/>
      <c r="J50" s="715"/>
      <c r="K50" s="715"/>
      <c r="L50" s="715"/>
      <c r="M50" s="715"/>
      <c r="N50" s="715"/>
      <c r="O50" s="715"/>
      <c r="P50" s="715"/>
      <c r="Q50" s="715"/>
      <c r="R50" s="715"/>
      <c r="S50" s="198"/>
    </row>
    <row r="51" spans="1:19" ht="16">
      <c r="A51" s="710" t="s">
        <v>808</v>
      </c>
      <c r="B51" s="710"/>
      <c r="C51" s="711"/>
      <c r="D51" s="717">
        <f>'Decomposed SFP'!C8+'Decomposed SFP'!C9+'Decomposed SFP'!C7</f>
        <v>72.199999999999989</v>
      </c>
      <c r="E51" s="715"/>
      <c r="F51" s="715"/>
      <c r="G51" s="715"/>
      <c r="H51" s="715"/>
      <c r="I51" s="715"/>
      <c r="J51" s="715"/>
      <c r="K51" s="715"/>
      <c r="L51" s="715"/>
      <c r="M51" s="715"/>
      <c r="N51" s="715"/>
      <c r="O51" s="715"/>
      <c r="P51" s="715"/>
      <c r="Q51" s="715"/>
      <c r="R51" s="715"/>
      <c r="S51" s="198"/>
    </row>
    <row r="52" spans="1:19" ht="16">
      <c r="A52" s="712"/>
      <c r="B52" s="712"/>
      <c r="C52" s="713"/>
      <c r="D52" s="715"/>
      <c r="E52" s="715"/>
      <c r="F52" s="715"/>
      <c r="G52" s="715"/>
      <c r="H52" s="715"/>
      <c r="I52" s="715"/>
      <c r="J52" s="715"/>
      <c r="K52" s="715"/>
      <c r="L52" s="715"/>
      <c r="M52" s="715"/>
      <c r="N52" s="715"/>
      <c r="O52" s="715"/>
      <c r="P52" s="715"/>
      <c r="Q52" s="715"/>
      <c r="R52" s="715"/>
      <c r="S52" s="198"/>
    </row>
    <row r="53" spans="1:19" ht="16">
      <c r="A53" s="714" t="s">
        <v>2692</v>
      </c>
      <c r="B53" s="712"/>
      <c r="C53" s="713"/>
      <c r="D53" s="715"/>
      <c r="E53" s="715"/>
      <c r="F53" s="715"/>
      <c r="G53" s="715"/>
      <c r="H53" s="715"/>
      <c r="I53" s="715"/>
      <c r="J53" s="715"/>
      <c r="K53" s="715"/>
      <c r="L53" s="715"/>
      <c r="M53" s="715"/>
      <c r="N53" s="715"/>
      <c r="O53" s="715"/>
      <c r="P53" s="715"/>
      <c r="Q53" s="715"/>
      <c r="R53" s="715"/>
      <c r="S53" s="198"/>
    </row>
    <row r="54" spans="1:19" ht="16">
      <c r="A54" s="712" t="s">
        <v>2693</v>
      </c>
      <c r="B54" s="712"/>
      <c r="C54" s="713"/>
      <c r="D54" s="715"/>
      <c r="E54" s="715"/>
      <c r="F54" s="715"/>
      <c r="G54" s="715"/>
      <c r="H54" s="715"/>
      <c r="I54" s="715"/>
      <c r="J54" s="715"/>
      <c r="K54" s="715"/>
      <c r="L54" s="715"/>
      <c r="M54" s="715"/>
      <c r="N54" s="715"/>
      <c r="O54" s="715"/>
      <c r="P54" s="715"/>
      <c r="Q54" s="715"/>
      <c r="R54" s="715"/>
      <c r="S54" s="198"/>
    </row>
    <row r="55" spans="1:19" ht="16">
      <c r="A55" s="710" t="s">
        <v>2694</v>
      </c>
      <c r="B55" s="710"/>
      <c r="C55" s="711"/>
      <c r="D55" s="715"/>
      <c r="E55" s="715"/>
      <c r="F55" s="715"/>
      <c r="G55" s="715"/>
      <c r="H55" s="715"/>
      <c r="I55" s="715"/>
      <c r="J55" s="715"/>
      <c r="K55" s="715"/>
      <c r="L55" s="715"/>
      <c r="M55" s="715"/>
      <c r="N55" s="715"/>
      <c r="O55" s="715"/>
      <c r="P55" s="715"/>
      <c r="Q55" s="715"/>
      <c r="R55" s="715"/>
      <c r="S55" s="198"/>
    </row>
    <row r="56" spans="1:19" ht="16">
      <c r="A56" s="710" t="s">
        <v>2695</v>
      </c>
      <c r="B56" s="710"/>
      <c r="C56" s="711"/>
      <c r="D56" s="715"/>
      <c r="E56" s="715"/>
      <c r="F56" s="715"/>
      <c r="G56" s="715"/>
      <c r="H56" s="715"/>
      <c r="I56" s="715"/>
      <c r="J56" s="715"/>
      <c r="K56" s="715"/>
      <c r="L56" s="715"/>
      <c r="M56" s="715"/>
      <c r="N56" s="715"/>
      <c r="O56" s="715"/>
      <c r="P56" s="715"/>
      <c r="Q56" s="715"/>
      <c r="R56" s="715"/>
      <c r="S56" s="198"/>
    </row>
    <row r="57" spans="1:19" ht="16">
      <c r="A57" s="712" t="s">
        <v>166</v>
      </c>
      <c r="B57" s="712"/>
      <c r="C57" s="716"/>
      <c r="D57" s="715"/>
      <c r="E57" s="715"/>
      <c r="F57" s="715"/>
      <c r="G57" s="715"/>
      <c r="H57" s="715"/>
      <c r="I57" s="715"/>
      <c r="J57" s="715"/>
      <c r="K57" s="715"/>
      <c r="L57" s="715"/>
      <c r="M57" s="715"/>
      <c r="N57" s="715"/>
      <c r="O57" s="715"/>
      <c r="P57" s="715"/>
      <c r="Q57" s="715"/>
      <c r="R57" s="715"/>
      <c r="S57" s="198"/>
    </row>
    <row r="58" spans="1:19" ht="15">
      <c r="A58"/>
      <c r="B58"/>
      <c r="C58"/>
      <c r="D58"/>
      <c r="E58"/>
      <c r="F58"/>
      <c r="G58"/>
      <c r="H58"/>
      <c r="I58"/>
      <c r="J58"/>
      <c r="K58"/>
      <c r="L58"/>
      <c r="M58"/>
      <c r="N58" s="198"/>
      <c r="O58" s="198"/>
      <c r="P58" s="198"/>
      <c r="Q58" s="198"/>
      <c r="R58" s="198"/>
      <c r="S58" s="198"/>
    </row>
    <row r="59" spans="1:19" ht="15">
      <c r="A59"/>
      <c r="B59"/>
      <c r="C59"/>
      <c r="D59"/>
      <c r="E59"/>
      <c r="F59"/>
      <c r="G59"/>
      <c r="H59"/>
      <c r="I59"/>
      <c r="J59"/>
      <c r="K59"/>
      <c r="L59"/>
      <c r="M59"/>
      <c r="N59" s="198"/>
      <c r="O59" s="198"/>
      <c r="P59" s="198"/>
      <c r="Q59" s="198"/>
      <c r="R59" s="198"/>
      <c r="S59" s="198"/>
    </row>
    <row r="60" spans="1:19" ht="15">
      <c r="A60"/>
      <c r="B60"/>
      <c r="C60"/>
      <c r="D60"/>
      <c r="E60"/>
      <c r="F60"/>
      <c r="G60"/>
      <c r="H60"/>
      <c r="I60"/>
      <c r="J60"/>
      <c r="K60"/>
      <c r="L60"/>
      <c r="M60"/>
      <c r="N60" s="198"/>
      <c r="O60" s="198"/>
      <c r="P60" s="198"/>
      <c r="Q60" s="198"/>
      <c r="R60" s="198"/>
      <c r="S60" s="198"/>
    </row>
    <row r="61" spans="1:19" ht="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 s="198"/>
      <c r="P61" s="198"/>
      <c r="Q61" s="198"/>
      <c r="R61" s="198"/>
      <c r="S61" s="198"/>
    </row>
    <row r="62" spans="1:19" ht="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 s="198"/>
      <c r="P62" s="198"/>
      <c r="Q62" s="198"/>
      <c r="R62" s="198"/>
      <c r="S62" s="198"/>
    </row>
    <row r="63" spans="1:19" ht="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 s="198"/>
      <c r="P63" s="198"/>
      <c r="Q63" s="198"/>
      <c r="R63" s="198"/>
      <c r="S63" s="198"/>
    </row>
    <row r="64" spans="1:19" ht="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 s="198"/>
      <c r="P64" s="198"/>
      <c r="Q64" s="198"/>
      <c r="R64" s="198"/>
      <c r="S64" s="198"/>
    </row>
    <row r="65" spans="1:19" ht="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 s="198"/>
      <c r="P65" s="198"/>
      <c r="Q65" s="198"/>
      <c r="R65" s="198"/>
      <c r="S65" s="198"/>
    </row>
    <row r="66" spans="1:19" ht="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 s="198"/>
      <c r="P66" s="198"/>
      <c r="Q66" s="198"/>
      <c r="R66" s="198"/>
      <c r="S66" s="198"/>
    </row>
    <row r="67" spans="1:19" ht="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 s="198"/>
      <c r="P67" s="198"/>
      <c r="Q67" s="198"/>
      <c r="R67" s="198"/>
      <c r="S67" s="198"/>
    </row>
    <row r="68" spans="1:19" ht="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 s="198"/>
      <c r="P68" s="198"/>
      <c r="Q68" s="198"/>
      <c r="R68" s="198"/>
      <c r="S68" s="198"/>
    </row>
    <row r="69" spans="1:19" ht="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 s="198"/>
      <c r="P69" s="198"/>
      <c r="Q69" s="198"/>
      <c r="R69" s="198"/>
      <c r="S69" s="198"/>
    </row>
    <row r="70" spans="1:19" ht="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 s="198"/>
      <c r="P70" s="198"/>
      <c r="Q70" s="198"/>
      <c r="R70" s="198"/>
      <c r="S70" s="198"/>
    </row>
    <row r="71" spans="1:19" ht="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 s="198"/>
      <c r="P71" s="198"/>
      <c r="Q71" s="198"/>
      <c r="R71" s="198"/>
      <c r="S71" s="198"/>
    </row>
    <row r="72" spans="1:19" ht="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 s="198"/>
      <c r="P72" s="198"/>
      <c r="Q72" s="198"/>
      <c r="R72" s="198"/>
      <c r="S72" s="198"/>
    </row>
    <row r="73" spans="1:19" ht="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 s="198"/>
      <c r="P73" s="198"/>
      <c r="Q73" s="198"/>
      <c r="R73" s="198"/>
      <c r="S73" s="198"/>
    </row>
    <row r="74" spans="1:19" ht="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 s="198"/>
      <c r="P74" s="198"/>
      <c r="Q74" s="198"/>
      <c r="R74" s="198"/>
      <c r="S74" s="198"/>
    </row>
    <row r="75" spans="1:19" ht="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 s="198"/>
      <c r="P75" s="198"/>
      <c r="Q75" s="198"/>
      <c r="R75" s="198"/>
      <c r="S75" s="198"/>
    </row>
    <row r="76" spans="1:19" ht="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 s="198"/>
      <c r="P76" s="198"/>
      <c r="Q76" s="198"/>
      <c r="R76" s="198"/>
      <c r="S76" s="198"/>
    </row>
    <row r="77" spans="1:19" ht="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 s="198"/>
      <c r="P77" s="198"/>
      <c r="Q77" s="198"/>
      <c r="R77" s="198"/>
      <c r="S77" s="198"/>
    </row>
    <row r="78" spans="1:19" ht="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 s="198"/>
      <c r="P78" s="198"/>
      <c r="Q78" s="198"/>
      <c r="R78" s="198"/>
      <c r="S78" s="198"/>
    </row>
    <row r="79" spans="1:19" ht="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 s="198"/>
      <c r="P79" s="198"/>
      <c r="Q79" s="198"/>
      <c r="R79" s="198"/>
      <c r="S79" s="198"/>
    </row>
    <row r="80" spans="1:19" ht="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 s="198"/>
      <c r="P80" s="198"/>
      <c r="Q80" s="198"/>
      <c r="R80" s="198"/>
      <c r="S80" s="198"/>
    </row>
    <row r="81" spans="1:19" ht="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 s="198"/>
      <c r="P81" s="198"/>
      <c r="Q81" s="198"/>
      <c r="R81" s="198"/>
      <c r="S81" s="198"/>
    </row>
    <row r="82" spans="1:19" ht="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 s="198"/>
      <c r="P82" s="198"/>
      <c r="Q82" s="198"/>
      <c r="R82" s="198"/>
      <c r="S82" s="198"/>
    </row>
    <row r="83" spans="1:19" ht="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 s="198"/>
      <c r="P83" s="198"/>
      <c r="Q83" s="198"/>
      <c r="R83" s="198"/>
      <c r="S83" s="198"/>
    </row>
    <row r="84" spans="1:19" ht="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 s="198"/>
      <c r="P84" s="198"/>
      <c r="Q84" s="198"/>
      <c r="R84" s="198"/>
      <c r="S84" s="198"/>
    </row>
    <row r="85" spans="1:19" ht="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 s="198"/>
      <c r="P85" s="198"/>
      <c r="Q85" s="198"/>
      <c r="R85" s="198"/>
      <c r="S85" s="198"/>
    </row>
    <row r="86" spans="1:19" ht="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 s="201"/>
      <c r="P86" s="201"/>
      <c r="Q86" s="201"/>
      <c r="R86" s="201"/>
      <c r="S86" s="201"/>
    </row>
    <row r="87" spans="1:19" ht="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 s="201"/>
      <c r="P87" s="201"/>
      <c r="Q87" s="201"/>
      <c r="R87" s="201"/>
      <c r="S87" s="201"/>
    </row>
    <row r="88" spans="1:19" ht="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 s="201"/>
      <c r="P88" s="201"/>
      <c r="Q88" s="201"/>
      <c r="R88" s="201"/>
      <c r="S88" s="201"/>
    </row>
    <row r="89" spans="1:19" ht="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 s="201"/>
      <c r="P89" s="201"/>
      <c r="Q89" s="201"/>
      <c r="R89" s="201"/>
      <c r="S89" s="201"/>
    </row>
    <row r="90" spans="1:19" ht="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 s="201"/>
      <c r="P90" s="201"/>
      <c r="Q90" s="201"/>
      <c r="R90" s="201"/>
      <c r="S90" s="201"/>
    </row>
    <row r="91" spans="1:19" ht="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 s="201"/>
      <c r="P91" s="201"/>
      <c r="Q91" s="201"/>
      <c r="R91" s="201"/>
      <c r="S91" s="201"/>
    </row>
    <row r="92" spans="1:19" ht="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 s="232"/>
      <c r="P92" s="232"/>
      <c r="Q92" s="232"/>
      <c r="R92" s="232"/>
      <c r="S92" s="232"/>
    </row>
    <row r="93" spans="1:19" ht="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 s="232"/>
      <c r="P93" s="232"/>
      <c r="Q93" s="232"/>
      <c r="R93" s="232"/>
      <c r="S93" s="232"/>
    </row>
    <row r="94" spans="1:19" ht="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 s="233"/>
      <c r="P94" s="233"/>
      <c r="Q94" s="233"/>
      <c r="R94" s="233"/>
      <c r="S94" s="232"/>
    </row>
    <row r="95" spans="1:19" ht="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 s="232"/>
      <c r="P95" s="232"/>
      <c r="Q95" s="232"/>
      <c r="R95" s="232"/>
      <c r="S95" s="232"/>
    </row>
    <row r="96" spans="1:19" ht="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 s="232"/>
      <c r="P96" s="232"/>
      <c r="Q96" s="232"/>
      <c r="R96" s="232"/>
      <c r="S96" s="232"/>
    </row>
    <row r="97" spans="1:19" ht="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 s="232"/>
      <c r="P97" s="232"/>
      <c r="Q97" s="232"/>
      <c r="R97" s="232"/>
      <c r="S97" s="232"/>
    </row>
    <row r="98" spans="1:19" ht="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 s="232"/>
      <c r="P98" s="232"/>
      <c r="Q98" s="232"/>
      <c r="R98" s="232"/>
      <c r="S98" s="232"/>
    </row>
    <row r="99" spans="1:19" ht="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 s="232"/>
      <c r="P99" s="232"/>
      <c r="Q99" s="232"/>
      <c r="R99" s="232"/>
      <c r="S99" s="232"/>
    </row>
    <row r="100" spans="1:19" ht="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 s="232"/>
      <c r="P100" s="232"/>
      <c r="Q100" s="232"/>
      <c r="R100" s="232"/>
      <c r="S100" s="232"/>
    </row>
    <row r="101" spans="1:19" ht="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 s="232"/>
      <c r="P101" s="232"/>
      <c r="Q101" s="232"/>
      <c r="R101" s="232"/>
      <c r="S101" s="232"/>
    </row>
    <row r="102" spans="1:19" ht="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 s="232"/>
      <c r="P102" s="232"/>
      <c r="Q102" s="232"/>
      <c r="R102" s="232"/>
      <c r="S102" s="232"/>
    </row>
    <row r="103" spans="1:19" ht="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 s="198"/>
      <c r="P103" s="198"/>
      <c r="Q103" s="198"/>
      <c r="R103" s="198"/>
      <c r="S103" s="198"/>
    </row>
    <row r="104" spans="1:19" ht="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 s="198"/>
      <c r="P104" s="198"/>
      <c r="Q104" s="198"/>
      <c r="R104" s="198"/>
      <c r="S104" s="198"/>
    </row>
    <row r="105" spans="1:19" ht="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 s="198"/>
      <c r="P105" s="198"/>
      <c r="Q105" s="198"/>
      <c r="R105" s="198"/>
      <c r="S105" s="198"/>
    </row>
    <row r="106" spans="1:19" ht="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 s="198"/>
      <c r="P106" s="198"/>
      <c r="Q106" s="198"/>
      <c r="R106" s="198"/>
      <c r="S106" s="198"/>
    </row>
    <row r="107" spans="1:19" ht="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 s="198"/>
      <c r="P107" s="198"/>
      <c r="Q107" s="198"/>
      <c r="R107" s="198"/>
      <c r="S107" s="198"/>
    </row>
    <row r="108" spans="1:19" ht="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 s="198"/>
      <c r="P108" s="198"/>
      <c r="Q108" s="198"/>
      <c r="R108" s="198"/>
      <c r="S108" s="198"/>
    </row>
    <row r="109" spans="1:19">
      <c r="A109" s="198"/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</row>
    <row r="110" spans="1:19">
      <c r="A110" s="198"/>
      <c r="B110" s="198"/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198"/>
      <c r="O110" s="198"/>
      <c r="P110" s="198"/>
      <c r="Q110" s="198"/>
      <c r="R110" s="198"/>
      <c r="S110" s="198"/>
    </row>
    <row r="111" spans="1:19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</row>
    <row r="112" spans="1:19">
      <c r="A112" s="198"/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</row>
    <row r="113" spans="1:19">
      <c r="A113" s="198"/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</row>
    <row r="114" spans="1:19">
      <c r="A114" s="198"/>
      <c r="B114" s="198"/>
      <c r="C114" s="198"/>
      <c r="D114" s="198"/>
      <c r="E114" s="198"/>
      <c r="F114" s="198"/>
      <c r="G114" s="198"/>
      <c r="H114" s="198"/>
      <c r="I114" s="198"/>
      <c r="J114" s="198"/>
      <c r="K114" s="198"/>
      <c r="L114" s="198"/>
      <c r="M114" s="198"/>
      <c r="N114" s="198"/>
      <c r="O114" s="198"/>
      <c r="P114" s="198"/>
      <c r="Q114" s="198"/>
      <c r="R114" s="198"/>
      <c r="S114" s="198"/>
    </row>
    <row r="115" spans="1:19">
      <c r="A115" s="198"/>
      <c r="B115" s="198"/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  <c r="M115" s="198"/>
      <c r="N115" s="198"/>
      <c r="O115" s="198"/>
      <c r="P115" s="198"/>
      <c r="Q115" s="198"/>
      <c r="R115" s="198"/>
      <c r="S115" s="198"/>
    </row>
    <row r="116" spans="1:19">
      <c r="A116" s="198"/>
      <c r="B116" s="198"/>
      <c r="C116" s="198"/>
      <c r="D116" s="198"/>
      <c r="E116" s="198"/>
      <c r="F116" s="198"/>
      <c r="G116" s="198"/>
      <c r="H116" s="198"/>
      <c r="I116" s="198"/>
      <c r="J116" s="198"/>
      <c r="K116" s="198"/>
      <c r="L116" s="198"/>
      <c r="M116" s="198"/>
      <c r="N116" s="198"/>
      <c r="O116" s="198"/>
      <c r="P116" s="198"/>
      <c r="Q116" s="198"/>
      <c r="R116" s="198"/>
      <c r="S116" s="198"/>
    </row>
    <row r="117" spans="1:19">
      <c r="A117" s="198"/>
      <c r="B117" s="198"/>
      <c r="C117" s="198"/>
      <c r="D117" s="198"/>
      <c r="E117" s="198"/>
      <c r="F117" s="198"/>
      <c r="G117" s="198"/>
      <c r="H117" s="198"/>
      <c r="I117" s="198"/>
      <c r="J117" s="198"/>
      <c r="K117" s="198"/>
      <c r="L117" s="198"/>
      <c r="M117" s="198"/>
      <c r="N117" s="198"/>
      <c r="O117" s="198"/>
      <c r="P117" s="198"/>
      <c r="Q117" s="198"/>
      <c r="R117" s="198"/>
      <c r="S117" s="198"/>
    </row>
    <row r="118" spans="1:19">
      <c r="A118" s="198"/>
      <c r="B118" s="198"/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  <c r="M118" s="198"/>
      <c r="N118" s="198"/>
      <c r="O118" s="198"/>
      <c r="P118" s="198"/>
      <c r="Q118" s="198"/>
      <c r="R118" s="198"/>
      <c r="S118" s="198"/>
    </row>
    <row r="119" spans="1:19">
      <c r="A119" s="198"/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198"/>
      <c r="O119" s="198"/>
      <c r="P119" s="198"/>
      <c r="Q119" s="198"/>
      <c r="R119" s="198"/>
      <c r="S119" s="198"/>
    </row>
    <row r="120" spans="1:19">
      <c r="A120" s="198"/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</row>
    <row r="121" spans="1:19">
      <c r="A121" s="198"/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</row>
    <row r="122" spans="1:19">
      <c r="A122" s="198"/>
      <c r="B122" s="198"/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</row>
    <row r="123" spans="1:19">
      <c r="A123" s="198"/>
      <c r="B123" s="198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198"/>
      <c r="O123" s="198"/>
      <c r="P123" s="198"/>
      <c r="Q123" s="198"/>
      <c r="R123" s="198"/>
      <c r="S123" s="198"/>
    </row>
    <row r="124" spans="1:19">
      <c r="A124" s="198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198"/>
      <c r="O124" s="198"/>
      <c r="P124" s="198"/>
      <c r="Q124" s="198"/>
      <c r="R124" s="198"/>
      <c r="S124" s="198"/>
    </row>
    <row r="125" spans="1:19">
      <c r="A125" s="198"/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</row>
    <row r="126" spans="1:19">
      <c r="A126" s="198"/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</row>
    <row r="127" spans="1:19">
      <c r="A127" s="198"/>
      <c r="B127" s="198"/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</row>
    <row r="128" spans="1:19">
      <c r="A128" s="198"/>
      <c r="B128" s="198"/>
      <c r="C128" s="198"/>
      <c r="D128" s="198"/>
      <c r="E128" s="198"/>
      <c r="F128" s="198"/>
      <c r="G128" s="198"/>
      <c r="H128" s="198"/>
      <c r="I128" s="198"/>
      <c r="J128" s="198"/>
      <c r="K128" s="198"/>
      <c r="L128" s="198"/>
      <c r="M128" s="198"/>
      <c r="N128" s="198"/>
      <c r="O128" s="198"/>
      <c r="P128" s="198"/>
      <c r="Q128" s="198"/>
      <c r="R128" s="198"/>
      <c r="S128" s="198"/>
    </row>
    <row r="129" spans="1:19">
      <c r="A129" s="198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198"/>
      <c r="O129" s="198"/>
      <c r="P129" s="198"/>
      <c r="Q129" s="198"/>
      <c r="R129" s="198"/>
      <c r="S129" s="198"/>
    </row>
    <row r="130" spans="1:19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198"/>
      <c r="R130" s="198"/>
      <c r="S130" s="198"/>
    </row>
    <row r="131" spans="1:19">
      <c r="A131" s="198"/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</row>
    <row r="132" spans="1:19">
      <c r="A132" s="198"/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</row>
    <row r="133" spans="1:19">
      <c r="A133" s="198"/>
      <c r="B133" s="198"/>
      <c r="C133" s="198"/>
      <c r="D133" s="198"/>
      <c r="E133" s="198"/>
      <c r="F133" s="198"/>
      <c r="G133" s="198"/>
      <c r="H133" s="198"/>
      <c r="I133" s="198"/>
      <c r="J133" s="198"/>
      <c r="K133" s="198"/>
      <c r="L133" s="198"/>
      <c r="M133" s="198"/>
      <c r="N133" s="198"/>
      <c r="O133" s="198"/>
      <c r="P133" s="198"/>
      <c r="Q133" s="198"/>
      <c r="R133" s="198"/>
      <c r="S133" s="198"/>
    </row>
    <row r="134" spans="1:19">
      <c r="A134" s="198"/>
      <c r="B134" s="19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198"/>
      <c r="O134" s="198"/>
      <c r="P134" s="198"/>
      <c r="Q134" s="198"/>
      <c r="R134" s="198"/>
      <c r="S134" s="198"/>
    </row>
    <row r="135" spans="1:19">
      <c r="A135" s="198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198"/>
      <c r="O135" s="198"/>
      <c r="P135" s="198"/>
      <c r="Q135" s="198"/>
      <c r="R135" s="198"/>
      <c r="S135" s="198"/>
    </row>
    <row r="136" spans="1:19">
      <c r="A136" s="198"/>
      <c r="B136" s="198"/>
      <c r="C136" s="198"/>
      <c r="D136" s="198"/>
      <c r="E136" s="198"/>
      <c r="F136" s="198"/>
      <c r="G136" s="198"/>
      <c r="H136" s="198"/>
      <c r="I136" s="198"/>
      <c r="J136" s="198"/>
      <c r="K136" s="198"/>
      <c r="L136" s="198"/>
      <c r="M136" s="198"/>
      <c r="N136" s="198"/>
      <c r="O136" s="198"/>
      <c r="P136" s="198"/>
      <c r="Q136" s="198"/>
      <c r="R136" s="198"/>
      <c r="S136" s="198"/>
    </row>
    <row r="137" spans="1:19">
      <c r="A137" s="198"/>
      <c r="B137" s="198"/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  <c r="M137" s="198"/>
      <c r="N137" s="198"/>
      <c r="O137" s="198"/>
      <c r="P137" s="198"/>
      <c r="Q137" s="198"/>
      <c r="R137" s="198"/>
      <c r="S137" s="198"/>
    </row>
    <row r="138" spans="1:19">
      <c r="A138" s="198"/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</row>
    <row r="139" spans="1:19">
      <c r="A139" s="198"/>
      <c r="B139" s="198"/>
      <c r="C139" s="198"/>
      <c r="D139" s="198"/>
      <c r="E139" s="198"/>
      <c r="F139" s="198"/>
      <c r="G139" s="198"/>
      <c r="H139" s="198"/>
      <c r="I139" s="198"/>
      <c r="J139" s="198"/>
      <c r="K139" s="198"/>
      <c r="L139" s="198"/>
      <c r="M139" s="198"/>
      <c r="N139" s="198"/>
      <c r="O139" s="198"/>
      <c r="P139" s="198"/>
      <c r="Q139" s="198"/>
      <c r="R139" s="198"/>
      <c r="S139" s="198"/>
    </row>
    <row r="140" spans="1:19">
      <c r="A140" s="198"/>
      <c r="B140" s="198"/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  <c r="M140" s="198"/>
      <c r="N140" s="198"/>
      <c r="O140" s="198"/>
      <c r="P140" s="198"/>
      <c r="Q140" s="198"/>
      <c r="R140" s="198"/>
      <c r="S140" s="198"/>
    </row>
    <row r="141" spans="1:19">
      <c r="A141" s="198"/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198"/>
      <c r="O141" s="198"/>
      <c r="P141" s="198"/>
      <c r="Q141" s="198"/>
      <c r="R141" s="198"/>
      <c r="S141" s="198"/>
    </row>
    <row r="142" spans="1:19">
      <c r="A142" s="198"/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198"/>
      <c r="O142" s="198"/>
      <c r="P142" s="198"/>
      <c r="Q142" s="198"/>
      <c r="R142" s="198"/>
      <c r="S142" s="198"/>
    </row>
    <row r="143" spans="1:19">
      <c r="A143" s="198"/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</row>
    <row r="144" spans="1:19">
      <c r="A144" s="198"/>
      <c r="B144" s="198"/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  <c r="M144" s="198"/>
      <c r="N144" s="198"/>
      <c r="O144" s="198"/>
      <c r="P144" s="198"/>
      <c r="Q144" s="198"/>
      <c r="R144" s="198"/>
      <c r="S144" s="198"/>
    </row>
    <row r="145" spans="1:19">
      <c r="A145" s="198"/>
      <c r="B145" s="198"/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198"/>
      <c r="O145" s="198"/>
      <c r="P145" s="198"/>
      <c r="Q145" s="198"/>
      <c r="R145" s="198"/>
      <c r="S145" s="198"/>
    </row>
    <row r="146" spans="1:19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198"/>
      <c r="O146" s="198"/>
      <c r="P146" s="198"/>
      <c r="Q146" s="198"/>
      <c r="R146" s="198"/>
      <c r="S146" s="198"/>
    </row>
    <row r="147" spans="1:19">
      <c r="A147" s="198"/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</row>
    <row r="148" spans="1:19">
      <c r="A148" s="198"/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</row>
    <row r="149" spans="1:19">
      <c r="A149" s="198"/>
      <c r="B149" s="198"/>
      <c r="C149" s="198"/>
      <c r="D149" s="198"/>
      <c r="E149" s="198"/>
      <c r="F149" s="198"/>
      <c r="G149" s="198"/>
      <c r="H149" s="198"/>
      <c r="I149" s="198"/>
      <c r="J149" s="198"/>
      <c r="K149" s="198"/>
      <c r="L149" s="198"/>
      <c r="M149" s="198"/>
      <c r="N149" s="198"/>
      <c r="O149" s="198"/>
      <c r="P149" s="198"/>
      <c r="Q149" s="198"/>
      <c r="R149" s="198"/>
      <c r="S149" s="198"/>
    </row>
    <row r="150" spans="1:19">
      <c r="A150" s="198"/>
      <c r="B150" s="198"/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  <c r="M150" s="198"/>
      <c r="N150" s="198"/>
      <c r="O150" s="198"/>
      <c r="P150" s="198"/>
      <c r="Q150" s="198"/>
      <c r="R150" s="198"/>
      <c r="S150" s="198"/>
    </row>
    <row r="151" spans="1:19">
      <c r="A151" s="198"/>
      <c r="B151" s="198"/>
      <c r="C151" s="198"/>
      <c r="D151" s="198"/>
      <c r="E151" s="198"/>
      <c r="F151" s="198"/>
      <c r="G151" s="198"/>
      <c r="H151" s="198"/>
      <c r="I151" s="198"/>
      <c r="J151" s="198"/>
      <c r="K151" s="198"/>
      <c r="L151" s="198"/>
      <c r="M151" s="198"/>
      <c r="N151" s="198"/>
      <c r="O151" s="198"/>
      <c r="P151" s="198"/>
      <c r="Q151" s="198"/>
      <c r="R151" s="198"/>
      <c r="S151" s="198"/>
    </row>
    <row r="152" spans="1:19">
      <c r="A152" s="198"/>
      <c r="B152" s="198"/>
      <c r="C152" s="198"/>
      <c r="D152" s="198"/>
      <c r="E152" s="198"/>
      <c r="F152" s="198"/>
      <c r="G152" s="198"/>
      <c r="H152" s="198"/>
      <c r="I152" s="198"/>
      <c r="J152" s="198"/>
      <c r="K152" s="198"/>
      <c r="L152" s="198"/>
      <c r="M152" s="198"/>
      <c r="N152" s="198"/>
      <c r="O152" s="198"/>
      <c r="P152" s="198"/>
      <c r="Q152" s="198"/>
      <c r="R152" s="198"/>
      <c r="S152" s="198"/>
    </row>
    <row r="153" spans="1:19">
      <c r="A153" s="198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198"/>
      <c r="O153" s="198"/>
      <c r="P153" s="198"/>
      <c r="Q153" s="198"/>
      <c r="R153" s="198"/>
      <c r="S153" s="198"/>
    </row>
    <row r="154" spans="1:19">
      <c r="A154" s="198"/>
      <c r="B154" s="19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198"/>
      <c r="O154" s="198"/>
      <c r="P154" s="198"/>
      <c r="Q154" s="198"/>
      <c r="R154" s="198"/>
      <c r="S154" s="198"/>
    </row>
    <row r="155" spans="1:19">
      <c r="A155" s="198"/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198"/>
      <c r="O155" s="198"/>
      <c r="P155" s="198"/>
      <c r="Q155" s="198"/>
      <c r="R155" s="198"/>
      <c r="S155" s="198"/>
    </row>
    <row r="156" spans="1:19">
      <c r="A156" s="198"/>
      <c r="B156" s="198"/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  <c r="M156" s="198"/>
      <c r="N156" s="198"/>
      <c r="O156" s="198"/>
      <c r="P156" s="198"/>
      <c r="Q156" s="198"/>
      <c r="R156" s="198"/>
      <c r="S156" s="198"/>
    </row>
    <row r="157" spans="1:19">
      <c r="A157" s="198"/>
      <c r="B157" s="198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198"/>
      <c r="R157" s="198"/>
      <c r="S157" s="198"/>
    </row>
    <row r="158" spans="1:19">
      <c r="A158" s="198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</row>
    <row r="159" spans="1:19">
      <c r="A159" s="198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198"/>
      <c r="O159" s="198"/>
      <c r="P159" s="198"/>
      <c r="Q159" s="198"/>
      <c r="R159" s="198"/>
      <c r="S159" s="198"/>
    </row>
    <row r="160" spans="1:19">
      <c r="A160" s="198"/>
      <c r="B160" s="198"/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198"/>
      <c r="O160" s="198"/>
      <c r="P160" s="198"/>
      <c r="Q160" s="198"/>
      <c r="R160" s="198"/>
      <c r="S160" s="198"/>
    </row>
    <row r="161" spans="1:19">
      <c r="A161" s="198"/>
      <c r="B161" s="198"/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</row>
    <row r="162" spans="1:19">
      <c r="A162" s="198"/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</row>
    <row r="163" spans="1:19">
      <c r="A163" s="198"/>
      <c r="B163" s="198"/>
      <c r="C163" s="198"/>
      <c r="D163" s="198"/>
      <c r="E163" s="198"/>
      <c r="F163" s="198"/>
      <c r="G163" s="198"/>
      <c r="H163" s="198"/>
      <c r="I163" s="198"/>
      <c r="J163" s="198"/>
      <c r="K163" s="198"/>
      <c r="L163" s="198"/>
      <c r="M163" s="198"/>
      <c r="N163" s="198"/>
      <c r="O163" s="198"/>
      <c r="P163" s="198"/>
      <c r="Q163" s="198"/>
      <c r="R163" s="198"/>
      <c r="S163" s="198"/>
    </row>
    <row r="164" spans="1:19">
      <c r="A164" s="198"/>
      <c r="B164" s="19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</row>
    <row r="165" spans="1:19">
      <c r="A165" s="198"/>
      <c r="B165" s="198"/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198"/>
      <c r="O165" s="198"/>
      <c r="P165" s="198"/>
      <c r="Q165" s="198"/>
      <c r="R165" s="198"/>
      <c r="S165" s="198"/>
    </row>
    <row r="166" spans="1:19">
      <c r="A166" s="198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198"/>
      <c r="O166" s="198"/>
      <c r="P166" s="198"/>
      <c r="Q166" s="198"/>
      <c r="R166" s="198"/>
      <c r="S166" s="198"/>
    </row>
    <row r="167" spans="1:19">
      <c r="A167" s="198"/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</row>
    <row r="168" spans="1:19">
      <c r="A168" s="198"/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</row>
    <row r="169" spans="1:19">
      <c r="A169" s="198"/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</row>
    <row r="170" spans="1:19">
      <c r="A170" s="198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198"/>
      <c r="O170" s="198"/>
      <c r="P170" s="198"/>
      <c r="Q170" s="198"/>
      <c r="R170" s="198"/>
      <c r="S170" s="198"/>
    </row>
    <row r="171" spans="1:19">
      <c r="A171" s="198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198"/>
      <c r="O171" s="198"/>
      <c r="P171" s="198"/>
      <c r="Q171" s="198"/>
      <c r="R171" s="198"/>
      <c r="S171" s="198"/>
    </row>
    <row r="172" spans="1:19">
      <c r="A172" s="198"/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198"/>
      <c r="O172" s="198"/>
      <c r="P172" s="198"/>
      <c r="Q172" s="198"/>
      <c r="R172" s="198"/>
      <c r="S172" s="198"/>
    </row>
    <row r="173" spans="1:19">
      <c r="A173" s="198"/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</row>
    <row r="174" spans="1:19">
      <c r="A174" s="198"/>
      <c r="B174" s="198"/>
      <c r="C174" s="198"/>
      <c r="D174" s="198"/>
      <c r="E174" s="198"/>
      <c r="F174" s="198"/>
      <c r="G174" s="198"/>
      <c r="H174" s="198"/>
      <c r="I174" s="198"/>
      <c r="J174" s="198"/>
      <c r="K174" s="198"/>
      <c r="L174" s="198"/>
      <c r="M174" s="198"/>
      <c r="N174" s="198"/>
      <c r="O174" s="198"/>
      <c r="P174" s="198"/>
      <c r="Q174" s="198"/>
      <c r="R174" s="198"/>
      <c r="S174" s="198"/>
    </row>
    <row r="175" spans="1:19">
      <c r="A175" s="198"/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198"/>
      <c r="O175" s="198"/>
      <c r="P175" s="198"/>
      <c r="Q175" s="198"/>
      <c r="R175" s="198"/>
      <c r="S175" s="198"/>
    </row>
    <row r="176" spans="1:19">
      <c r="A176" s="198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198"/>
      <c r="O176" s="198"/>
      <c r="P176" s="198"/>
      <c r="Q176" s="198"/>
      <c r="R176" s="198"/>
      <c r="S176" s="198"/>
    </row>
    <row r="177" spans="1:19">
      <c r="A177" s="198"/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198"/>
      <c r="O177" s="198"/>
      <c r="P177" s="198"/>
      <c r="Q177" s="198"/>
      <c r="R177" s="198"/>
      <c r="S177" s="198"/>
    </row>
    <row r="178" spans="1:19">
      <c r="A178" s="198"/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</row>
    <row r="179" spans="1:19">
      <c r="A179" s="198"/>
      <c r="B179" s="198"/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  <c r="M179" s="198"/>
      <c r="N179" s="198"/>
      <c r="O179" s="198"/>
      <c r="P179" s="198"/>
      <c r="Q179" s="198"/>
      <c r="R179" s="198"/>
      <c r="S179" s="198"/>
    </row>
    <row r="180" spans="1:19">
      <c r="A180" s="198"/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198"/>
      <c r="O180" s="198"/>
      <c r="P180" s="198"/>
      <c r="Q180" s="198"/>
      <c r="R180" s="198"/>
      <c r="S180" s="198"/>
    </row>
    <row r="181" spans="1:19">
      <c r="A181" s="198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198"/>
      <c r="O181" s="198"/>
      <c r="P181" s="198"/>
      <c r="Q181" s="198"/>
      <c r="R181" s="198"/>
      <c r="S181" s="198"/>
    </row>
    <row r="182" spans="1:19">
      <c r="A182" s="198"/>
      <c r="B182" s="198"/>
      <c r="C182" s="198"/>
      <c r="D182" s="198"/>
      <c r="E182" s="198"/>
      <c r="F182" s="198"/>
      <c r="G182" s="198"/>
      <c r="H182" s="198"/>
      <c r="I182" s="198"/>
      <c r="J182" s="198"/>
      <c r="K182" s="198"/>
      <c r="L182" s="198"/>
      <c r="M182" s="198"/>
      <c r="N182" s="198"/>
      <c r="O182" s="198"/>
      <c r="P182" s="198"/>
      <c r="Q182" s="198"/>
      <c r="R182" s="198"/>
      <c r="S182" s="198"/>
    </row>
    <row r="183" spans="1:19">
      <c r="A183" s="198"/>
      <c r="B183" s="198"/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  <c r="M183" s="198"/>
      <c r="N183" s="198"/>
      <c r="O183" s="198"/>
      <c r="P183" s="198"/>
      <c r="Q183" s="198"/>
      <c r="R183" s="198"/>
      <c r="S183" s="198"/>
    </row>
    <row r="184" spans="1:19">
      <c r="A184" s="198"/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</row>
    <row r="185" spans="1:19">
      <c r="A185" s="198"/>
      <c r="B185" s="198"/>
      <c r="C185" s="198"/>
      <c r="D185" s="198"/>
      <c r="E185" s="198"/>
      <c r="F185" s="198"/>
      <c r="G185" s="198"/>
      <c r="H185" s="198"/>
      <c r="I185" s="198"/>
      <c r="J185" s="198"/>
      <c r="K185" s="198"/>
      <c r="L185" s="198"/>
      <c r="M185" s="198"/>
      <c r="N185" s="198"/>
      <c r="O185" s="198"/>
      <c r="P185" s="198"/>
      <c r="Q185" s="198"/>
      <c r="R185" s="198"/>
      <c r="S185" s="198"/>
    </row>
    <row r="186" spans="1:19">
      <c r="A186" s="198"/>
      <c r="B186" s="198"/>
      <c r="C186" s="198"/>
      <c r="D186" s="198"/>
      <c r="E186" s="198"/>
      <c r="F186" s="198"/>
      <c r="G186" s="198"/>
      <c r="H186" s="198"/>
      <c r="I186" s="198"/>
      <c r="J186" s="198"/>
      <c r="K186" s="198"/>
      <c r="L186" s="198"/>
      <c r="M186" s="198"/>
      <c r="N186" s="198"/>
      <c r="O186" s="198"/>
      <c r="P186" s="198"/>
      <c r="Q186" s="198"/>
      <c r="R186" s="198"/>
      <c r="S186" s="198"/>
    </row>
    <row r="187" spans="1:19">
      <c r="A187" s="198"/>
      <c r="B187" s="198"/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  <c r="M187" s="198"/>
      <c r="N187" s="198"/>
      <c r="O187" s="198"/>
      <c r="P187" s="198"/>
      <c r="Q187" s="198"/>
      <c r="R187" s="198"/>
      <c r="S187" s="198"/>
    </row>
    <row r="188" spans="1:19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198"/>
      <c r="O188" s="198"/>
      <c r="P188" s="198"/>
      <c r="Q188" s="198"/>
      <c r="R188" s="198"/>
      <c r="S188" s="198"/>
    </row>
    <row r="189" spans="1:19">
      <c r="A189" s="198"/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198"/>
      <c r="O189" s="198"/>
      <c r="P189" s="198"/>
      <c r="Q189" s="198"/>
      <c r="R189" s="198"/>
      <c r="S189" s="198"/>
    </row>
    <row r="190" spans="1:19">
      <c r="A190" s="198"/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</row>
    <row r="191" spans="1:19">
      <c r="A191" s="198"/>
      <c r="B191" s="198"/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  <c r="M191" s="198"/>
      <c r="N191" s="198"/>
      <c r="O191" s="198"/>
      <c r="P191" s="198"/>
      <c r="Q191" s="198"/>
      <c r="R191" s="198"/>
      <c r="S191" s="198"/>
    </row>
    <row r="192" spans="1:19">
      <c r="A192" s="198"/>
      <c r="B192" s="198"/>
      <c r="C192" s="198"/>
      <c r="D192" s="198"/>
      <c r="E192" s="198"/>
      <c r="F192" s="198"/>
      <c r="G192" s="198"/>
      <c r="H192" s="198"/>
      <c r="I192" s="198"/>
      <c r="J192" s="198"/>
      <c r="K192" s="198"/>
      <c r="L192" s="198"/>
      <c r="M192" s="198"/>
      <c r="N192" s="198"/>
      <c r="O192" s="198"/>
      <c r="P192" s="198"/>
      <c r="Q192" s="198"/>
      <c r="R192" s="198"/>
      <c r="S192" s="198"/>
    </row>
    <row r="193" spans="1:19">
      <c r="A193" s="198"/>
      <c r="B193" s="198"/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  <c r="M193" s="198"/>
      <c r="N193" s="198"/>
      <c r="O193" s="198"/>
      <c r="P193" s="198"/>
      <c r="Q193" s="198"/>
      <c r="R193" s="198"/>
      <c r="S193" s="198"/>
    </row>
    <row r="194" spans="1:19">
      <c r="A194" s="198"/>
      <c r="B194" s="198"/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  <c r="M194" s="198"/>
      <c r="N194" s="198"/>
      <c r="O194" s="198"/>
      <c r="P194" s="198"/>
      <c r="Q194" s="198"/>
      <c r="R194" s="198"/>
      <c r="S194" s="198"/>
    </row>
    <row r="195" spans="1:19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198"/>
      <c r="O195" s="198"/>
      <c r="P195" s="198"/>
      <c r="Q195" s="198"/>
      <c r="R195" s="198"/>
      <c r="S195" s="198"/>
    </row>
    <row r="196" spans="1:19">
      <c r="A196" s="198"/>
      <c r="B196" s="19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198"/>
      <c r="O196" s="198"/>
      <c r="P196" s="198"/>
      <c r="Q196" s="198"/>
      <c r="R196" s="198"/>
      <c r="S196" s="198"/>
    </row>
    <row r="197" spans="1:19">
      <c r="A197" s="198"/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  <c r="P197" s="198"/>
      <c r="Q197" s="198"/>
      <c r="R197" s="198"/>
      <c r="S197" s="198"/>
    </row>
    <row r="198" spans="1:19">
      <c r="A198" s="198"/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  <c r="P198" s="198"/>
      <c r="Q198" s="198"/>
      <c r="R198" s="198"/>
      <c r="S198" s="198"/>
    </row>
    <row r="199" spans="1:19">
      <c r="A199" s="198"/>
      <c r="B199" s="198"/>
      <c r="C199" s="198"/>
      <c r="D199" s="198"/>
      <c r="E199" s="198"/>
      <c r="F199" s="198"/>
      <c r="G199" s="198"/>
      <c r="H199" s="198"/>
      <c r="I199" s="198"/>
      <c r="J199" s="198"/>
      <c r="K199" s="198"/>
      <c r="L199" s="198"/>
      <c r="M199" s="198"/>
      <c r="N199" s="198"/>
      <c r="O199" s="198"/>
      <c r="P199" s="198"/>
      <c r="Q199" s="198"/>
      <c r="R199" s="198"/>
      <c r="S199" s="198"/>
    </row>
    <row r="200" spans="1:19">
      <c r="A200" s="198"/>
      <c r="B200" s="198"/>
      <c r="C200" s="198"/>
      <c r="D200" s="198"/>
      <c r="E200" s="198"/>
      <c r="F200" s="198"/>
      <c r="G200" s="198"/>
      <c r="H200" s="198"/>
      <c r="I200" s="198"/>
      <c r="J200" s="198"/>
      <c r="K200" s="198"/>
      <c r="L200" s="198"/>
      <c r="M200" s="198"/>
      <c r="N200" s="198"/>
      <c r="O200" s="198"/>
      <c r="P200" s="198"/>
      <c r="Q200" s="198"/>
      <c r="R200" s="198"/>
      <c r="S200" s="198"/>
    </row>
  </sheetData>
  <hyperlinks>
    <hyperlink ref="Z36" r:id="rId1" xr:uid="{DC06521F-0D3C-C54F-9F9D-7678D7360B2F}"/>
    <hyperlink ref="Z35" r:id="rId2" xr:uid="{E8815E68-8D45-9A4C-BC34-2E8483B7F24F}"/>
    <hyperlink ref="Z37" r:id="rId3" location=":~:text=Standard%20%26%20Poor's%20credit%20rating%20for,at%20AA%2D%20with%20negative%20outlook." xr:uid="{FF7E0CA5-4D39-E844-B961-721E3153D1D5}"/>
    <hyperlink ref="Z38" r:id="rId4" xr:uid="{67543BF2-665E-854A-A844-301D98E493C3}"/>
  </hyperlinks>
  <pageMargins left="0.7" right="0.7" top="0.75" bottom="0.75" header="0.3" footer="0.3"/>
  <pageSetup orientation="portrait" r:id="rId5"/>
  <ignoredErrors>
    <ignoredError sqref="D8:H8 D4:H4 D6:H6 J31:R31 D23:R23 D25:R29 I6:S8 E12:R12 J4:R4 D31:H31" unlockedFormula="1"/>
    <ignoredError sqref="J16:R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7DD0-D281-403B-9FF2-DE179C2A601B}">
  <sheetPr codeName="Sheet8"/>
  <dimension ref="A3:W108"/>
  <sheetViews>
    <sheetView showGridLines="0" topLeftCell="G24" zoomScale="107" workbookViewId="0">
      <selection activeCell="Z20" sqref="Z20"/>
    </sheetView>
  </sheetViews>
  <sheetFormatPr baseColWidth="10" defaultColWidth="8.83203125" defaultRowHeight="15"/>
  <cols>
    <col min="1" max="1" width="55.5" style="4" bestFit="1" customWidth="1"/>
    <col min="2" max="2" width="8.83203125" style="4"/>
    <col min="3" max="3" width="8.83203125" style="38"/>
    <col min="4" max="7" width="8.83203125" style="4"/>
    <col min="13" max="13" width="33.33203125" bestFit="1" customWidth="1"/>
    <col min="14" max="16384" width="8.83203125" style="4"/>
  </cols>
  <sheetData>
    <row r="3" spans="1:23" ht="20">
      <c r="A3" s="190" t="s">
        <v>832</v>
      </c>
      <c r="B3" s="27"/>
      <c r="C3" s="40">
        <f>'Decomposed SFP'!C3</f>
        <v>2018</v>
      </c>
      <c r="D3" s="40">
        <f>'Decomposed SFP'!D3</f>
        <v>2019</v>
      </c>
      <c r="E3" s="40">
        <f>'Decomposed SFP'!E3</f>
        <v>2020</v>
      </c>
      <c r="F3" s="40">
        <f>'Decomposed SFP'!F3</f>
        <v>2021</v>
      </c>
      <c r="G3" s="40">
        <f>'Decomposed SFP'!G3</f>
        <v>2022</v>
      </c>
      <c r="M3" s="525" t="str">
        <f>A3</f>
        <v>Free Cash Flow</v>
      </c>
      <c r="N3" s="526">
        <f>'Decomposed SFP'!H3</f>
        <v>2023</v>
      </c>
      <c r="O3" s="526">
        <f>'Decomposed SFP'!I3</f>
        <v>2024</v>
      </c>
      <c r="P3" s="526">
        <f>'Decomposed SFP'!J3</f>
        <v>2025</v>
      </c>
      <c r="Q3" s="526">
        <f>'Decomposed SFP'!K3</f>
        <v>2026</v>
      </c>
      <c r="R3" s="526">
        <f>'Decomposed SFP'!L3</f>
        <v>2027</v>
      </c>
      <c r="S3" s="526">
        <f>'Decomposed SFP'!M3</f>
        <v>2028</v>
      </c>
      <c r="T3" s="526">
        <f>'Decomposed SFP'!N3</f>
        <v>2029</v>
      </c>
      <c r="U3" s="526">
        <f>'Decomposed SFP'!O3</f>
        <v>2030</v>
      </c>
      <c r="V3" s="526">
        <f>'Decomposed SFP'!P3</f>
        <v>2031</v>
      </c>
      <c r="W3" s="526">
        <f>'Decomposed SFP'!Q3</f>
        <v>2032</v>
      </c>
    </row>
    <row r="4" spans="1:23" ht="16">
      <c r="A4" s="27"/>
      <c r="B4" s="27"/>
      <c r="C4" s="40" t="str">
        <f>'Decomposed SFP'!C4</f>
        <v>£'M</v>
      </c>
      <c r="D4" s="40" t="str">
        <f>'Decomposed SFP'!D4</f>
        <v>£'M</v>
      </c>
      <c r="E4" s="40" t="str">
        <f>'Decomposed SFP'!E4</f>
        <v>£'M</v>
      </c>
      <c r="F4" s="40" t="str">
        <f>'Decomposed SFP'!F4</f>
        <v>£'M</v>
      </c>
      <c r="G4" s="40" t="str">
        <f>'Decomposed SFP'!G4</f>
        <v>£'M</v>
      </c>
      <c r="M4" s="527"/>
      <c r="N4" s="528" t="str">
        <f>'Decomposed SFP'!H4</f>
        <v>£'M</v>
      </c>
      <c r="O4" s="528" t="str">
        <f>'Decomposed SFP'!I4</f>
        <v>£'M</v>
      </c>
      <c r="P4" s="528" t="str">
        <f>'Decomposed SFP'!J4</f>
        <v>£'M</v>
      </c>
      <c r="Q4" s="528" t="str">
        <f>'Decomposed SFP'!K4</f>
        <v>£'M</v>
      </c>
      <c r="R4" s="528" t="str">
        <f>'Decomposed SFP'!L4</f>
        <v>£'M</v>
      </c>
      <c r="S4" s="528" t="str">
        <f>'Decomposed SFP'!M4</f>
        <v>£'M</v>
      </c>
      <c r="T4" s="528" t="str">
        <f>'Decomposed SFP'!N4</f>
        <v>£'M</v>
      </c>
      <c r="U4" s="528" t="str">
        <f>'Decomposed SFP'!O4</f>
        <v>£'M</v>
      </c>
      <c r="V4" s="528" t="str">
        <f>'Decomposed SFP'!P4</f>
        <v>£'M</v>
      </c>
      <c r="W4" s="528" t="str">
        <f>'Decomposed SFP'!Q4</f>
        <v>£'M</v>
      </c>
    </row>
    <row r="5" spans="1:23">
      <c r="A5" s="5" t="s">
        <v>70</v>
      </c>
      <c r="C5" s="39"/>
      <c r="D5" s="8"/>
      <c r="E5" s="8"/>
      <c r="F5" s="8"/>
      <c r="G5" s="8"/>
      <c r="M5" s="5" t="str">
        <f>A5</f>
        <v>Cash flows from operating activities</v>
      </c>
    </row>
    <row r="6" spans="1:23">
      <c r="A6" s="10" t="s">
        <v>163</v>
      </c>
      <c r="B6" s="10"/>
      <c r="C6" s="179">
        <f>'IS normalized'!C61</f>
        <v>21.945918367346945</v>
      </c>
      <c r="D6" s="180">
        <f>'IS normalized'!D61</f>
        <v>14.789325842696615</v>
      </c>
      <c r="E6" s="180">
        <f>'IS normalized'!E61</f>
        <v>16.751428571428541</v>
      </c>
      <c r="F6" s="180">
        <f>'IS normalized'!F61</f>
        <v>24.763636363636365</v>
      </c>
      <c r="G6" s="180">
        <f>'IS normalized'!G61</f>
        <v>26.672100313479646</v>
      </c>
      <c r="M6" s="10" t="str">
        <f>A6</f>
        <v>NOPLAT</v>
      </c>
      <c r="N6" s="180">
        <f>'IS normalized'!H61</f>
        <v>24.038277903556384</v>
      </c>
      <c r="O6" s="180">
        <f>'IS normalized'!I61</f>
        <v>25.467532201431482</v>
      </c>
      <c r="P6" s="180">
        <f>'IS normalized'!J61</f>
        <v>27.504934777546023</v>
      </c>
      <c r="Q6" s="180">
        <f>'IS normalized'!K61</f>
        <v>29.7053295597497</v>
      </c>
      <c r="R6" s="180">
        <f>'IS normalized'!L61</f>
        <v>32.081755924529688</v>
      </c>
      <c r="S6" s="180">
        <f>'IS normalized'!M61</f>
        <v>34.648296398492022</v>
      </c>
      <c r="T6" s="180">
        <f>'IS normalized'!N61</f>
        <v>37.420160110371413</v>
      </c>
      <c r="U6" s="180">
        <f>'IS normalized'!O61</f>
        <v>40.413772919201122</v>
      </c>
      <c r="V6" s="180">
        <f>'IS normalized'!P61</f>
        <v>43.646874752737219</v>
      </c>
      <c r="W6" s="180">
        <f>'IS normalized'!Q61</f>
        <v>47.138624732956195</v>
      </c>
    </row>
    <row r="7" spans="1:23">
      <c r="A7" s="5"/>
      <c r="B7" s="5"/>
      <c r="C7" s="181"/>
      <c r="D7" s="178"/>
      <c r="E7" s="178"/>
      <c r="F7" s="178"/>
      <c r="G7" s="178"/>
      <c r="M7" s="4"/>
    </row>
    <row r="8" spans="1:23">
      <c r="A8" s="4" t="s">
        <v>72</v>
      </c>
      <c r="C8" s="39"/>
      <c r="D8" s="8"/>
      <c r="E8" s="8"/>
      <c r="F8" s="8"/>
      <c r="G8" s="8"/>
      <c r="M8" s="4" t="str">
        <f>A8</f>
        <v>Adjustments for:</v>
      </c>
    </row>
    <row r="9" spans="1:23" ht="11.25" customHeight="1">
      <c r="A9" s="4" t="s">
        <v>73</v>
      </c>
      <c r="B9" s="4" t="s">
        <v>139</v>
      </c>
      <c r="C9" s="39">
        <f>'Raw Data'!C122</f>
        <v>6.5</v>
      </c>
      <c r="D9" s="8">
        <f>'Raw Data'!D122</f>
        <v>5.6</v>
      </c>
      <c r="E9" s="8">
        <f>'Raw Data'!E122</f>
        <v>5.8</v>
      </c>
      <c r="F9" s="8">
        <f>'Raw Data'!F122</f>
        <v>4.4000000000000004</v>
      </c>
      <c r="G9" s="8">
        <f>'Raw Data'!G122</f>
        <v>3.9</v>
      </c>
      <c r="M9" s="4" t="s">
        <v>833</v>
      </c>
      <c r="N9" s="18">
        <f>-'IS normalized'!H56</f>
        <v>23.1892405748032</v>
      </c>
      <c r="O9" s="18">
        <f>-'IS normalized'!I56</f>
        <v>25.702790400000008</v>
      </c>
      <c r="P9" s="18">
        <f>-'IS normalized'!J56</f>
        <v>27.759013632000009</v>
      </c>
      <c r="Q9" s="18">
        <f>-'IS normalized'!K56</f>
        <v>29.979734722560011</v>
      </c>
      <c r="R9" s="18">
        <f>-'IS normalized'!L56</f>
        <v>32.378113500364812</v>
      </c>
      <c r="S9" s="18">
        <f>-'IS normalized'!M56</f>
        <v>34.968362580394</v>
      </c>
      <c r="T9" s="18">
        <f>-'IS normalized'!N56</f>
        <v>37.765831586825527</v>
      </c>
      <c r="U9" s="18">
        <f>-'IS normalized'!O56</f>
        <v>40.78709811377157</v>
      </c>
      <c r="V9" s="18">
        <f>-'IS normalized'!P56</f>
        <v>44.050065962873298</v>
      </c>
      <c r="W9" s="18">
        <f>-'IS normalized'!Q56</f>
        <v>47.574071239903162</v>
      </c>
    </row>
    <row r="10" spans="1:23" ht="13.5" customHeight="1">
      <c r="A10" s="4" t="s">
        <v>74</v>
      </c>
      <c r="B10" s="4" t="s">
        <v>139</v>
      </c>
      <c r="C10" s="39">
        <f>'Raw Data'!C123</f>
        <v>0</v>
      </c>
      <c r="D10" s="8">
        <f>'Raw Data'!D123</f>
        <v>0</v>
      </c>
      <c r="E10" s="8">
        <f>'Raw Data'!E123</f>
        <v>6</v>
      </c>
      <c r="F10" s="8">
        <f>'Raw Data'!F123</f>
        <v>5.9</v>
      </c>
      <c r="G10" s="8">
        <f>'Raw Data'!G123</f>
        <v>5.4</v>
      </c>
      <c r="M10" s="10" t="str">
        <f>A14</f>
        <v xml:space="preserve">Gross cash flow </v>
      </c>
      <c r="N10" s="191">
        <f>SUM(N6:N9)</f>
        <v>47.227518478359585</v>
      </c>
      <c r="O10" s="191">
        <f t="shared" ref="O10:W10" si="0">SUM(O6:O9)</f>
        <v>51.170322601431494</v>
      </c>
      <c r="P10" s="191">
        <f t="shared" si="0"/>
        <v>55.263948409546032</v>
      </c>
      <c r="Q10" s="191">
        <f t="shared" si="0"/>
        <v>59.68506428230971</v>
      </c>
      <c r="R10" s="191">
        <f t="shared" si="0"/>
        <v>64.459869424894492</v>
      </c>
      <c r="S10" s="191">
        <f t="shared" si="0"/>
        <v>69.616658978886022</v>
      </c>
      <c r="T10" s="191">
        <f t="shared" si="0"/>
        <v>75.18599169719694</v>
      </c>
      <c r="U10" s="191">
        <f t="shared" si="0"/>
        <v>81.200871032972685</v>
      </c>
      <c r="V10" s="191">
        <f t="shared" si="0"/>
        <v>87.696940715610509</v>
      </c>
      <c r="W10" s="191">
        <f t="shared" si="0"/>
        <v>94.712695972859365</v>
      </c>
    </row>
    <row r="11" spans="1:23">
      <c r="A11" s="4" t="s">
        <v>77</v>
      </c>
      <c r="B11" s="4" t="s">
        <v>139</v>
      </c>
      <c r="C11" s="39">
        <f>'Raw Data'!C126</f>
        <v>9.4</v>
      </c>
      <c r="D11" s="8">
        <f>'Raw Data'!D126</f>
        <v>9</v>
      </c>
      <c r="E11" s="8">
        <f>'Raw Data'!E126</f>
        <v>8.8000000000000007</v>
      </c>
      <c r="F11" s="8">
        <f>'Raw Data'!F126</f>
        <v>6.4</v>
      </c>
      <c r="G11" s="8">
        <f>'Raw Data'!G126</f>
        <v>8.6</v>
      </c>
      <c r="M11" s="4"/>
    </row>
    <row r="12" spans="1:23">
      <c r="A12" s="4" t="s">
        <v>79</v>
      </c>
      <c r="B12" s="4" t="s">
        <v>139</v>
      </c>
      <c r="C12" s="39">
        <f>'Raw Data'!C127</f>
        <v>5.9</v>
      </c>
      <c r="D12" s="8">
        <f>'Raw Data'!D127</f>
        <v>4.4000000000000004</v>
      </c>
      <c r="E12" s="8">
        <f>'Raw Data'!E127</f>
        <v>3</v>
      </c>
      <c r="F12" s="8">
        <f>'Raw Data'!F127</f>
        <v>3</v>
      </c>
      <c r="G12" s="8">
        <f>'Raw Data'!G127</f>
        <v>1.8</v>
      </c>
      <c r="M12" s="4"/>
    </row>
    <row r="13" spans="1:23">
      <c r="A13" s="4" t="s">
        <v>81</v>
      </c>
      <c r="B13" s="4" t="s">
        <v>139</v>
      </c>
      <c r="C13" s="39">
        <f>'Raw Data'!C128</f>
        <v>0</v>
      </c>
      <c r="D13" s="8">
        <f>'Raw Data'!D128</f>
        <v>0</v>
      </c>
      <c r="E13" s="8">
        <f>'Raw Data'!E128</f>
        <v>1.1000000000000001</v>
      </c>
      <c r="F13" s="8" t="str">
        <f>'Raw Data'!F128</f>
        <v>–</v>
      </c>
      <c r="G13" s="8">
        <f>'Raw Data'!G128</f>
        <v>-0.1</v>
      </c>
      <c r="M13" s="4"/>
    </row>
    <row r="14" spans="1:23">
      <c r="A14" s="10" t="s">
        <v>245</v>
      </c>
      <c r="B14" s="10"/>
      <c r="C14" s="179">
        <f>SUM(C9:C13,C6)</f>
        <v>43.745918367346945</v>
      </c>
      <c r="D14" s="180">
        <f t="shared" ref="D14:G14" si="1">SUM(D9:D13,D6)</f>
        <v>33.789325842696613</v>
      </c>
      <c r="E14" s="180">
        <f t="shared" si="1"/>
        <v>41.451428571428544</v>
      </c>
      <c r="F14" s="180">
        <f t="shared" si="1"/>
        <v>44.463636363636368</v>
      </c>
      <c r="G14" s="180">
        <f t="shared" si="1"/>
        <v>46.27210031347964</v>
      </c>
      <c r="M14" s="4"/>
    </row>
    <row r="15" spans="1:23">
      <c r="M15" s="4"/>
    </row>
    <row r="16" spans="1:23">
      <c r="A16" s="4" t="s">
        <v>246</v>
      </c>
      <c r="B16" s="4" t="s">
        <v>139</v>
      </c>
      <c r="C16" s="39" t="str">
        <f>'Raw Data'!C141</f>
        <v>–</v>
      </c>
      <c r="D16" s="8">
        <f>('Raw Data'!D95+'Raw Data'!D86)-('Raw Data'!C95+'Raw Data'!C86)</f>
        <v>-0.70000000000000107</v>
      </c>
      <c r="E16" s="8">
        <f>('Raw Data'!E95+'Raw Data'!E86)-('Raw Data'!D95+'Raw Data'!D86)</f>
        <v>-4.4999999999999991</v>
      </c>
      <c r="F16" s="8">
        <f>('Raw Data'!F95+'Raw Data'!F86)-('Raw Data'!E95+'Raw Data'!E86)</f>
        <v>-0.70000000000000018</v>
      </c>
      <c r="G16" s="8">
        <f>('Raw Data'!G95+'Raw Data'!G86)-('Raw Data'!F95+'Raw Data'!F86)</f>
        <v>0.5</v>
      </c>
      <c r="M16" s="4"/>
    </row>
    <row r="17" spans="1:23">
      <c r="A17" s="4" t="s">
        <v>834</v>
      </c>
      <c r="B17" s="4" t="s">
        <v>136</v>
      </c>
      <c r="C17" s="39">
        <f>'Raw Data'!C143</f>
        <v>-4.8</v>
      </c>
      <c r="D17" s="8">
        <f>-('Raw Data'!D71-'Raw Data'!C71)</f>
        <v>4.3999999999999986</v>
      </c>
      <c r="E17" s="8">
        <f>-('Raw Data'!E71-'Raw Data'!D71)</f>
        <v>-11.800000000000004</v>
      </c>
      <c r="F17" s="8">
        <f>-('Raw Data'!F71-'Raw Data'!E71)</f>
        <v>4.7000000000000028</v>
      </c>
      <c r="G17" s="8">
        <f>-('Raw Data'!G71-'Raw Data'!F71)</f>
        <v>-9</v>
      </c>
      <c r="M17" s="4"/>
    </row>
    <row r="18" spans="1:23">
      <c r="A18" s="4" t="s">
        <v>98</v>
      </c>
      <c r="B18" s="4" t="s">
        <v>136</v>
      </c>
      <c r="C18" s="39" t="str">
        <f>'Raw Data'!C144</f>
        <v>–</v>
      </c>
      <c r="D18" s="8">
        <f>-('Raw Data'!D70-'Raw Data'!C70)</f>
        <v>0.10000000000000009</v>
      </c>
      <c r="E18" s="8">
        <f>-('Raw Data'!E70-'Raw Data'!D70)</f>
        <v>-0.20000000000000007</v>
      </c>
      <c r="F18" s="8">
        <f>-('Raw Data'!F70-'Raw Data'!E70)</f>
        <v>-0.20000000000000007</v>
      </c>
      <c r="G18" s="8">
        <f>-('Raw Data'!G70-'Raw Data'!F70)</f>
        <v>0.20000000000000007</v>
      </c>
      <c r="M18" s="4" t="str">
        <f t="shared" ref="M18:M23" si="2">A16</f>
        <v>Increase(Decrease) in provisions</v>
      </c>
      <c r="N18" s="18">
        <f>('Decomposed SFP'!H31+'Decomposed SFP'!H40)-('Decomposed SFP'!G40+'Decomposed SFP'!G31)</f>
        <v>-38.314397448325408</v>
      </c>
      <c r="O18" s="18">
        <f>('Decomposed SFP'!I31+'Decomposed SFP'!I40)-('Decomposed SFP'!H40+'Decomposed SFP'!H31)</f>
        <v>18.304245812005796</v>
      </c>
      <c r="P18" s="18">
        <f>('Decomposed SFP'!J31+'Decomposed SFP'!J40)-('Decomposed SFP'!I40+'Decomposed SFP'!I31)</f>
        <v>19.918994177370351</v>
      </c>
      <c r="Q18" s="18">
        <f>('Decomposed SFP'!K31+'Decomposed SFP'!K40)-('Decomposed SFP'!J40+'Decomposed SFP'!J31)</f>
        <v>21.665930585972092</v>
      </c>
      <c r="R18" s="18">
        <f>('Decomposed SFP'!L31+'Decomposed SFP'!L40)-('Decomposed SFP'!K40+'Decomposed SFP'!K31)</f>
        <v>23.622174310135865</v>
      </c>
      <c r="S18" s="18">
        <f>('Decomposed SFP'!M31+'Decomposed SFP'!M40)-('Decomposed SFP'!L40+'Decomposed SFP'!L31)</f>
        <v>25.667574127161956</v>
      </c>
      <c r="T18" s="18">
        <f>('Decomposed SFP'!N31+'Decomposed SFP'!N40)-('Decomposed SFP'!M40+'Decomposed SFP'!M31)</f>
        <v>28.052643501062306</v>
      </c>
      <c r="U18" s="18">
        <f>('Decomposed SFP'!O31+'Decomposed SFP'!O40)-('Decomposed SFP'!N40+'Decomposed SFP'!N31)</f>
        <v>30.448392635355788</v>
      </c>
      <c r="V18" s="18">
        <f>('Decomposed SFP'!P31+'Decomposed SFP'!P40)-('Decomposed SFP'!O40+'Decomposed SFP'!O31)</f>
        <v>33.038832453477369</v>
      </c>
      <c r="W18" s="18">
        <f>('Decomposed SFP'!Q31+'Decomposed SFP'!Q40)-('Decomposed SFP'!P40+'Decomposed SFP'!P31)</f>
        <v>35.839598825194116</v>
      </c>
    </row>
    <row r="19" spans="1:23">
      <c r="A19" s="4" t="s">
        <v>835</v>
      </c>
      <c r="B19" s="4" t="s">
        <v>139</v>
      </c>
      <c r="C19" s="39">
        <f>'Raw Data'!C145</f>
        <v>4.5</v>
      </c>
      <c r="D19" s="8">
        <f>'Raw Data'!D80-'Raw Data'!C80</f>
        <v>-4.1000000000000014</v>
      </c>
      <c r="E19" s="8">
        <f>'Raw Data'!E80-'Raw Data'!D80</f>
        <v>14.799999999999997</v>
      </c>
      <c r="F19" s="8">
        <f>'Raw Data'!F80-'Raw Data'!E80</f>
        <v>-1.1999999999999957</v>
      </c>
      <c r="G19" s="8">
        <f>'Raw Data'!G80-'Raw Data'!F80</f>
        <v>3.0999999999999943</v>
      </c>
      <c r="M19" s="4" t="str">
        <f t="shared" si="2"/>
        <v>Decrease/(Increase) in trade and other receivables</v>
      </c>
      <c r="N19" s="18">
        <f>-('Decomposed SFP'!H16-'Decomposed SFP'!G16)</f>
        <v>-11.247832369755216</v>
      </c>
      <c r="O19" s="18">
        <f>-('Decomposed SFP'!I16-'Decomposed SFP'!H16)</f>
        <v>-7.1158265895804362</v>
      </c>
      <c r="P19" s="18">
        <f>-('Decomposed SFP'!J16-'Decomposed SFP'!I16)</f>
        <v>-7.685092716746837</v>
      </c>
      <c r="Q19" s="18">
        <f>-('Decomposed SFP'!K16-'Decomposed SFP'!J16)</f>
        <v>-8.2999001340865988</v>
      </c>
      <c r="R19" s="18">
        <f>-('Decomposed SFP'!L16-'Decomposed SFP'!K16)</f>
        <v>-8.963892144813542</v>
      </c>
      <c r="S19" s="18">
        <f>-('Decomposed SFP'!M16-'Decomposed SFP'!L16)</f>
        <v>-9.6810035163986328</v>
      </c>
      <c r="T19" s="18">
        <f>-('Decomposed SFP'!N16-'Decomposed SFP'!M16)</f>
        <v>-10.455483797710514</v>
      </c>
      <c r="U19" s="18">
        <f>-('Decomposed SFP'!O16-'Decomposed SFP'!N16)</f>
        <v>-11.291922501527353</v>
      </c>
      <c r="V19" s="18">
        <f>-('Decomposed SFP'!P16-'Decomposed SFP'!O16)</f>
        <v>-12.195276301649557</v>
      </c>
      <c r="W19" s="18">
        <f>-('Decomposed SFP'!Q16-'Decomposed SFP'!P16)</f>
        <v>-13.170898405781486</v>
      </c>
    </row>
    <row r="20" spans="1:23">
      <c r="A20" s="4" t="s">
        <v>97</v>
      </c>
      <c r="B20" s="4" t="s">
        <v>136</v>
      </c>
      <c r="C20" s="39">
        <f>'Raw Data'!C154</f>
        <v>-7.7</v>
      </c>
      <c r="D20" s="182">
        <f>-('Raw Data'!D63+'Raw Data'!D122-'Raw Data'!C63)</f>
        <v>-3.1000000000000014</v>
      </c>
      <c r="E20" s="182">
        <f>-('Raw Data'!E63+'Raw Data'!E122-'Raw Data'!D63)</f>
        <v>-2.8000000000000007</v>
      </c>
      <c r="F20" s="182">
        <f>-('Raw Data'!F63+'Raw Data'!F122-'Raw Data'!E63)</f>
        <v>-2</v>
      </c>
      <c r="G20" s="182">
        <f>-('Raw Data'!G63+'Raw Data'!G122-'Raw Data'!F63)</f>
        <v>-5.3000000000000007</v>
      </c>
      <c r="M20" s="4" t="str">
        <f t="shared" si="2"/>
        <v>Decrease/(increase) in inventories</v>
      </c>
      <c r="N20" s="18">
        <f>-('Decomposed SFP'!H15-'Decomposed SFP'!G15)</f>
        <v>-0.2259246751084768</v>
      </c>
      <c r="O20" s="18">
        <f>-('Decomposed SFP'!I15-'Decomposed SFP'!H15)</f>
        <v>-9.0073974008678448E-2</v>
      </c>
      <c r="P20" s="18">
        <f>-('Decomposed SFP'!J15-'Decomposed SFP'!I15)</f>
        <v>-9.7279891929372253E-2</v>
      </c>
      <c r="Q20" s="18">
        <f>-('Decomposed SFP'!K15-'Decomposed SFP'!J15)</f>
        <v>-0.10506228328372225</v>
      </c>
      <c r="R20" s="18">
        <f>-('Decomposed SFP'!L15-'Decomposed SFP'!K15)</f>
        <v>-0.11346726594641976</v>
      </c>
      <c r="S20" s="18">
        <f>-('Decomposed SFP'!M15-'Decomposed SFP'!L15)</f>
        <v>-0.1225446472221341</v>
      </c>
      <c r="T20" s="18">
        <f>-('Decomposed SFP'!N15-'Decomposed SFP'!M15)</f>
        <v>-0.13234821899990434</v>
      </c>
      <c r="U20" s="18">
        <f>-('Decomposed SFP'!O15-'Decomposed SFP'!N15)</f>
        <v>-0.14293607651989659</v>
      </c>
      <c r="V20" s="18">
        <f>-('Decomposed SFP'!P15-'Decomposed SFP'!O15)</f>
        <v>-0.15437096264148864</v>
      </c>
      <c r="W20" s="18">
        <f>-('Decomposed SFP'!Q15-'Decomposed SFP'!P15)</f>
        <v>-0.16672063965280781</v>
      </c>
    </row>
    <row r="21" spans="1:23">
      <c r="A21" s="4" t="s">
        <v>54</v>
      </c>
      <c r="B21" s="4" t="s">
        <v>139</v>
      </c>
      <c r="C21" s="39"/>
      <c r="D21" s="182">
        <f>('Raw Data'!D96+'Raw Data'!D88)-('Raw Data'!C96+'Raw Data'!C88)</f>
        <v>5.6000000000000014</v>
      </c>
      <c r="E21" s="182">
        <f>('Raw Data'!E96+'Raw Data'!E88)-('Raw Data'!D96+'Raw Data'!D88)</f>
        <v>4.6999999999999957</v>
      </c>
      <c r="F21" s="182">
        <f>('Raw Data'!F96+'Raw Data'!F88)-('Raw Data'!E96+'Raw Data'!E88)</f>
        <v>3.4000000000000057</v>
      </c>
      <c r="G21" s="182">
        <f>('Raw Data'!G96+'Raw Data'!G88)-('Raw Data'!F96+'Raw Data'!F88)</f>
        <v>18</v>
      </c>
      <c r="M21" s="4" t="str">
        <f t="shared" si="2"/>
        <v>Increase/(Decrease) in trade and other payables</v>
      </c>
      <c r="N21" s="18">
        <f>'Decomposed SFP'!H25-'Decomposed SFP'!G25</f>
        <v>4.4346789970340552</v>
      </c>
      <c r="O21" s="18">
        <f>'Decomposed SFP'!I25-'Decomposed SFP'!H25</f>
        <v>4.218774319762737</v>
      </c>
      <c r="P21" s="18">
        <f>'Decomposed SFP'!J25-'Decomposed SFP'!I25</f>
        <v>4.5562762653437332</v>
      </c>
      <c r="Q21" s="18">
        <f>'Decomposed SFP'!K25-'Decomposed SFP'!J25</f>
        <v>4.9207783665712554</v>
      </c>
      <c r="R21" s="18">
        <f>'Decomposed SFP'!L25-'Decomposed SFP'!K25</f>
        <v>5.3144406358969292</v>
      </c>
      <c r="S21" s="18">
        <f>'Decomposed SFP'!M25-'Decomposed SFP'!L25</f>
        <v>5.7395958867687114</v>
      </c>
      <c r="T21" s="18">
        <f>'Decomposed SFP'!N25-'Decomposed SFP'!M25</f>
        <v>6.1987635577102083</v>
      </c>
      <c r="U21" s="18">
        <f>'Decomposed SFP'!O25-'Decomposed SFP'!N25</f>
        <v>6.6946646423270124</v>
      </c>
      <c r="V21" s="18">
        <f>'Decomposed SFP'!P25-'Decomposed SFP'!O25</f>
        <v>7.2302378137131882</v>
      </c>
      <c r="W21" s="18">
        <f>'Decomposed SFP'!Q25-'Decomposed SFP'!P25</f>
        <v>7.8086568388102364</v>
      </c>
    </row>
    <row r="22" spans="1:23">
      <c r="A22" s="10" t="s">
        <v>244</v>
      </c>
      <c r="B22" s="59"/>
      <c r="C22" s="183">
        <f>SUM(C14:C21)</f>
        <v>35.745918367346945</v>
      </c>
      <c r="D22" s="184">
        <f>SUM(D14:D21)</f>
        <v>35.989325842696609</v>
      </c>
      <c r="E22" s="184">
        <f>SUM(E14:E21)</f>
        <v>41.651428571428532</v>
      </c>
      <c r="F22" s="184">
        <f>SUM(F14:F21)</f>
        <v>48.463636363636375</v>
      </c>
      <c r="G22" s="184">
        <f>SUM(G14:G21)</f>
        <v>53.77210031347964</v>
      </c>
      <c r="M22" s="4" t="str">
        <f t="shared" si="2"/>
        <v>Purchase of property, plant and equipment</v>
      </c>
      <c r="N22" s="18">
        <f>-((SUM('Decomposed SFP'!H7:H9))+CF!N9-(SUM('Decomposed SFP'!G7:G9)))</f>
        <v>-22.780786584941268</v>
      </c>
      <c r="O22" s="18">
        <f>-((SUM('Decomposed SFP'!I7:I9))+CF!O9-(SUM('Decomposed SFP'!H7:H9)))</f>
        <v>-37.950114080811034</v>
      </c>
      <c r="P22" s="18">
        <f>-((SUM('Decomposed SFP'!J7:J9))+CF!P9-(SUM('Decomposed SFP'!I7:I9)))</f>
        <v>-40.986123207275966</v>
      </c>
      <c r="Q22" s="18">
        <f>-((SUM('Decomposed SFP'!K7:K9))+CF!Q9-(SUM('Decomposed SFP'!J7:J9)))</f>
        <v>-44.265013063857992</v>
      </c>
      <c r="R22" s="18">
        <f>-((SUM('Decomposed SFP'!L7:L9))+CF!R9-(SUM('Decomposed SFP'!K7:K9)))</f>
        <v>-47.806214108966685</v>
      </c>
      <c r="S22" s="18">
        <f>-((SUM('Decomposed SFP'!M7:M9))+CF!S9-(SUM('Decomposed SFP'!L7:L9)))</f>
        <v>-51.630711237683954</v>
      </c>
      <c r="T22" s="18">
        <f>-((SUM('Decomposed SFP'!N7:N9))+CF!T9-(SUM('Decomposed SFP'!M7:M9)))</f>
        <v>-55.761168136698871</v>
      </c>
      <c r="U22" s="18">
        <f>-((SUM('Decomposed SFP'!O7:O9))+CF!U9-(SUM('Decomposed SFP'!N7:N9)))</f>
        <v>-60.222061587634556</v>
      </c>
      <c r="V22" s="18">
        <f>-((SUM('Decomposed SFP'!P7:P9))+CF!V9-(SUM('Decomposed SFP'!O7:O9)))</f>
        <v>-65.039826514645483</v>
      </c>
      <c r="W22" s="18">
        <f>-((SUM('Decomposed SFP'!Q7:Q9))+CF!W9-(SUM('Decomposed SFP'!P7:P9)))</f>
        <v>-70.243012635817024</v>
      </c>
    </row>
    <row r="23" spans="1:23">
      <c r="M23" s="4" t="str">
        <f t="shared" si="2"/>
        <v>Contract liabilities – deferred revenue</v>
      </c>
      <c r="N23" s="18">
        <f>('Decomposed SFP'!H33+'Decomposed SFP'!H41)-('Decomposed SFP'!G33-'Decomposed SFP'!G41)</f>
        <v>-5.0277513320755673</v>
      </c>
      <c r="O23" s="18">
        <f>('Decomposed SFP'!I33+'Decomposed SFP'!I41)-('Decomposed SFP'!H33-'Decomposed SFP'!H41)</f>
        <v>10.012418714237448</v>
      </c>
      <c r="P23" s="18">
        <f>('Decomposed SFP'!J33+'Decomposed SFP'!J41)-('Decomposed SFP'!I33-'Decomposed SFP'!I41)</f>
        <v>10.924531066956227</v>
      </c>
      <c r="Q23" s="18">
        <f>('Decomposed SFP'!K33+'Decomposed SFP'!K41)-('Decomposed SFP'!J33-'Decomposed SFP'!J41)</f>
        <v>11.908869701674362</v>
      </c>
      <c r="R23" s="18">
        <f>('Decomposed SFP'!L33+'Decomposed SFP'!L41)-('Decomposed SFP'!K33-'Decomposed SFP'!K41)</f>
        <v>12.991991162338635</v>
      </c>
      <c r="S23" s="18">
        <f>('Decomposed SFP'!M33+'Decomposed SFP'!M41)-('Decomposed SFP'!L33-'Decomposed SFP'!L41)</f>
        <v>14.139675138401472</v>
      </c>
      <c r="T23" s="18">
        <f>('Decomposed SFP'!N33+'Decomposed SFP'!N41)-('Decomposed SFP'!M33-'Decomposed SFP'!M41)</f>
        <v>15.432400492238799</v>
      </c>
      <c r="U23" s="18">
        <f>('Decomposed SFP'!O33+'Decomposed SFP'!O41)-('Decomposed SFP'!N33-'Decomposed SFP'!N41)</f>
        <v>16.772231050165757</v>
      </c>
      <c r="V23" s="18">
        <f>('Decomposed SFP'!P33+'Decomposed SFP'!P41)-('Decomposed SFP'!O33-'Decomposed SFP'!O41)</f>
        <v>18.218178477494931</v>
      </c>
      <c r="W23" s="18">
        <f>('Decomposed SFP'!Q33+'Decomposed SFP'!Q41)-('Decomposed SFP'!P33-'Decomposed SFP'!P41)</f>
        <v>19.778710732273794</v>
      </c>
    </row>
    <row r="24" spans="1:23">
      <c r="M24" s="10" t="s">
        <v>2684</v>
      </c>
      <c r="N24" s="191">
        <f>SUM(N18:N23,N10)</f>
        <v>-25.934494934812307</v>
      </c>
      <c r="O24" s="191">
        <f t="shared" ref="O24:W24" si="3">SUM(O18:O23,O10)</f>
        <v>38.549746803037323</v>
      </c>
      <c r="P24" s="191">
        <f t="shared" si="3"/>
        <v>41.895254103264165</v>
      </c>
      <c r="Q24" s="191">
        <f t="shared" si="3"/>
        <v>45.510667455299107</v>
      </c>
      <c r="R24" s="191">
        <f t="shared" si="3"/>
        <v>49.504902013539272</v>
      </c>
      <c r="S24" s="191">
        <f t="shared" si="3"/>
        <v>53.729244729913439</v>
      </c>
      <c r="T24" s="191">
        <f t="shared" si="3"/>
        <v>58.52079909479896</v>
      </c>
      <c r="U24" s="191">
        <f t="shared" si="3"/>
        <v>63.459239195139439</v>
      </c>
      <c r="V24" s="191">
        <f t="shared" si="3"/>
        <v>68.794715681359463</v>
      </c>
      <c r="W24" s="191">
        <f t="shared" si="3"/>
        <v>74.559030687886192</v>
      </c>
    </row>
    <row r="25" spans="1:23">
      <c r="M25" s="4"/>
    </row>
    <row r="26" spans="1:23">
      <c r="A26" s="4" t="s">
        <v>255</v>
      </c>
      <c r="D26" s="17">
        <f>-('Decomposed SFP'!D6-'Decomposed SFP'!C6)</f>
        <v>-2.2000000000000171</v>
      </c>
      <c r="E26" s="17">
        <f>-('Decomposed SFP'!E6-'Decomposed SFP'!D6)</f>
        <v>-3.6999999999999886</v>
      </c>
      <c r="F26" s="17">
        <f>-('Decomposed SFP'!F6-'Decomposed SFP'!E6)</f>
        <v>10.199999999999989</v>
      </c>
      <c r="G26" s="17">
        <f>-('Decomposed SFP'!G6-'Decomposed SFP'!F6)</f>
        <v>-83.200000000000017</v>
      </c>
      <c r="M26" s="4"/>
    </row>
    <row r="27" spans="1:23">
      <c r="A27" s="4" t="s">
        <v>256</v>
      </c>
      <c r="D27" s="17">
        <f>-('Decomposed SFP'!D7-'Decomposed SFP'!C7)</f>
        <v>11</v>
      </c>
      <c r="E27" s="17">
        <f>-('Decomposed SFP'!E7-'Decomposed SFP'!D7)</f>
        <v>12.799999999999997</v>
      </c>
      <c r="F27" s="17">
        <f>-('Decomposed SFP'!F7-'Decomposed SFP'!E7)</f>
        <v>8</v>
      </c>
      <c r="G27" s="17">
        <f>-('Decomposed SFP'!G7-'Decomposed SFP'!F7)</f>
        <v>-97.6</v>
      </c>
      <c r="M27" s="4"/>
    </row>
    <row r="28" spans="1:23">
      <c r="A28" s="4" t="s">
        <v>257</v>
      </c>
      <c r="B28" s="4" t="s">
        <v>136</v>
      </c>
      <c r="C28" s="185">
        <f>'IS normalized'!C94</f>
        <v>4.5918367346938764E-2</v>
      </c>
      <c r="D28" s="17">
        <f>'IS normalized'!D94</f>
        <v>0.41067415730337109</v>
      </c>
      <c r="E28" s="17">
        <f>'IS normalized'!E94</f>
        <v>0.54857142857142949</v>
      </c>
      <c r="F28" s="17">
        <f>'IS normalized'!F94</f>
        <v>0.43636363636363634</v>
      </c>
      <c r="G28" s="17">
        <f>'IS normalized'!G94</f>
        <v>0.92789968652037547</v>
      </c>
      <c r="M28" s="4" t="str">
        <f t="shared" ref="M28:M29" si="4">A26</f>
        <v>Decrease/(increase) in Godwill</v>
      </c>
      <c r="N28" s="18">
        <f>-('Decomposed SFP'!H6-'Decomposed SFP'!G6)</f>
        <v>7.4167414392557021</v>
      </c>
      <c r="O28" s="18">
        <f>-('Decomposed SFP'!I6-'Decomposed SFP'!H6)</f>
        <v>-20.694660684859571</v>
      </c>
      <c r="P28" s="18">
        <f>-('Decomposed SFP'!J6-'Decomposed SFP'!I6)</f>
        <v>-22.350233539648343</v>
      </c>
      <c r="Q28" s="18">
        <f>-('Decomposed SFP'!K6-'Decomposed SFP'!J6)</f>
        <v>-24.138252222820142</v>
      </c>
      <c r="R28" s="18">
        <f>-('Decomposed SFP'!L6-'Decomposed SFP'!K6)</f>
        <v>-26.069312400645856</v>
      </c>
      <c r="S28" s="18">
        <f>-('Decomposed SFP'!M6-'Decomposed SFP'!L6)</f>
        <v>-28.154857392697409</v>
      </c>
      <c r="T28" s="18">
        <f>-('Decomposed SFP'!N6-'Decomposed SFP'!M6)</f>
        <v>-30.407245984113388</v>
      </c>
      <c r="U28" s="18">
        <f>-('Decomposed SFP'!O6-'Decomposed SFP'!N6)</f>
        <v>-32.839825662842316</v>
      </c>
      <c r="V28" s="18">
        <f>-('Decomposed SFP'!P6-'Decomposed SFP'!O6)</f>
        <v>-35.467011715869774</v>
      </c>
      <c r="W28" s="18">
        <f>-('Decomposed SFP'!Q6-'Decomposed SFP'!P6)</f>
        <v>-38.304372653139239</v>
      </c>
    </row>
    <row r="29" spans="1:23">
      <c r="A29" s="4" t="s">
        <v>248</v>
      </c>
      <c r="C29" s="39">
        <f>'Raw Data'!C173</f>
        <v>-0.8</v>
      </c>
      <c r="D29" s="8">
        <f>'Raw Data'!D173</f>
        <v>0.3</v>
      </c>
      <c r="E29" s="8" t="str">
        <f>'Raw Data'!E173</f>
        <v>–</v>
      </c>
      <c r="F29" s="8">
        <f>'Raw Data'!F173</f>
        <v>-6.3</v>
      </c>
      <c r="G29" s="8">
        <f>'Raw Data'!G173</f>
        <v>1.3</v>
      </c>
      <c r="M29" s="4" t="str">
        <f t="shared" si="4"/>
        <v xml:space="preserve">Decrease/(increase) in Intangibles </v>
      </c>
      <c r="N29" s="18">
        <f>-('Decomposed SFP'!H7-'Decomposed SFP'!G7)</f>
        <v>13.54848956784258</v>
      </c>
      <c r="O29" s="18">
        <f>-('Decomposed SFP'!I7-'Decomposed SFP'!H7)</f>
        <v>-8.4041208345725948</v>
      </c>
      <c r="P29" s="18">
        <f>-('Decomposed SFP'!J7-'Decomposed SFP'!I7)</f>
        <v>-9.076450501338428</v>
      </c>
      <c r="Q29" s="18">
        <f>-('Decomposed SFP'!K7-'Decomposed SFP'!J7)</f>
        <v>-9.8025665414454721</v>
      </c>
      <c r="R29" s="18">
        <f>-('Decomposed SFP'!L7-'Decomposed SFP'!K7)</f>
        <v>-10.586771864761118</v>
      </c>
      <c r="S29" s="18">
        <f>-('Decomposed SFP'!M7-'Decomposed SFP'!L7)</f>
        <v>-11.43371361394199</v>
      </c>
      <c r="T29" s="18">
        <f>-('Decomposed SFP'!N7-'Decomposed SFP'!M7)</f>
        <v>-12.348410703057425</v>
      </c>
      <c r="U29" s="18">
        <f>-('Decomposed SFP'!O7-'Decomposed SFP'!N7)</f>
        <v>-13.336283559301961</v>
      </c>
      <c r="V29" s="18">
        <f>-('Decomposed SFP'!P7-'Decomposed SFP'!O7)</f>
        <v>-14.40318624404614</v>
      </c>
      <c r="W29" s="18">
        <f>-('Decomposed SFP'!Q7-'Decomposed SFP'!P7)</f>
        <v>-15.555441143569794</v>
      </c>
    </row>
    <row r="30" spans="1:23">
      <c r="A30" s="4" t="s">
        <v>247</v>
      </c>
      <c r="B30" s="4" t="s">
        <v>133</v>
      </c>
      <c r="C30" s="39">
        <f>-('Raw Data'!D75-'Raw Data'!C75)</f>
        <v>-13.7</v>
      </c>
      <c r="D30" s="8">
        <f>-('Raw Data'!D75-'Raw Data'!C75)</f>
        <v>-13.7</v>
      </c>
      <c r="E30" s="8">
        <f>-('Raw Data'!E75-'Raw Data'!D75)</f>
        <v>-60.1</v>
      </c>
      <c r="F30" s="8">
        <f>-('Raw Data'!F75-'Raw Data'!E75)</f>
        <v>-21.5</v>
      </c>
      <c r="G30" s="8">
        <f>-('Raw Data'!G75-'Raw Data'!F75)</f>
        <v>43.3</v>
      </c>
      <c r="M30" s="4"/>
    </row>
    <row r="31" spans="1:23">
      <c r="A31" s="4" t="s">
        <v>249</v>
      </c>
      <c r="B31" s="4" t="s">
        <v>142</v>
      </c>
      <c r="D31" s="8">
        <f>-(('Raw Data'!D72-'Raw Data'!D84)-('Raw Data'!C72-'Raw Data'!C84))</f>
        <v>0</v>
      </c>
      <c r="E31" s="8">
        <f>-(('Raw Data'!E72-'Raw Data'!E84)-('Raw Data'!D72-'Raw Data'!D84))</f>
        <v>0</v>
      </c>
      <c r="F31" s="8">
        <f>-(('Raw Data'!F72-'Raw Data'!F84)-('Raw Data'!E72-'Raw Data'!E84))</f>
        <v>0.8</v>
      </c>
      <c r="G31" s="8">
        <f>-(('Raw Data'!G72-'Raw Data'!G84)-('Raw Data'!F72-'Raw Data'!F84))</f>
        <v>-1</v>
      </c>
      <c r="M31" s="10" t="s">
        <v>2685</v>
      </c>
      <c r="N31" s="191">
        <f>N24+N28+N29</f>
        <v>-4.9692639277140245</v>
      </c>
      <c r="O31" s="191">
        <f t="shared" ref="O31:W31" si="5">O24+O28+O29</f>
        <v>9.4509652836051572</v>
      </c>
      <c r="P31" s="191">
        <f t="shared" si="5"/>
        <v>10.468570062277394</v>
      </c>
      <c r="Q31" s="191">
        <f t="shared" si="5"/>
        <v>11.569848691033492</v>
      </c>
      <c r="R31" s="191">
        <f t="shared" si="5"/>
        <v>12.848817748132298</v>
      </c>
      <c r="S31" s="191">
        <f t="shared" si="5"/>
        <v>14.140673723274041</v>
      </c>
      <c r="T31" s="191">
        <f t="shared" si="5"/>
        <v>15.765142407628147</v>
      </c>
      <c r="U31" s="191">
        <f t="shared" si="5"/>
        <v>17.283129972995162</v>
      </c>
      <c r="V31" s="191">
        <f t="shared" si="5"/>
        <v>18.92451772144355</v>
      </c>
      <c r="W31" s="191">
        <f t="shared" si="5"/>
        <v>20.699216891177159</v>
      </c>
    </row>
    <row r="32" spans="1:23">
      <c r="A32" s="10" t="s">
        <v>238</v>
      </c>
      <c r="B32" s="10"/>
      <c r="C32" s="179">
        <f>SUM(C22:C30)</f>
        <v>21.291836734693884</v>
      </c>
      <c r="D32" s="180">
        <f>SUM(D22:D30)</f>
        <v>31.799999999999958</v>
      </c>
      <c r="E32" s="180">
        <f>SUM(E22:E30)</f>
        <v>-8.8000000000000327</v>
      </c>
      <c r="F32" s="180">
        <f>SUM(F22:F30)</f>
        <v>39.299999999999997</v>
      </c>
      <c r="G32" s="180">
        <f>SUM(G22:G30)</f>
        <v>-81.5</v>
      </c>
      <c r="M32" s="4"/>
    </row>
    <row r="33" spans="1:23">
      <c r="C33" s="39"/>
      <c r="D33" s="8"/>
      <c r="E33" s="8"/>
      <c r="F33" s="8"/>
      <c r="G33" s="8"/>
      <c r="M33" s="4"/>
    </row>
    <row r="34" spans="1:23">
      <c r="A34" s="5" t="s">
        <v>239</v>
      </c>
      <c r="C34" s="39"/>
      <c r="D34" s="8"/>
      <c r="E34" s="8"/>
      <c r="F34" s="8"/>
      <c r="G34" s="8"/>
      <c r="M34" s="4" t="str">
        <f>A28</f>
        <v xml:space="preserve">After tax expenses shield </v>
      </c>
      <c r="N34" s="18">
        <f>'IS normalized'!H94</f>
        <v>0.91874649999999991</v>
      </c>
      <c r="O34" s="18">
        <f>'IS normalized'!I94</f>
        <v>0.93712143000000003</v>
      </c>
      <c r="P34" s="18">
        <f>'IS normalized'!J94</f>
        <v>0.9558638586</v>
      </c>
      <c r="Q34" s="18">
        <f>'IS normalized'!K94</f>
        <v>0.97498113577199996</v>
      </c>
      <c r="R34" s="18">
        <f>'IS normalized'!L94</f>
        <v>1.0809573461820001</v>
      </c>
      <c r="S34" s="18">
        <f>'IS normalized'!M94</f>
        <v>1.1025764931056401</v>
      </c>
      <c r="T34" s="18">
        <f>'IS normalized'!N94</f>
        <v>1.3495536275613034</v>
      </c>
      <c r="U34" s="18">
        <f>'IS normalized'!O94</f>
        <v>1.3765447001125293</v>
      </c>
      <c r="V34" s="18">
        <f>'IS normalized'!P94</f>
        <v>1.40407559411478</v>
      </c>
      <c r="W34" s="18">
        <f>'IS normalized'!Q94</f>
        <v>1.4321571059970757</v>
      </c>
    </row>
    <row r="35" spans="1:23">
      <c r="A35" s="4" t="s">
        <v>252</v>
      </c>
      <c r="C35" s="185">
        <f>-'IS normalized'!C14</f>
        <v>1.8</v>
      </c>
      <c r="D35" s="17">
        <f>-'IS normalized'!D14</f>
        <v>1.7</v>
      </c>
      <c r="E35" s="17">
        <f>-'IS normalized'!E14</f>
        <v>3</v>
      </c>
      <c r="F35" s="17">
        <f>-'IS normalized'!F14</f>
        <v>2.5</v>
      </c>
      <c r="G35" s="17">
        <f>-'IS normalized'!G14</f>
        <v>3.7</v>
      </c>
      <c r="M35" s="4" t="str">
        <f>A29</f>
        <v>Unexplained foreign-currency translation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</row>
    <row r="36" spans="1:23">
      <c r="A36" s="4" t="s">
        <v>254</v>
      </c>
      <c r="B36" s="4" t="s">
        <v>138</v>
      </c>
      <c r="C36" s="39"/>
      <c r="D36" s="8">
        <f>-(('Raw Data'!D81+'Raw Data'!D92)-('Raw Data'!C81+'Raw Data'!C92))</f>
        <v>-6.1000000000000014</v>
      </c>
      <c r="E36" s="8">
        <f>-(('Raw Data'!E81+'Raw Data'!E92)-('Raw Data'!D81+'Raw Data'!D92))</f>
        <v>-44.1</v>
      </c>
      <c r="F36" s="8">
        <f>-(('Raw Data'!F81+'Raw Data'!F92)-('Raw Data'!E81+'Raw Data'!E92))</f>
        <v>66</v>
      </c>
      <c r="G36" s="8">
        <f>-(('Raw Data'!G81+'Raw Data'!G92)-('Raw Data'!F81+'Raw Data'!F92))</f>
        <v>-92.399999999999991</v>
      </c>
      <c r="M36" s="4" t="str">
        <f>A30</f>
        <v xml:space="preserve">Decrease (increase) in excess cash </v>
      </c>
      <c r="N36" s="18">
        <f>-('Decomposed SFP'!H21-'Decomposed SFP'!G21)</f>
        <v>30.551319335171087</v>
      </c>
      <c r="O36" s="18">
        <f>-('Decomposed SFP'!I21-'Decomposed SFP'!H21)</f>
        <v>-9.9878944531862714</v>
      </c>
      <c r="P36" s="18">
        <f>-('Decomposed SFP'!J21-'Decomposed SFP'!I21)</f>
        <v>-10.786926009441174</v>
      </c>
      <c r="Q36" s="18">
        <f>-('Decomposed SFP'!K21-'Decomposed SFP'!J21)</f>
        <v>-11.649880090196604</v>
      </c>
      <c r="R36" s="18">
        <f>-('Decomposed SFP'!L21-'Decomposed SFP'!K21)</f>
        <v>-12.581870497412353</v>
      </c>
      <c r="S36" s="18">
        <f>-('Decomposed SFP'!M21-'Decomposed SFP'!L21)</f>
        <v>-13.588420137205247</v>
      </c>
      <c r="T36" s="18">
        <f>-('Decomposed SFP'!N21-'Decomposed SFP'!M21)</f>
        <v>-14.675493748181566</v>
      </c>
      <c r="U36" s="18">
        <f>-('Decomposed SFP'!O21-'Decomposed SFP'!N21)</f>
        <v>-15.849533248036209</v>
      </c>
      <c r="V36" s="18">
        <f>-('Decomposed SFP'!P21-'Decomposed SFP'!O21)</f>
        <v>-17.117495907879174</v>
      </c>
      <c r="W36" s="18">
        <f>-('Decomposed SFP'!Q21-'Decomposed SFP'!P21)</f>
        <v>-18.48689558050927</v>
      </c>
    </row>
    <row r="37" spans="1:23">
      <c r="A37" s="4" t="s">
        <v>253</v>
      </c>
      <c r="B37" s="4" t="s">
        <v>138</v>
      </c>
      <c r="D37" s="8">
        <f>-(('Raw Data'!D82+'Raw Data'!D93)-('Raw Data'!C82+'Raw Data'!C93))</f>
        <v>0</v>
      </c>
      <c r="E37" s="8">
        <f>-(('Raw Data'!E82+'Raw Data'!E93)-('Raw Data'!D82+'Raw Data'!D93))</f>
        <v>-38.199999999999996</v>
      </c>
      <c r="F37" s="8">
        <f>-(('Raw Data'!F82+'Raw Data'!F93)-('Raw Data'!E82+'Raw Data'!E93))</f>
        <v>3.7999999999999972</v>
      </c>
      <c r="G37" s="8">
        <f>-(('Raw Data'!G82+'Raw Data'!G93)-('Raw Data'!F82+'Raw Data'!F93))</f>
        <v>1.7999999999999972</v>
      </c>
      <c r="M37" s="4" t="str">
        <f>A31</f>
        <v>Decrease (Increase) Derivative financial instruments</v>
      </c>
      <c r="N37" s="18">
        <f>-(('Decomposed SFP'!H17-'Decomposed SFP'!H29)-('Decomposed SFP'!G17-'Decomposed SFP'!G29))</f>
        <v>1.1255553548781694</v>
      </c>
      <c r="O37" s="18">
        <f>-(('Decomposed SFP'!I17-'Decomposed SFP'!I29)-('Decomposed SFP'!H17-'Decomposed SFP'!H29))</f>
        <v>0.13636378161544793</v>
      </c>
      <c r="P37" s="18">
        <f>-(('Decomposed SFP'!J17-'Decomposed SFP'!J29)-('Decomposed SFP'!I17-'Decomposed SFP'!I29))</f>
        <v>0.14703672954432379</v>
      </c>
      <c r="Q37" s="18">
        <f>-(('Decomposed SFP'!K17-'Decomposed SFP'!K29)-('Decomposed SFP'!J17-'Decomposed SFP'!J29))</f>
        <v>0.15855879021550234</v>
      </c>
      <c r="R37" s="18">
        <f>-(('Decomposed SFP'!L17-'Decomposed SFP'!L29)-('Decomposed SFP'!K17-'Decomposed SFP'!K29))</f>
        <v>0.17136099985484532</v>
      </c>
      <c r="S37" s="18">
        <f>-(('Decomposed SFP'!M17-'Decomposed SFP'!M29)-('Decomposed SFP'!L17-'Decomposed SFP'!L29))</f>
        <v>0.1847974785919948</v>
      </c>
      <c r="T37" s="18">
        <f>-(('Decomposed SFP'!N17-'Decomposed SFP'!N29)-('Decomposed SFP'!M17-'Decomposed SFP'!M29))</f>
        <v>0.20024811514238561</v>
      </c>
      <c r="U37" s="18">
        <f>-(('Decomposed SFP'!O17-'Decomposed SFP'!O29)-('Decomposed SFP'!N17-'Decomposed SFP'!N29))</f>
        <v>0.21592787683963044</v>
      </c>
      <c r="V37" s="18">
        <f>-(('Decomposed SFP'!P17-'Decomposed SFP'!P29)-('Decomposed SFP'!O17-'Decomposed SFP'!O29))</f>
        <v>0.23285521772237283</v>
      </c>
      <c r="W37" s="18">
        <f>-(('Decomposed SFP'!Q17-'Decomposed SFP'!Q29)-('Decomposed SFP'!P17-'Decomposed SFP'!P29))</f>
        <v>0.25112980809044494</v>
      </c>
    </row>
    <row r="38" spans="1:23">
      <c r="A38" s="10" t="s">
        <v>242</v>
      </c>
      <c r="B38" s="10"/>
      <c r="C38" s="179">
        <f>SUM(C35:C36)</f>
        <v>1.8</v>
      </c>
      <c r="D38" s="180">
        <f>SUM(D35:D36)</f>
        <v>-4.4000000000000012</v>
      </c>
      <c r="E38" s="180">
        <f>SUM(E35:E36)</f>
        <v>-41.1</v>
      </c>
      <c r="F38" s="180">
        <f>SUM(F35:F36)</f>
        <v>68.5</v>
      </c>
      <c r="G38" s="180">
        <f>SUM(G35:G36)</f>
        <v>-88.699999999999989</v>
      </c>
      <c r="M38" s="10" t="str">
        <f>A32</f>
        <v xml:space="preserve">Cash Flow avaialable to investors </v>
      </c>
      <c r="N38" s="191">
        <f>SUM(N31:N37)</f>
        <v>27.626357262335233</v>
      </c>
      <c r="O38" s="191">
        <f t="shared" ref="O38:W38" si="6">SUM(O31:O37)</f>
        <v>0.53655604203433316</v>
      </c>
      <c r="P38" s="191">
        <f t="shared" si="6"/>
        <v>0.78454464098054388</v>
      </c>
      <c r="Q38" s="191">
        <f t="shared" si="6"/>
        <v>1.0535085268243904</v>
      </c>
      <c r="R38" s="191">
        <f t="shared" si="6"/>
        <v>1.5192655967567898</v>
      </c>
      <c r="S38" s="191">
        <f t="shared" si="6"/>
        <v>1.8396275577664294</v>
      </c>
      <c r="T38" s="191">
        <f t="shared" si="6"/>
        <v>2.6394504021502696</v>
      </c>
      <c r="U38" s="191">
        <f t="shared" si="6"/>
        <v>3.0260693019111122</v>
      </c>
      <c r="V38" s="191">
        <f t="shared" si="6"/>
        <v>3.4439526254015278</v>
      </c>
      <c r="W38" s="191">
        <f t="shared" si="6"/>
        <v>3.8956082247554082</v>
      </c>
    </row>
    <row r="39" spans="1:23">
      <c r="C39" s="39"/>
      <c r="D39" s="8"/>
      <c r="E39" s="8"/>
      <c r="F39" s="8"/>
      <c r="G39" s="8"/>
      <c r="M39" s="4"/>
    </row>
    <row r="40" spans="1:23">
      <c r="A40" s="4" t="s">
        <v>816</v>
      </c>
      <c r="B40" s="4" t="s">
        <v>137</v>
      </c>
      <c r="D40" s="8">
        <f>-(('Raw Data'!D66-'Raw Data'!D94)-('Raw Data'!C66-'Raw Data'!C94))</f>
        <v>-1</v>
      </c>
      <c r="E40" s="8">
        <f>-(('Raw Data'!E66-'Raw Data'!E94)-('Raw Data'!D66-'Raw Data'!D94))</f>
        <v>-3.7000000000000006</v>
      </c>
      <c r="F40" s="8">
        <f>-(('Raw Data'!F66-'Raw Data'!F94)-('Raw Data'!E66-'Raw Data'!E94))</f>
        <v>-1.4000000000000001</v>
      </c>
      <c r="G40" s="8">
        <f>-(('Raw Data'!G66-'Raw Data'!G94)-('Raw Data'!F66-'Raw Data'!F94))</f>
        <v>1.0000000000000002</v>
      </c>
      <c r="M40" s="5" t="str">
        <f>A34</f>
        <v xml:space="preserve">Reconciliation of cash flow available to investors </v>
      </c>
    </row>
    <row r="41" spans="1:23">
      <c r="A41" s="4" t="s">
        <v>240</v>
      </c>
      <c r="B41" s="4" t="s">
        <v>141</v>
      </c>
      <c r="C41" s="38">
        <f>-'Raw Data'!C162</f>
        <v>-1.5</v>
      </c>
      <c r="D41" s="8">
        <f>-(('Raw Data'!D104+'Raw Data'!D103)-('Raw Data'!C104+'Raw Data'!C103))</f>
        <v>-0.30000000000001137</v>
      </c>
      <c r="E41" s="8">
        <f>-(('Raw Data'!E104+'Raw Data'!E103)-('Raw Data'!D104+'Raw Data'!D103))</f>
        <v>-1.0999999999999943</v>
      </c>
      <c r="F41" s="8">
        <f>-(('Raw Data'!F104+'Raw Data'!F103)-('Raw Data'!E104+'Raw Data'!E103))</f>
        <v>-72.599999999999966</v>
      </c>
      <c r="G41" s="8">
        <f>-(('Raw Data'!G104+'Raw Data'!G103)-('Raw Data'!F104+'Raw Data'!F103))</f>
        <v>-0.80000000000001137</v>
      </c>
      <c r="M41" s="4"/>
      <c r="N41" s="8"/>
      <c r="O41" s="8"/>
      <c r="P41" s="8"/>
      <c r="Q41" s="8"/>
    </row>
    <row r="42" spans="1:23">
      <c r="A42" s="387" t="str">
        <f>'Raw Data'!A124</f>
        <v>Share-based payments</v>
      </c>
      <c r="B42" s="387"/>
      <c r="C42" s="387"/>
      <c r="D42" s="534">
        <f>'Raw Data'!D124</f>
        <v>1.7</v>
      </c>
      <c r="E42" s="534">
        <f>'Raw Data'!E124</f>
        <v>1.4</v>
      </c>
      <c r="F42" s="534">
        <f>'Raw Data'!F124</f>
        <v>2.8</v>
      </c>
      <c r="G42" s="534">
        <f>'Raw Data'!G124</f>
        <v>3.9</v>
      </c>
      <c r="M42" s="4" t="str">
        <f>A35</f>
        <v xml:space="preserve">Interest expense </v>
      </c>
      <c r="N42" s="18">
        <f>-'IS normalized'!H14</f>
        <v>3.6749859999999996</v>
      </c>
      <c r="O42" s="18">
        <f>-'IS normalized'!I14</f>
        <v>3.7484857200000001</v>
      </c>
      <c r="P42" s="18">
        <f>-'IS normalized'!J14</f>
        <v>3.8234554344</v>
      </c>
      <c r="Q42" s="18">
        <f>-'IS normalized'!K14</f>
        <v>3.8999245430879999</v>
      </c>
      <c r="R42" s="18">
        <f>-'IS normalized'!L14</f>
        <v>4.3238293847280005</v>
      </c>
      <c r="S42" s="18">
        <f>-'IS normalized'!M14</f>
        <v>4.4103059724225604</v>
      </c>
      <c r="T42" s="18">
        <f>-'IS normalized'!N14</f>
        <v>5.3982145102452135</v>
      </c>
      <c r="U42" s="18">
        <f>-'IS normalized'!O14</f>
        <v>5.5061788004501171</v>
      </c>
      <c r="V42" s="18">
        <f>-'IS normalized'!P14</f>
        <v>5.61630237645912</v>
      </c>
      <c r="W42" s="18">
        <f>-'IS normalized'!Q14</f>
        <v>5.7286284239883027</v>
      </c>
    </row>
    <row r="43" spans="1:23">
      <c r="A43" s="4" t="s">
        <v>241</v>
      </c>
      <c r="B43" s="4" t="s">
        <v>141</v>
      </c>
      <c r="C43" s="38">
        <f>-'Raw Data'!C108</f>
        <v>14.4</v>
      </c>
      <c r="D43" s="8">
        <f>-'Raw Data'!D167</f>
        <v>12.9</v>
      </c>
      <c r="E43" s="8">
        <f>-'Raw Data'!E167</f>
        <v>12.9</v>
      </c>
      <c r="F43" s="8">
        <f>-'Raw Data'!F167</f>
        <v>13</v>
      </c>
      <c r="G43" s="8">
        <f>-'Raw Data'!G167</f>
        <v>14.4</v>
      </c>
      <c r="M43" s="4" t="str">
        <f>A36</f>
        <v xml:space="preserve">Decrease (increase) in short and  long-term debt </v>
      </c>
      <c r="N43" s="18">
        <f>-(('Decomposed SFP'!H26+'Decomposed SFP'!H37)-('Decomposed SFP'!G26+'Decomposed SFP'!G37))</f>
        <v>-2.5120000000000005</v>
      </c>
      <c r="O43" s="18">
        <f>-(('Decomposed SFP'!I26+'Decomposed SFP'!I37)-('Decomposed SFP'!H26+'Decomposed SFP'!H37))</f>
        <v>-2.5622400000000027</v>
      </c>
      <c r="P43" s="18">
        <f>-(('Decomposed SFP'!J26+'Decomposed SFP'!J37)-('Decomposed SFP'!I26+'Decomposed SFP'!I37))</f>
        <v>-2.613484800000009</v>
      </c>
      <c r="Q43" s="18">
        <f>-(('Decomposed SFP'!K26+'Decomposed SFP'!K37)-('Decomposed SFP'!J26+'Decomposed SFP'!J37))</f>
        <v>-2.6657544960000052</v>
      </c>
      <c r="R43" s="18">
        <f>-(('Decomposed SFP'!L26+'Decomposed SFP'!L37)-('Decomposed SFP'!K26+'Decomposed SFP'!K37))</f>
        <v>-2.719069585919982</v>
      </c>
      <c r="S43" s="18">
        <f>-(('Decomposed SFP'!M26+'Decomposed SFP'!M37)-('Decomposed SFP'!L26+'Decomposed SFP'!L37))</f>
        <v>-2.7734509776384186</v>
      </c>
      <c r="T43" s="18">
        <f>-(('Decomposed SFP'!N26+'Decomposed SFP'!N37)-('Decomposed SFP'!M26+'Decomposed SFP'!M37))</f>
        <v>-2.8289199971911501</v>
      </c>
      <c r="U43" s="18">
        <f>-(('Decomposed SFP'!O26+'Decomposed SFP'!O37)-('Decomposed SFP'!N26+'Decomposed SFP'!N37))</f>
        <v>-2.8854983971349952</v>
      </c>
      <c r="V43" s="18">
        <f>-(('Decomposed SFP'!P26+'Decomposed SFP'!P37)-('Decomposed SFP'!O26+'Decomposed SFP'!O37))</f>
        <v>-2.9432083650777088</v>
      </c>
      <c r="W43" s="18">
        <f>-(('Decomposed SFP'!Q26+'Decomposed SFP'!Q37)-('Decomposed SFP'!P26+'Decomposed SFP'!P37))</f>
        <v>-3.002072532379259</v>
      </c>
    </row>
    <row r="44" spans="1:23">
      <c r="A44" s="10" t="s">
        <v>243</v>
      </c>
      <c r="B44" s="10"/>
      <c r="C44" s="186">
        <f>SUM(C40:C43)</f>
        <v>12.9</v>
      </c>
      <c r="D44" s="11">
        <f t="shared" ref="D44:G44" si="7">SUM(D40:D43)</f>
        <v>13.299999999999988</v>
      </c>
      <c r="E44" s="11">
        <f t="shared" si="7"/>
        <v>9.5000000000000053</v>
      </c>
      <c r="F44" s="11">
        <f t="shared" si="7"/>
        <v>-58.199999999999974</v>
      </c>
      <c r="G44" s="11">
        <f t="shared" si="7"/>
        <v>18.499999999999989</v>
      </c>
      <c r="M44" s="4" t="str">
        <f>A37</f>
        <v xml:space="preserve">Decrease (increase) in short and long-term capital leases </v>
      </c>
      <c r="N44" s="18">
        <f>-(('Decomposed SFP'!H27+'Decomposed SFP'!H38)-('Decomposed SFP'!G27+'Decomposed SFP'!G38))</f>
        <v>-0.65200000000000102</v>
      </c>
      <c r="O44" s="18">
        <f>-(('Decomposed SFP'!I27+'Decomposed SFP'!I38)-('Decomposed SFP'!H27+'Decomposed SFP'!H38))</f>
        <v>-0.66503999999999763</v>
      </c>
      <c r="P44" s="18">
        <f>-(('Decomposed SFP'!J27+'Decomposed SFP'!J38)-('Decomposed SFP'!I27+'Decomposed SFP'!I38))</f>
        <v>-0.67834080000000085</v>
      </c>
      <c r="Q44" s="18">
        <f>-(('Decomposed SFP'!K27+'Decomposed SFP'!K38)-('Decomposed SFP'!J27+'Decomposed SFP'!J38))</f>
        <v>-0.69190761600000172</v>
      </c>
      <c r="R44" s="18">
        <f>-(('Decomposed SFP'!L27+'Decomposed SFP'!L38)-('Decomposed SFP'!K27+'Decomposed SFP'!K38))</f>
        <v>-0.70574576831999991</v>
      </c>
      <c r="S44" s="18">
        <f>-(('Decomposed SFP'!M27+'Decomposed SFP'!M38)-('Decomposed SFP'!L27+'Decomposed SFP'!L38))</f>
        <v>-0.71986068368639877</v>
      </c>
      <c r="T44" s="18">
        <f>-(('Decomposed SFP'!N27+'Decomposed SFP'!N38)-('Decomposed SFP'!M27+'Decomposed SFP'!M38))</f>
        <v>-0.73425789736013058</v>
      </c>
      <c r="U44" s="18">
        <f>-(('Decomposed SFP'!O27+'Decomposed SFP'!O38)-('Decomposed SFP'!N27+'Decomposed SFP'!N38))</f>
        <v>-0.74894305530732908</v>
      </c>
      <c r="V44" s="18">
        <f>-(('Decomposed SFP'!P27+'Decomposed SFP'!P38)-('Decomposed SFP'!O27+'Decomposed SFP'!O38))</f>
        <v>-0.76392191641348006</v>
      </c>
      <c r="W44" s="18">
        <f>-(('Decomposed SFP'!Q27+'Decomposed SFP'!Q38)-('Decomposed SFP'!P27+'Decomposed SFP'!P38))</f>
        <v>-0.77920035474174654</v>
      </c>
    </row>
    <row r="45" spans="1:23">
      <c r="D45" s="8"/>
      <c r="E45" s="8"/>
      <c r="F45" s="8"/>
      <c r="G45" s="8"/>
      <c r="M45" s="4"/>
    </row>
    <row r="46" spans="1:23" ht="16" thickBot="1">
      <c r="A46" s="25" t="s">
        <v>238</v>
      </c>
      <c r="B46" s="25"/>
      <c r="C46" s="529">
        <f>C44+C38</f>
        <v>14.700000000000001</v>
      </c>
      <c r="D46" s="81">
        <f>D44+D38</f>
        <v>8.8999999999999879</v>
      </c>
      <c r="E46" s="81">
        <f>E44+E38</f>
        <v>-31.599999999999994</v>
      </c>
      <c r="F46" s="81">
        <f>F44+F38</f>
        <v>10.300000000000026</v>
      </c>
      <c r="G46" s="81">
        <f>G44+G38</f>
        <v>-70.2</v>
      </c>
      <c r="M46" s="10" t="str">
        <f>A38</f>
        <v xml:space="preserve">Cash flow to debt and debt equivalents </v>
      </c>
      <c r="N46" s="191">
        <f>SUM(N42:N44)</f>
        <v>0.51098599999999816</v>
      </c>
      <c r="O46" s="191">
        <f t="shared" ref="O46:W46" si="8">SUM(O42:O44)</f>
        <v>0.52120571999999976</v>
      </c>
      <c r="P46" s="191">
        <f t="shared" si="8"/>
        <v>0.53162983439999012</v>
      </c>
      <c r="Q46" s="191">
        <f t="shared" si="8"/>
        <v>0.54226243108799288</v>
      </c>
      <c r="R46" s="191">
        <f t="shared" si="8"/>
        <v>0.89901403048801853</v>
      </c>
      <c r="S46" s="191">
        <f t="shared" si="8"/>
        <v>0.91699431109774299</v>
      </c>
      <c r="T46" s="191">
        <f t="shared" si="8"/>
        <v>1.8350366156939328</v>
      </c>
      <c r="U46" s="191">
        <f t="shared" si="8"/>
        <v>1.8717373480077928</v>
      </c>
      <c r="V46" s="191">
        <f t="shared" si="8"/>
        <v>1.9091720949679312</v>
      </c>
      <c r="W46" s="191">
        <f t="shared" si="8"/>
        <v>1.9473555368672972</v>
      </c>
    </row>
    <row r="47" spans="1:23">
      <c r="M47" s="4"/>
    </row>
    <row r="48" spans="1:23">
      <c r="M48" s="4" t="str">
        <f>A40</f>
        <v xml:space="preserve">Decrease (Increase )Deferred Tax Liabilies </v>
      </c>
      <c r="N48" s="18">
        <f>-(('Decomposed SFP'!H39-'Decomposed SFP'!H11)-('Decomposed SFP'!G39-'Decomposed SFP'!G11))</f>
        <v>-1.3718245075964428</v>
      </c>
      <c r="O48" s="18">
        <f>-(('Decomposed SFP'!I39-'Decomposed SFP'!I11)-('Decomposed SFP'!H39-'Decomposed SFP'!H11))</f>
        <v>-0.35944353520219563</v>
      </c>
      <c r="P48" s="18">
        <f>-(('Decomposed SFP'!J39-'Decomposed SFP'!J11)-('Decomposed SFP'!I39-'Decomposed SFP'!I11))</f>
        <v>-0.38731343826701936</v>
      </c>
      <c r="Q48" s="18">
        <f>-(('Decomposed SFP'!K39-'Decomposed SFP'!K11)-('Decomposed SFP'!J39-'Decomposed SFP'!J11))</f>
        <v>-0.41739522198200385</v>
      </c>
      <c r="R48" s="18">
        <f>-(('Decomposed SFP'!L39-'Decomposed SFP'!L11)-('Decomposed SFP'!K39-'Decomposed SFP'!K11))</f>
        <v>-0.4512274888234491</v>
      </c>
      <c r="S48" s="18">
        <f>-(('Decomposed SFP'!M39-'Decomposed SFP'!M11)-('Decomposed SFP'!L39-'Decomposed SFP'!L11))</f>
        <v>-0.48630418323718372</v>
      </c>
      <c r="T48" s="18">
        <f>-(('Decomposed SFP'!N39-'Decomposed SFP'!N11)-('Decomposed SFP'!M39-'Decomposed SFP'!M11))</f>
        <v>-0.52770916138252311</v>
      </c>
      <c r="U48" s="18">
        <f>-(('Decomposed SFP'!O39-'Decomposed SFP'!O11)-('Decomposed SFP'!N39-'Decomposed SFP'!N11))</f>
        <v>-0.56865056611507825</v>
      </c>
      <c r="V48" s="18">
        <f>-(('Decomposed SFP'!P39-'Decomposed SFP'!P11)-('Decomposed SFP'!O39-'Decomposed SFP'!O11))</f>
        <v>-0.61284177666267858</v>
      </c>
      <c r="W48" s="18">
        <f>-(('Decomposed SFP'!Q39-'Decomposed SFP'!Q11)-('Decomposed SFP'!P39-'Decomposed SFP'!P11))</f>
        <v>-0.66054226735925337</v>
      </c>
    </row>
    <row r="49" spans="1:23">
      <c r="A49" s="5"/>
      <c r="B49" s="5"/>
      <c r="C49" s="188"/>
      <c r="D49" s="189">
        <f>D32-D46</f>
        <v>22.89999999999997</v>
      </c>
      <c r="E49" s="189">
        <f>E32-E46</f>
        <v>22.799999999999962</v>
      </c>
      <c r="F49" s="189">
        <f>F32-F46</f>
        <v>28.999999999999972</v>
      </c>
      <c r="G49" s="189">
        <f>G32-G46</f>
        <v>-11.299999999999997</v>
      </c>
      <c r="M49" s="4" t="str">
        <f>A41</f>
        <v xml:space="preserve">Increase in equity </v>
      </c>
      <c r="N49" s="18">
        <f>('Decomposed SFP'!H50+'Decomposed SFP'!H49)-('Decomposed SFP'!G50+'Decomposed SFP'!G49)</f>
        <v>0</v>
      </c>
      <c r="O49" s="18">
        <f>('Decomposed SFP'!I50+'Decomposed SFP'!I49)-('Decomposed SFP'!H50+'Decomposed SFP'!H49)</f>
        <v>0</v>
      </c>
      <c r="P49" s="18">
        <f>('Decomposed SFP'!J50+'Decomposed SFP'!J49)-('Decomposed SFP'!I50+'Decomposed SFP'!I49)</f>
        <v>0</v>
      </c>
      <c r="Q49" s="18">
        <f>('Decomposed SFP'!K50+'Decomposed SFP'!K49)-('Decomposed SFP'!J50+'Decomposed SFP'!J49)</f>
        <v>0</v>
      </c>
      <c r="R49" s="18">
        <f>('Decomposed SFP'!L50+'Decomposed SFP'!L49)-('Decomposed SFP'!K50+'Decomposed SFP'!K49)</f>
        <v>0</v>
      </c>
      <c r="S49" s="18">
        <f>('Decomposed SFP'!M50+'Decomposed SFP'!M49)-('Decomposed SFP'!L50+'Decomposed SFP'!L49)</f>
        <v>0</v>
      </c>
      <c r="T49" s="18">
        <f>('Decomposed SFP'!N50+'Decomposed SFP'!N49)-('Decomposed SFP'!M50+'Decomposed SFP'!M49)</f>
        <v>0</v>
      </c>
      <c r="U49" s="18">
        <f>('Decomposed SFP'!O50+'Decomposed SFP'!O49)-('Decomposed SFP'!N50+'Decomposed SFP'!N49)</f>
        <v>0</v>
      </c>
      <c r="V49" s="18">
        <f>('Decomposed SFP'!P50+'Decomposed SFP'!P49)-('Decomposed SFP'!O50+'Decomposed SFP'!O49)</f>
        <v>0</v>
      </c>
      <c r="W49" s="18">
        <f>('Decomposed SFP'!Q50+'Decomposed SFP'!Q49)-('Decomposed SFP'!P50+'Decomposed SFP'!P49)</f>
        <v>0</v>
      </c>
    </row>
    <row r="50" spans="1:23">
      <c r="M50" s="4" t="str">
        <f>A43</f>
        <v>Dividend paid</v>
      </c>
      <c r="N50" s="18">
        <f>Assumptions!I31*'IS normalized'!H18</f>
        <v>13.83332496231165</v>
      </c>
      <c r="O50" s="18">
        <f>Assumptions!J31*'IS normalized'!I18</f>
        <v>14.726509142430464</v>
      </c>
      <c r="P50" s="18">
        <f>Assumptions!K31*'IS normalized'!J18</f>
        <v>16.014273081134913</v>
      </c>
      <c r="Q50" s="18">
        <f>Assumptions!L31*'IS normalized'!K18</f>
        <v>17.407250999081906</v>
      </c>
      <c r="R50" s="18">
        <f>Assumptions!M31*'IS normalized'!L18</f>
        <v>18.745274525889396</v>
      </c>
      <c r="S50" s="18">
        <f>Assumptions!N31*'IS normalized'!M18</f>
        <v>20.371368497463816</v>
      </c>
      <c r="T50" s="18">
        <f>Assumptions!O31*'IS normalized'!N18</f>
        <v>21.691474497996882</v>
      </c>
      <c r="U50" s="18">
        <f>Assumptions!P31*'IS normalized'!O18</f>
        <v>23.584690232261302</v>
      </c>
      <c r="V50" s="18">
        <f>Assumptions!Q31*'IS normalized'!P18</f>
        <v>25.632521180755372</v>
      </c>
      <c r="W50" s="18">
        <f>Assumptions!R31*'IS normalized'!Q18</f>
        <v>27.847399719727232</v>
      </c>
    </row>
    <row r="51" spans="1:23">
      <c r="M51" s="4" t="str">
        <f>A44</f>
        <v xml:space="preserve">Cash flow to equity and equity equivalents </v>
      </c>
      <c r="N51" s="18">
        <f t="shared" ref="N51:W51" si="9">SUM(N48:N50)</f>
        <v>12.461500454715207</v>
      </c>
      <c r="O51" s="18">
        <f t="shared" si="9"/>
        <v>14.367065607228268</v>
      </c>
      <c r="P51" s="18">
        <f t="shared" si="9"/>
        <v>15.626959642867893</v>
      </c>
      <c r="Q51" s="18">
        <f t="shared" si="9"/>
        <v>16.989855777099901</v>
      </c>
      <c r="R51" s="18">
        <f t="shared" si="9"/>
        <v>18.294047037065948</v>
      </c>
      <c r="S51" s="18">
        <f t="shared" si="9"/>
        <v>19.885064314226632</v>
      </c>
      <c r="T51" s="18">
        <f t="shared" si="9"/>
        <v>21.163765336614361</v>
      </c>
      <c r="U51" s="18">
        <f t="shared" si="9"/>
        <v>23.016039666146224</v>
      </c>
      <c r="V51" s="18">
        <f t="shared" si="9"/>
        <v>25.019679404092692</v>
      </c>
      <c r="W51" s="18">
        <f t="shared" si="9"/>
        <v>27.186857452367978</v>
      </c>
    </row>
    <row r="52" spans="1:23">
      <c r="A52" s="518" t="str">
        <f>'Raw Data'!A133</f>
        <v>Individually Significant Items (non-cash impact)</v>
      </c>
      <c r="B52" s="518"/>
      <c r="C52" s="518"/>
      <c r="D52" s="718">
        <f>-'Raw Data'!D133</f>
        <v>-3.6</v>
      </c>
      <c r="E52" s="718">
        <f>-'Raw Data'!E133</f>
        <v>0</v>
      </c>
      <c r="F52" s="718">
        <f>-'Raw Data'!F133</f>
        <v>-7.6</v>
      </c>
      <c r="G52" s="718">
        <f>-'Raw Data'!G133</f>
        <v>0</v>
      </c>
      <c r="M52" s="4"/>
    </row>
    <row r="53" spans="1:23" ht="16" thickBot="1">
      <c r="A53" s="518" t="s">
        <v>768</v>
      </c>
      <c r="B53" s="518"/>
      <c r="C53" s="518"/>
      <c r="D53" s="718">
        <f>(-'Raw Data'!D134-'Raw Data'!D135)-('Raw Data'!D136+'Raw Data'!D137)</f>
        <v>-0.1</v>
      </c>
      <c r="E53" s="718">
        <f>(-'Raw Data'!E134-'Raw Data'!E135)-('Raw Data'!E136+'Raw Data'!E137)</f>
        <v>0.1</v>
      </c>
      <c r="F53" s="718">
        <f>(-'Raw Data'!F134-'Raw Data'!F135)-('Raw Data'!F136+'Raw Data'!F137)</f>
        <v>0.49999999999999994</v>
      </c>
      <c r="G53" s="718">
        <f>(-'Raw Data'!G134-'Raw Data'!G135)-('Raw Data'!G136+'Raw Data'!G137)</f>
        <v>0</v>
      </c>
      <c r="M53" s="25" t="str">
        <f>A46</f>
        <v xml:space="preserve">Cash Flow avaialable to investors </v>
      </c>
      <c r="N53" s="524">
        <f t="shared" ref="N53:W53" si="10">N51+N46</f>
        <v>12.972486454715206</v>
      </c>
      <c r="O53" s="524">
        <f t="shared" si="10"/>
        <v>14.888271327228267</v>
      </c>
      <c r="P53" s="524">
        <f t="shared" si="10"/>
        <v>16.158589477267885</v>
      </c>
      <c r="Q53" s="524">
        <f t="shared" si="10"/>
        <v>17.532118208187896</v>
      </c>
      <c r="R53" s="524">
        <f t="shared" si="10"/>
        <v>19.193061067553966</v>
      </c>
      <c r="S53" s="524">
        <f t="shared" si="10"/>
        <v>20.802058625324374</v>
      </c>
      <c r="T53" s="524">
        <f t="shared" si="10"/>
        <v>22.998801952308295</v>
      </c>
      <c r="U53" s="524">
        <f t="shared" si="10"/>
        <v>24.887777014154018</v>
      </c>
      <c r="V53" s="524">
        <f t="shared" si="10"/>
        <v>26.928851499060624</v>
      </c>
      <c r="W53" s="524">
        <f t="shared" si="10"/>
        <v>29.134212989235273</v>
      </c>
    </row>
    <row r="54" spans="1:23">
      <c r="M54" s="4"/>
    </row>
    <row r="55" spans="1:23">
      <c r="A55"/>
      <c r="B55"/>
      <c r="C55"/>
      <c r="D55"/>
      <c r="E55"/>
      <c r="F55"/>
      <c r="G55"/>
      <c r="M55" s="4"/>
    </row>
    <row r="56" spans="1:23">
      <c r="A56"/>
      <c r="B56"/>
      <c r="C56"/>
      <c r="D56"/>
      <c r="E56"/>
      <c r="F56"/>
      <c r="G56"/>
      <c r="M56" s="4"/>
    </row>
    <row r="57" spans="1:23">
      <c r="A57"/>
      <c r="B57"/>
      <c r="C57"/>
      <c r="D57"/>
      <c r="E57"/>
      <c r="F57"/>
      <c r="G57"/>
      <c r="M57" s="4"/>
      <c r="N57" s="18">
        <f t="shared" ref="N57:W57" si="11">N38-N53</f>
        <v>14.653870807620027</v>
      </c>
      <c r="O57" s="18">
        <f t="shared" si="11"/>
        <v>-14.351715285193935</v>
      </c>
      <c r="P57" s="18">
        <f t="shared" si="11"/>
        <v>-15.374044836287341</v>
      </c>
      <c r="Q57" s="18">
        <f t="shared" si="11"/>
        <v>-16.478609681363505</v>
      </c>
      <c r="R57" s="18">
        <f t="shared" si="11"/>
        <v>-17.673795470797177</v>
      </c>
      <c r="S57" s="18">
        <f t="shared" si="11"/>
        <v>-18.962431067557944</v>
      </c>
      <c r="T57" s="18">
        <f t="shared" si="11"/>
        <v>-20.359351550158024</v>
      </c>
      <c r="U57" s="18">
        <f t="shared" si="11"/>
        <v>-21.861707712242907</v>
      </c>
      <c r="V57" s="18">
        <f t="shared" si="11"/>
        <v>-23.484898873659095</v>
      </c>
      <c r="W57" s="18">
        <f t="shared" si="11"/>
        <v>-25.238604764479867</v>
      </c>
    </row>
    <row r="58" spans="1:23" s="5" customFormat="1">
      <c r="A58"/>
      <c r="B58"/>
      <c r="C58"/>
      <c r="D58"/>
      <c r="E58"/>
      <c r="F58"/>
      <c r="G58"/>
      <c r="H58"/>
      <c r="I58"/>
      <c r="J58"/>
      <c r="K58"/>
      <c r="L58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>
      <c r="A59"/>
      <c r="B59"/>
      <c r="C59"/>
      <c r="D59"/>
      <c r="E59"/>
      <c r="F59"/>
      <c r="G59"/>
      <c r="M59" s="4"/>
    </row>
    <row r="60" spans="1:23">
      <c r="M60" s="4"/>
    </row>
    <row r="61" spans="1:23">
      <c r="Q61" s="5"/>
      <c r="R61" s="5"/>
      <c r="S61" s="5"/>
      <c r="T61" s="5"/>
      <c r="U61" s="5"/>
      <c r="V61" s="5"/>
      <c r="W61" s="5"/>
    </row>
    <row r="68" spans="1:16">
      <c r="A68"/>
      <c r="B68"/>
      <c r="C68"/>
      <c r="D68"/>
      <c r="E68"/>
      <c r="F68"/>
      <c r="G68"/>
      <c r="P68" s="5"/>
    </row>
    <row r="69" spans="1:16">
      <c r="A69"/>
      <c r="B69"/>
      <c r="C69"/>
      <c r="D69"/>
      <c r="E69"/>
      <c r="F69"/>
      <c r="G69"/>
    </row>
    <row r="70" spans="1:16">
      <c r="A70"/>
      <c r="B70"/>
      <c r="C70"/>
      <c r="D70"/>
      <c r="E70"/>
      <c r="F70"/>
      <c r="G70"/>
    </row>
    <row r="71" spans="1:16">
      <c r="A71"/>
      <c r="B71"/>
      <c r="C71"/>
      <c r="D71"/>
      <c r="E71"/>
      <c r="F71"/>
      <c r="G71"/>
      <c r="N71" s="5"/>
    </row>
    <row r="72" spans="1:16">
      <c r="A72"/>
      <c r="B72"/>
      <c r="C72"/>
      <c r="D72"/>
      <c r="E72"/>
      <c r="F72"/>
      <c r="G72"/>
      <c r="O72" s="5"/>
    </row>
    <row r="73" spans="1:16">
      <c r="A73"/>
      <c r="B73"/>
      <c r="C73"/>
      <c r="D73"/>
      <c r="E73"/>
      <c r="F73"/>
      <c r="G73"/>
    </row>
    <row r="74" spans="1:16">
      <c r="A74"/>
      <c r="B74"/>
      <c r="C74"/>
      <c r="D74"/>
      <c r="E74"/>
      <c r="F74"/>
      <c r="G74"/>
    </row>
    <row r="75" spans="1:16">
      <c r="A75"/>
      <c r="B75"/>
      <c r="C75"/>
      <c r="D75"/>
      <c r="E75"/>
      <c r="F75"/>
      <c r="G75"/>
    </row>
    <row r="76" spans="1:16">
      <c r="A76"/>
      <c r="B76"/>
      <c r="C76"/>
      <c r="D76"/>
      <c r="E76"/>
      <c r="F76"/>
      <c r="G76"/>
    </row>
    <row r="77" spans="1:16">
      <c r="A77"/>
      <c r="B77"/>
      <c r="C77"/>
      <c r="D77"/>
      <c r="E77"/>
      <c r="F77"/>
      <c r="G77"/>
    </row>
    <row r="78" spans="1:16">
      <c r="A78"/>
      <c r="B78"/>
      <c r="C78"/>
      <c r="D78"/>
      <c r="E78"/>
      <c r="F78"/>
      <c r="G78"/>
    </row>
    <row r="79" spans="1:16">
      <c r="A79"/>
      <c r="B79"/>
      <c r="C79"/>
      <c r="D79"/>
      <c r="E79"/>
      <c r="F79"/>
      <c r="G79"/>
    </row>
    <row r="80" spans="1:16">
      <c r="A80"/>
      <c r="B80"/>
      <c r="C80"/>
      <c r="D80"/>
      <c r="E80"/>
      <c r="F80"/>
      <c r="G80"/>
    </row>
    <row r="81" spans="1:7">
      <c r="A81"/>
      <c r="B81"/>
      <c r="C81"/>
      <c r="D81"/>
      <c r="E81"/>
      <c r="F81"/>
      <c r="G81"/>
    </row>
    <row r="82" spans="1:7">
      <c r="A82"/>
      <c r="B82"/>
      <c r="C82"/>
      <c r="D82"/>
      <c r="E82"/>
      <c r="F82"/>
      <c r="G82"/>
    </row>
    <row r="83" spans="1:7">
      <c r="A83"/>
      <c r="B83"/>
      <c r="C83"/>
      <c r="D83"/>
      <c r="E83"/>
      <c r="F83"/>
      <c r="G83"/>
    </row>
    <row r="84" spans="1:7">
      <c r="A84"/>
      <c r="B84"/>
      <c r="C84"/>
      <c r="D84"/>
      <c r="E84"/>
      <c r="F84"/>
      <c r="G84"/>
    </row>
    <row r="85" spans="1:7">
      <c r="A85"/>
      <c r="B85"/>
      <c r="C85"/>
      <c r="D85"/>
      <c r="E85"/>
      <c r="F85"/>
      <c r="G85"/>
    </row>
    <row r="86" spans="1:7">
      <c r="A86"/>
      <c r="B86"/>
      <c r="C86"/>
      <c r="D86"/>
      <c r="E86"/>
      <c r="F86"/>
      <c r="G86"/>
    </row>
    <row r="87" spans="1:7">
      <c r="A87"/>
      <c r="B87"/>
      <c r="C87"/>
      <c r="D87"/>
      <c r="E87"/>
      <c r="F87"/>
      <c r="G87"/>
    </row>
    <row r="88" spans="1:7">
      <c r="A88"/>
      <c r="B88"/>
      <c r="C88"/>
      <c r="D88"/>
      <c r="E88"/>
      <c r="F88"/>
      <c r="G88"/>
    </row>
    <row r="89" spans="1:7">
      <c r="A89"/>
      <c r="B89"/>
      <c r="C89"/>
      <c r="D89"/>
      <c r="E89"/>
      <c r="F89"/>
      <c r="G89"/>
    </row>
    <row r="90" spans="1:7">
      <c r="A90"/>
      <c r="B90"/>
      <c r="C90"/>
      <c r="D90"/>
      <c r="E90"/>
      <c r="F90"/>
      <c r="G90"/>
    </row>
    <row r="91" spans="1:7">
      <c r="A91"/>
      <c r="B91"/>
      <c r="C91"/>
      <c r="D91"/>
      <c r="E91"/>
      <c r="F91"/>
      <c r="G91"/>
    </row>
    <row r="92" spans="1:7">
      <c r="A92"/>
      <c r="B92"/>
      <c r="C92"/>
      <c r="D92"/>
      <c r="E92"/>
      <c r="F92"/>
      <c r="G92"/>
    </row>
    <row r="93" spans="1:7">
      <c r="A93"/>
      <c r="B93"/>
      <c r="C93"/>
      <c r="D93"/>
      <c r="E93"/>
      <c r="F93"/>
      <c r="G93"/>
    </row>
    <row r="94" spans="1:7">
      <c r="A94"/>
      <c r="B94"/>
      <c r="C94"/>
      <c r="D94"/>
      <c r="E94"/>
      <c r="F94"/>
      <c r="G94"/>
    </row>
    <row r="95" spans="1:7">
      <c r="A95"/>
      <c r="B95"/>
      <c r="C95"/>
      <c r="D95"/>
      <c r="E95"/>
      <c r="F95"/>
      <c r="G95"/>
    </row>
    <row r="96" spans="1:7">
      <c r="A96"/>
      <c r="B96"/>
      <c r="C96"/>
      <c r="D96"/>
      <c r="E96"/>
      <c r="F96"/>
      <c r="G96"/>
    </row>
    <row r="97" spans="1:7">
      <c r="A97"/>
      <c r="B97"/>
      <c r="C97"/>
      <c r="D97"/>
      <c r="E97"/>
      <c r="F97"/>
      <c r="G97"/>
    </row>
    <row r="98" spans="1:7">
      <c r="A98"/>
      <c r="B98"/>
      <c r="C98"/>
      <c r="D98"/>
      <c r="E98"/>
      <c r="F98"/>
      <c r="G98"/>
    </row>
    <row r="99" spans="1:7">
      <c r="A99"/>
      <c r="B99"/>
      <c r="C99"/>
      <c r="D99"/>
      <c r="E99"/>
      <c r="F99"/>
      <c r="G99"/>
    </row>
    <row r="100" spans="1:7">
      <c r="A100"/>
      <c r="B100"/>
      <c r="C100"/>
      <c r="D100"/>
      <c r="E100"/>
      <c r="F100"/>
      <c r="G100"/>
    </row>
    <row r="101" spans="1:7">
      <c r="A101"/>
      <c r="B101"/>
      <c r="C101"/>
      <c r="D101"/>
      <c r="E101"/>
      <c r="F101"/>
      <c r="G101"/>
    </row>
    <row r="102" spans="1:7">
      <c r="A102"/>
      <c r="B102"/>
      <c r="C102"/>
      <c r="D102"/>
      <c r="E102"/>
      <c r="F102"/>
      <c r="G102"/>
    </row>
    <row r="103" spans="1:7">
      <c r="A103"/>
      <c r="B103"/>
      <c r="C103"/>
      <c r="D103"/>
      <c r="E103"/>
      <c r="F103"/>
      <c r="G103"/>
    </row>
    <row r="104" spans="1:7">
      <c r="A104"/>
      <c r="B104"/>
      <c r="C104"/>
      <c r="D104"/>
      <c r="E104"/>
      <c r="F104"/>
      <c r="G104"/>
    </row>
    <row r="105" spans="1:7">
      <c r="A105"/>
      <c r="B105"/>
      <c r="C105"/>
      <c r="D105"/>
      <c r="E105"/>
      <c r="F105"/>
      <c r="G105"/>
    </row>
    <row r="106" spans="1:7">
      <c r="A106"/>
      <c r="B106"/>
      <c r="C106"/>
      <c r="D106"/>
      <c r="E106"/>
      <c r="F106"/>
      <c r="G106"/>
    </row>
    <row r="107" spans="1:7">
      <c r="A107"/>
      <c r="B107"/>
      <c r="C107"/>
      <c r="D107"/>
      <c r="E107"/>
      <c r="F107"/>
      <c r="G107"/>
    </row>
    <row r="108" spans="1:7">
      <c r="A108"/>
      <c r="B108"/>
      <c r="C108"/>
      <c r="D108"/>
      <c r="E108"/>
      <c r="F108"/>
      <c r="G10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D534-EC20-6941-9D33-EE24F4E9CBDD}">
  <dimension ref="A2:R641"/>
  <sheetViews>
    <sheetView showGridLines="0" topLeftCell="A425" zoomScaleNormal="100" workbookViewId="0">
      <selection activeCell="I446" sqref="I446"/>
    </sheetView>
  </sheetViews>
  <sheetFormatPr baseColWidth="10" defaultColWidth="11.5" defaultRowHeight="14" outlineLevelRow="1"/>
  <cols>
    <col min="1" max="1" width="46.5" style="4" customWidth="1"/>
    <col min="2" max="2" width="7.6640625" style="4" customWidth="1"/>
    <col min="3" max="3" width="28.1640625" style="4" customWidth="1"/>
    <col min="4" max="4" width="21.6640625" style="4" bestFit="1" customWidth="1"/>
    <col min="5" max="5" width="17.1640625" style="4" customWidth="1"/>
    <col min="6" max="6" width="12.5" style="4" customWidth="1"/>
    <col min="7" max="7" width="18.5" style="4" customWidth="1"/>
    <col min="8" max="8" width="11.5" style="4" bestFit="1" customWidth="1"/>
    <col min="9" max="9" width="22.5" style="4" customWidth="1"/>
    <col min="10" max="10" width="17.5" style="4" customWidth="1"/>
    <col min="11" max="11" width="13.83203125" style="4" bestFit="1" customWidth="1"/>
    <col min="12" max="12" width="22.83203125" style="4" bestFit="1" customWidth="1"/>
    <col min="13" max="15" width="11.5" style="4" bestFit="1" customWidth="1"/>
    <col min="16" max="16384" width="11.5" style="4"/>
  </cols>
  <sheetData>
    <row r="2" spans="1:10">
      <c r="A2" s="240" t="s">
        <v>180</v>
      </c>
      <c r="B2" s="240"/>
      <c r="C2" s="241"/>
      <c r="D2" s="241"/>
      <c r="E2" s="241"/>
      <c r="F2" s="241"/>
      <c r="G2" s="241"/>
      <c r="H2" s="241"/>
      <c r="I2" s="242"/>
    </row>
    <row r="3" spans="1:10" ht="15" thickBot="1">
      <c r="A3" s="243" t="s">
        <v>181</v>
      </c>
      <c r="B3" s="243"/>
      <c r="C3" s="244"/>
      <c r="D3" s="245">
        <v>2018</v>
      </c>
      <c r="E3" s="245">
        <v>2019</v>
      </c>
      <c r="F3" s="245">
        <v>2020</v>
      </c>
      <c r="G3" s="245">
        <v>2021</v>
      </c>
      <c r="H3" s="245">
        <v>2022</v>
      </c>
      <c r="I3" s="242"/>
    </row>
    <row r="4" spans="1:10">
      <c r="A4" s="246" t="s">
        <v>182</v>
      </c>
      <c r="B4" s="246"/>
      <c r="C4" s="247"/>
      <c r="D4" s="248"/>
      <c r="E4" s="248"/>
      <c r="F4" s="248"/>
      <c r="G4" s="248"/>
      <c r="H4" s="249"/>
      <c r="I4" s="242"/>
    </row>
    <row r="5" spans="1:10">
      <c r="A5" s="250" t="s">
        <v>183</v>
      </c>
      <c r="B5" s="250"/>
      <c r="C5" s="251"/>
      <c r="D5" s="252">
        <f>'IS normalized'!C54/'IS normalized'!C52</f>
        <v>0.41158798283261805</v>
      </c>
      <c r="E5" s="252">
        <f>'IS normalized'!D54/'IS normalized'!D52</f>
        <v>0.40606302353410445</v>
      </c>
      <c r="F5" s="252">
        <f>'IS normalized'!E54/'IS normalized'!E52</f>
        <v>0.39590443686006821</v>
      </c>
      <c r="G5" s="252">
        <f>'IS normalized'!F54/'IS normalized'!F52</f>
        <v>0.40887245841035119</v>
      </c>
      <c r="H5" s="252">
        <f>'IS normalized'!G54/'IS normalized'!G52</f>
        <v>0.42121982210927578</v>
      </c>
      <c r="I5" s="242"/>
    </row>
    <row r="6" spans="1:10">
      <c r="A6" s="250" t="s">
        <v>237</v>
      </c>
      <c r="B6" s="250"/>
      <c r="C6" s="251"/>
      <c r="D6" s="252">
        <f>-'IS normalized'!C58/'IS normalized'!C52</f>
        <v>0.31974248927038629</v>
      </c>
      <c r="E6" s="252">
        <f>-'IS normalized'!D58/'IS normalized'!D52</f>
        <v>0.32828081372157958</v>
      </c>
      <c r="F6" s="252">
        <f>-'IS normalized'!E58/'IS normalized'!E52</f>
        <v>0.31816458096321582</v>
      </c>
      <c r="G6" s="252">
        <f>-'IS normalized'!F58/'IS normalized'!F52</f>
        <v>0.29796672828096116</v>
      </c>
      <c r="H6" s="252">
        <f>-'IS normalized'!G58/'IS normalized'!G52</f>
        <v>0.30813214739517153</v>
      </c>
      <c r="I6" s="242"/>
    </row>
    <row r="7" spans="1:10">
      <c r="A7" s="250" t="s">
        <v>184</v>
      </c>
      <c r="B7" s="250"/>
      <c r="C7" s="251"/>
      <c r="D7" s="252">
        <f>'IS normalized'!C59/'IS normalized'!C52</f>
        <v>9.1845493562231789E-2</v>
      </c>
      <c r="E7" s="252">
        <f>'IS normalized'!D59/'IS normalized'!D52</f>
        <v>7.7782209812524872E-2</v>
      </c>
      <c r="F7" s="252">
        <f>'IS normalized'!E59/'IS normalized'!E52</f>
        <v>7.7739855896852381E-2</v>
      </c>
      <c r="G7" s="252">
        <f>'IS normalized'!F59/'IS normalized'!F52</f>
        <v>0.11090573012939002</v>
      </c>
      <c r="H7" s="252">
        <f>'IS normalized'!G59/'IS normalized'!G52</f>
        <v>0.11308767471410426</v>
      </c>
      <c r="I7" s="242"/>
    </row>
    <row r="8" spans="1:10">
      <c r="A8" s="250" t="s">
        <v>185</v>
      </c>
      <c r="B8" s="250"/>
      <c r="C8" s="251"/>
      <c r="D8" s="252">
        <f>'IS normalized'!C15/'IS normalized'!C4</f>
        <v>8.4120171673819757E-2</v>
      </c>
      <c r="E8" s="252">
        <f>'IS normalized'!D15/'IS normalized'!D4</f>
        <v>7.1001196649381676E-2</v>
      </c>
      <c r="F8" s="252">
        <f>'IS normalized'!E15/'IS normalized'!E4</f>
        <v>6.6363291619264214E-2</v>
      </c>
      <c r="G8" s="252">
        <f>'IS normalized'!F15/'IS normalized'!F4</f>
        <v>0.10166358595194085</v>
      </c>
      <c r="H8" s="252">
        <f>'IS normalized'!G15/'IS normalized'!G4</f>
        <v>0.1013341804320204</v>
      </c>
      <c r="I8" s="242"/>
    </row>
    <row r="9" spans="1:10">
      <c r="A9" s="250" t="s">
        <v>186</v>
      </c>
      <c r="B9" s="250"/>
      <c r="C9" s="251"/>
      <c r="D9" s="252">
        <f>'IS normalized'!C18/'IS normalized'!C4</f>
        <v>8.6266094420600875E-2</v>
      </c>
      <c r="E9" s="252">
        <f>'IS normalized'!D18/'IS normalized'!D4</f>
        <v>5.384922217790182E-2</v>
      </c>
      <c r="F9" s="252">
        <f>'IS normalized'!E18/'IS normalized'!E4</f>
        <v>5.4228289723170169E-2</v>
      </c>
      <c r="G9" s="252">
        <f>'IS normalized'!F18/'IS normalized'!F4</f>
        <v>8.3918669131238438E-2</v>
      </c>
      <c r="H9" s="252">
        <f>'IS normalized'!G18/'IS normalized'!G4</f>
        <v>7.5921219822109351E-2</v>
      </c>
      <c r="I9" s="242"/>
    </row>
    <row r="10" spans="1:10">
      <c r="A10" s="250" t="s">
        <v>187</v>
      </c>
      <c r="B10" s="250"/>
      <c r="C10" s="251"/>
      <c r="D10" s="253">
        <f>'IS normalized'!C61/'Raw Data'!C77</f>
        <v>6.2029164407424953E-2</v>
      </c>
      <c r="E10" s="253">
        <f>'IS normalized'!D61/'Raw Data'!D77</f>
        <v>4.2583719673759325E-2</v>
      </c>
      <c r="F10" s="253">
        <f>'IS normalized'!E61/'Raw Data'!E77</f>
        <v>3.8315252908116514E-2</v>
      </c>
      <c r="G10" s="253">
        <f>'IS normalized'!F61/'Raw Data'!F77</f>
        <v>5.7283452148129452E-2</v>
      </c>
      <c r="H10" s="253">
        <f>'IS normalized'!G61/'Raw Data'!G77</f>
        <v>4.6273595269742611E-2</v>
      </c>
      <c r="I10" s="242"/>
    </row>
    <row r="11" spans="1:10">
      <c r="A11" s="250" t="s">
        <v>188</v>
      </c>
      <c r="B11" s="250"/>
      <c r="C11" s="251"/>
      <c r="D11" s="252">
        <f>'IS normalized'!C18/'Raw Data'!C109</f>
        <v>9.7289448209099724E-2</v>
      </c>
      <c r="E11" s="252">
        <f>'IS normalized'!D18/'Raw Data'!D109</f>
        <v>6.4041745730550201E-2</v>
      </c>
      <c r="F11" s="252">
        <f>'IS normalized'!E18/'Raw Data'!E109</f>
        <v>6.9451189898008608E-2</v>
      </c>
      <c r="G11" s="252">
        <f>'IS normalized'!F18/'Raw Data'!F109</f>
        <v>8.527422990232908E-2</v>
      </c>
      <c r="H11" s="252">
        <f>'IS normalized'!G18/'Raw Data'!G109</f>
        <v>8.1514324693042373E-2</v>
      </c>
      <c r="I11" s="242"/>
    </row>
    <row r="12" spans="1:10">
      <c r="A12" s="254" t="s">
        <v>189</v>
      </c>
      <c r="B12" s="254"/>
      <c r="C12" s="255"/>
      <c r="D12" s="256"/>
      <c r="E12" s="256"/>
      <c r="F12" s="256"/>
      <c r="G12" s="256"/>
      <c r="H12" s="256"/>
      <c r="I12" s="242"/>
    </row>
    <row r="13" spans="1:10">
      <c r="A13" s="257"/>
      <c r="B13" s="257"/>
      <c r="C13" s="258"/>
      <c r="D13" s="259"/>
      <c r="E13" s="259"/>
      <c r="F13" s="259"/>
      <c r="G13" s="259"/>
      <c r="H13" s="259"/>
      <c r="I13" s="242"/>
    </row>
    <row r="14" spans="1:10">
      <c r="A14" s="246" t="s">
        <v>190</v>
      </c>
      <c r="B14" s="246"/>
      <c r="C14" s="260"/>
      <c r="D14" s="257"/>
      <c r="E14" s="257"/>
      <c r="F14" s="257"/>
      <c r="G14" s="257"/>
      <c r="H14" s="242"/>
      <c r="I14" s="242"/>
    </row>
    <row r="15" spans="1:10">
      <c r="A15" s="261" t="s">
        <v>191</v>
      </c>
      <c r="B15" s="261"/>
      <c r="C15" s="262"/>
      <c r="D15" s="263">
        <f>-'IS normalized'!C53/'Raw Data'!C70</f>
        <v>171.37499999999997</v>
      </c>
      <c r="E15" s="263">
        <f>-'IS normalized'!D53/'Raw Data'!D70</f>
        <v>212.71428571428572</v>
      </c>
      <c r="F15" s="263">
        <f>-'IS normalized'!E53/'Raw Data'!E70</f>
        <v>177</v>
      </c>
      <c r="G15" s="263">
        <f>-'IS normalized'!F53/'Raw Data'!F70</f>
        <v>145.36363636363635</v>
      </c>
      <c r="H15" s="263">
        <f>-'IS normalized'!G53/'Raw Data'!G70</f>
        <v>202.44444444444443</v>
      </c>
      <c r="I15" s="242"/>
      <c r="J15" s="264"/>
    </row>
    <row r="16" spans="1:10">
      <c r="A16" s="261" t="s">
        <v>192</v>
      </c>
      <c r="B16" s="261"/>
      <c r="C16" s="262"/>
      <c r="D16" s="263">
        <f>365/D15</f>
        <v>2.1298322392414302</v>
      </c>
      <c r="E16" s="263">
        <f>365/E15</f>
        <v>1.7159167226326393</v>
      </c>
      <c r="F16" s="263">
        <f>365/F15</f>
        <v>2.0621468926553672</v>
      </c>
      <c r="G16" s="263">
        <f>365/G15</f>
        <v>2.510944340212633</v>
      </c>
      <c r="H16" s="263">
        <f>365/H15</f>
        <v>1.8029637760702526</v>
      </c>
      <c r="I16" s="242"/>
      <c r="J16" s="263"/>
    </row>
    <row r="17" spans="1:9">
      <c r="A17" s="261" t="s">
        <v>193</v>
      </c>
      <c r="B17" s="261"/>
      <c r="C17" s="262"/>
      <c r="D17" s="263">
        <f>'IS normalized'!C52/'Raw Data'!C71</f>
        <v>3.5303030303030303</v>
      </c>
      <c r="E17" s="263">
        <f>'IS normalized'!D52/'Raw Data'!D71</f>
        <v>4.0698051948051948</v>
      </c>
      <c r="F17" s="263">
        <f>'IS normalized'!E52/'Raw Data'!E71</f>
        <v>3.5926430517711165</v>
      </c>
      <c r="G17" s="263">
        <f>'IS normalized'!F52/'Raw Data'!F71</f>
        <v>3.9374090247452691</v>
      </c>
      <c r="H17" s="263">
        <f>'IS normalized'!G52/'Raw Data'!G71</f>
        <v>4.0514800514800511</v>
      </c>
      <c r="I17" s="242"/>
    </row>
    <row r="18" spans="1:9">
      <c r="A18" s="261" t="s">
        <v>194</v>
      </c>
      <c r="B18" s="261"/>
      <c r="C18" s="262"/>
      <c r="D18" s="263">
        <f>365/D17</f>
        <v>103.39055793991416</v>
      </c>
      <c r="E18" s="263">
        <f>365/E17</f>
        <v>89.68488232947746</v>
      </c>
      <c r="F18" s="263">
        <f>365/F17</f>
        <v>101.59651118695488</v>
      </c>
      <c r="G18" s="263">
        <f>365/G17</f>
        <v>92.700554528650656</v>
      </c>
      <c r="H18" s="263">
        <f>365/H17</f>
        <v>90.09053367217281</v>
      </c>
      <c r="I18" s="242"/>
    </row>
    <row r="19" spans="1:9">
      <c r="A19" s="261" t="s">
        <v>195</v>
      </c>
      <c r="B19" s="261"/>
      <c r="C19" s="262"/>
      <c r="D19" s="263">
        <f>-'IS normalized'!C53/'Raw Data'!C80</f>
        <v>3.8403361344537812</v>
      </c>
      <c r="E19" s="263">
        <f>-'IS normalized'!D53/'Raw Data'!D80</f>
        <v>4.712025316455696</v>
      </c>
      <c r="F19" s="263">
        <f>-'IS normalized'!E53/'Raw Data'!E80</f>
        <v>3.4331896551724141</v>
      </c>
      <c r="G19" s="263">
        <f>-'IS normalized'!F53/'Raw Data'!F80</f>
        <v>3.5376106194690267</v>
      </c>
      <c r="H19" s="263">
        <f>-'IS normalized'!G53/'Raw Data'!G80</f>
        <v>3.7722567287784678</v>
      </c>
      <c r="I19" s="242"/>
    </row>
    <row r="20" spans="1:9">
      <c r="A20" s="261" t="s">
        <v>196</v>
      </c>
      <c r="B20" s="261"/>
      <c r="C20" s="262"/>
      <c r="D20" s="263">
        <f>365/D19</f>
        <v>95.043763676148799</v>
      </c>
      <c r="E20" s="263">
        <f>365/E19</f>
        <v>77.461383478844866</v>
      </c>
      <c r="F20" s="263">
        <f>365/F19</f>
        <v>106.31512868801003</v>
      </c>
      <c r="G20" s="263">
        <f>365/G19</f>
        <v>103.17698561601</v>
      </c>
      <c r="H20" s="263">
        <f>365/H19</f>
        <v>96.759055982436891</v>
      </c>
      <c r="I20" s="242"/>
    </row>
    <row r="21" spans="1:9">
      <c r="A21" s="261" t="s">
        <v>197</v>
      </c>
      <c r="B21" s="261"/>
      <c r="C21" s="262"/>
      <c r="D21" s="263">
        <f>'IS normalized'!C52/'Raw Data'!C77</f>
        <v>0.65856416054267952</v>
      </c>
      <c r="E21" s="263">
        <f>'IS normalized'!D52/'Raw Data'!D77</f>
        <v>0.7218543046357615</v>
      </c>
      <c r="F21" s="263">
        <f>'IS normalized'!E52/'Raw Data'!E77</f>
        <v>0.60315645013723684</v>
      </c>
      <c r="G21" s="263">
        <f>'IS normalized'!F52/'Raw Data'!F77</f>
        <v>0.62572287763127443</v>
      </c>
      <c r="H21" s="263">
        <f>'IS normalized'!G52/'Raw Data'!G77</f>
        <v>0.54614850798056902</v>
      </c>
      <c r="I21" s="242"/>
    </row>
    <row r="22" spans="1:9">
      <c r="A22" s="254" t="s">
        <v>198</v>
      </c>
      <c r="B22" s="254"/>
      <c r="C22" s="255"/>
      <c r="D22" s="265">
        <f>'Decomposed SFP'!C122/'IS normalized'!C52</f>
        <v>1.4</v>
      </c>
      <c r="E22" s="265">
        <f>'Decomposed SFP'!D122/'IS normalized'!D52</f>
        <v>1.2405265257279618</v>
      </c>
      <c r="F22" s="265">
        <f>'Decomposed SFP'!E122/'IS normalized'!E52</f>
        <v>1.2878270762229809</v>
      </c>
      <c r="G22" s="265">
        <f>'Decomposed SFP'!F122/'IS normalized'!F52</f>
        <v>1.1589648798521257</v>
      </c>
      <c r="H22" s="265">
        <f>'Decomposed SFP'!G122/'IS normalized'!G52</f>
        <v>1.5924396442185513</v>
      </c>
      <c r="I22" s="242"/>
    </row>
    <row r="23" spans="1:9">
      <c r="A23" s="257"/>
      <c r="B23" s="257"/>
      <c r="C23" s="258"/>
      <c r="D23" s="257"/>
      <c r="E23" s="257"/>
      <c r="F23" s="257"/>
      <c r="G23" s="257"/>
      <c r="H23" s="242"/>
      <c r="I23" s="242"/>
    </row>
    <row r="24" spans="1:9">
      <c r="A24" s="246" t="s">
        <v>199</v>
      </c>
      <c r="B24" s="246"/>
      <c r="C24" s="260"/>
      <c r="D24" s="257"/>
      <c r="E24" s="257"/>
      <c r="F24" s="257"/>
      <c r="G24" s="257"/>
      <c r="H24" s="242"/>
      <c r="I24" s="242"/>
    </row>
    <row r="25" spans="1:9">
      <c r="A25" s="261" t="s">
        <v>200</v>
      </c>
      <c r="B25" s="261"/>
      <c r="C25" s="262"/>
      <c r="D25" s="266">
        <f>'Raw Data'!C76/'Raw Data'!C89</f>
        <v>1.0901339829476249</v>
      </c>
      <c r="E25" s="266">
        <f>'Raw Data'!D76/'Raw Data'!D89</f>
        <v>1.2953642384105961</v>
      </c>
      <c r="F25" s="266">
        <f>'Raw Data'!E76/'Raw Data'!E89</f>
        <v>1.8229613733905583</v>
      </c>
      <c r="G25" s="266">
        <f>'Raw Data'!F76/'Raw Data'!F89</f>
        <v>1.8872403560830864</v>
      </c>
      <c r="H25" s="266">
        <f>'Raw Data'!G76/'Raw Data'!G89</f>
        <v>1.0630568882796434</v>
      </c>
      <c r="I25" s="242"/>
    </row>
    <row r="26" spans="1:9">
      <c r="A26" s="250" t="s">
        <v>201</v>
      </c>
      <c r="B26" s="250"/>
      <c r="C26" s="251"/>
      <c r="D26" s="263">
        <f>('Raw Data'!C76-'Raw Data'!C70)/'Raw Data'!C89</f>
        <v>1.0803897685749086</v>
      </c>
      <c r="E26" s="263">
        <f>('Raw Data'!D76-'Raw Data'!D70)/'Raw Data'!D89</f>
        <v>1.2860927152317883</v>
      </c>
      <c r="F26" s="263">
        <f>('Raw Data'!E76-'Raw Data'!E70)/'Raw Data'!E89</f>
        <v>1.813304721030043</v>
      </c>
      <c r="G26" s="263">
        <f>('Raw Data'!F76-'Raw Data'!F70)/'Raw Data'!F89</f>
        <v>1.8763600395647877</v>
      </c>
      <c r="H26" s="263">
        <f>('Raw Data'!G76-'Raw Data'!G70)/'Raw Data'!G89</f>
        <v>1.0568882796435914</v>
      </c>
      <c r="I26" s="242"/>
    </row>
    <row r="27" spans="1:9">
      <c r="A27" s="250" t="s">
        <v>202</v>
      </c>
      <c r="B27" s="250"/>
      <c r="C27" s="251"/>
      <c r="D27" s="263">
        <f>'Raw Data'!C75/'Raw Data'!C89</f>
        <v>0.25822168087697928</v>
      </c>
      <c r="E27" s="263">
        <f>'Raw Data'!D75/'Raw Data'!D89</f>
        <v>0.46225165562913906</v>
      </c>
      <c r="F27" s="263">
        <f>'Raw Data'!E75/'Raw Data'!E89</f>
        <v>1.0193133047210301</v>
      </c>
      <c r="G27" s="263">
        <f>'Raw Data'!F75/'Raw Data'!F89</f>
        <v>1.152324431256182</v>
      </c>
      <c r="H27" s="263">
        <f>'Raw Data'!G75/'Raw Data'!G89</f>
        <v>0.50171350239890322</v>
      </c>
      <c r="I27" s="242"/>
    </row>
    <row r="28" spans="1:9">
      <c r="A28" s="254" t="s">
        <v>203</v>
      </c>
      <c r="B28" s="254"/>
      <c r="C28" s="255"/>
      <c r="D28" s="265">
        <f>D16+D18-D20</f>
        <v>10.476626503006784</v>
      </c>
      <c r="E28" s="265">
        <f>E16+E18-E20</f>
        <v>13.939415573265237</v>
      </c>
      <c r="F28" s="265">
        <f>F16+F18-F20</f>
        <v>-2.6564706083997862</v>
      </c>
      <c r="G28" s="265">
        <f>G16+G18-G20</f>
        <v>-7.9654867471467128</v>
      </c>
      <c r="H28" s="265">
        <f>H16+H18-H20</f>
        <v>-4.8655585341938234</v>
      </c>
      <c r="I28" s="242"/>
    </row>
    <row r="29" spans="1:9">
      <c r="A29" s="257"/>
      <c r="B29" s="257"/>
      <c r="C29" s="258"/>
      <c r="D29" s="257"/>
      <c r="E29" s="257"/>
      <c r="F29" s="257"/>
      <c r="G29" s="257"/>
      <c r="H29" s="242"/>
      <c r="I29" s="242"/>
    </row>
    <row r="30" spans="1:9">
      <c r="A30" s="246" t="s">
        <v>204</v>
      </c>
      <c r="B30" s="246"/>
      <c r="C30" s="260"/>
      <c r="D30" s="257"/>
      <c r="E30" s="257"/>
      <c r="F30" s="257"/>
      <c r="G30" s="257"/>
      <c r="H30" s="242"/>
      <c r="I30" s="242"/>
    </row>
    <row r="31" spans="1:9">
      <c r="A31" s="261" t="s">
        <v>205</v>
      </c>
      <c r="B31" s="261"/>
      <c r="C31" s="262"/>
      <c r="D31" s="266">
        <f>'Decomposed SFP'!C131/'Decomposed SFP'!C135</f>
        <v>0.23717328170377538</v>
      </c>
      <c r="E31" s="266">
        <f>'Decomposed SFP'!D131/'Decomposed SFP'!D135</f>
        <v>0.26138519924098669</v>
      </c>
      <c r="F31" s="266">
        <f>'Decomposed SFP'!E131/'Decomposed SFP'!E135</f>
        <v>0.66731423020883929</v>
      </c>
      <c r="G31" s="266">
        <f>'Decomposed SFP'!F131/'Decomposed SFP'!F135</f>
        <v>0.25394440270473334</v>
      </c>
      <c r="H31" s="266">
        <f>'Decomposed SFP'!G131/'Decomposed SFP'!G135</f>
        <v>0.5395634379263301</v>
      </c>
      <c r="I31" s="242"/>
    </row>
    <row r="32" spans="1:9">
      <c r="A32" s="250" t="s">
        <v>206</v>
      </c>
      <c r="B32" s="250"/>
      <c r="C32" s="251"/>
      <c r="D32" s="267">
        <f>'Decomposed SFP'!C131/'Decomposed SFP'!C127</f>
        <v>0.13849632560768799</v>
      </c>
      <c r="E32" s="267">
        <f>'Decomposed SFP'!D131/'Decomposed SFP'!D127</f>
        <v>0.15865246184854592</v>
      </c>
      <c r="F32" s="267">
        <f>'Decomposed SFP'!E131/'Decomposed SFP'!E127</f>
        <v>0.31427264409881062</v>
      </c>
      <c r="G32" s="267">
        <f>'Decomposed SFP'!F131/'Decomposed SFP'!F127</f>
        <v>0.15637288919731671</v>
      </c>
      <c r="H32" s="267">
        <f>'Decomposed SFP'!G131/'Decomposed SFP'!G127</f>
        <v>0.27446217904233172</v>
      </c>
      <c r="I32" s="242"/>
    </row>
    <row r="33" spans="1:10">
      <c r="A33" s="250" t="s">
        <v>207</v>
      </c>
      <c r="B33" s="250"/>
      <c r="C33" s="251"/>
      <c r="D33" s="267">
        <f>'Decomposed SFP'!C131/'Decomposed SFP'!C127</f>
        <v>0.13849632560768799</v>
      </c>
      <c r="E33" s="267">
        <f>'Decomposed SFP'!D131/'Decomposed SFP'!D127</f>
        <v>0.15865246184854592</v>
      </c>
      <c r="F33" s="267">
        <f>'Decomposed SFP'!E131/'Decomposed SFP'!E127</f>
        <v>0.31427264409881062</v>
      </c>
      <c r="G33" s="267">
        <f>'Decomposed SFP'!F131/'Decomposed SFP'!F127</f>
        <v>0.15637288919731671</v>
      </c>
      <c r="H33" s="267">
        <f>'Decomposed SFP'!G131/'Decomposed SFP'!G127</f>
        <v>0.27446217904233172</v>
      </c>
      <c r="I33" s="242"/>
    </row>
    <row r="34" spans="1:10">
      <c r="A34" s="254" t="s">
        <v>208</v>
      </c>
      <c r="B34" s="254"/>
      <c r="C34" s="255"/>
      <c r="D34" s="265">
        <f>'Decomposed SFP'!C127/'Decomposed SFP'!C135</f>
        <v>1.7124878993223616</v>
      </c>
      <c r="E34" s="265">
        <f>'Decomposed SFP'!D127/'Decomposed SFP'!D135</f>
        <v>1.6475332068311193</v>
      </c>
      <c r="F34" s="265">
        <f>'Decomposed SFP'!E127/'Decomposed SFP'!E135</f>
        <v>2.123360854783876</v>
      </c>
      <c r="G34" s="265">
        <f>'Decomposed SFP'!F127/'Decomposed SFP'!F135</f>
        <v>1.6239669421487604</v>
      </c>
      <c r="H34" s="265">
        <f>'Decomposed SFP'!G127/'Decomposed SFP'!G135</f>
        <v>1.9658935879945429</v>
      </c>
      <c r="I34" s="242"/>
    </row>
    <row r="35" spans="1:10">
      <c r="A35" s="257"/>
      <c r="B35" s="257"/>
      <c r="C35" s="258"/>
      <c r="D35" s="257"/>
      <c r="E35" s="257"/>
      <c r="F35" s="257"/>
      <c r="G35" s="257"/>
      <c r="H35" s="242"/>
      <c r="I35" s="242"/>
    </row>
    <row r="36" spans="1:10">
      <c r="A36" s="246" t="s">
        <v>209</v>
      </c>
      <c r="B36" s="246"/>
      <c r="C36" s="260"/>
      <c r="D36" s="257"/>
      <c r="E36" s="257"/>
      <c r="F36" s="257"/>
      <c r="G36" s="257"/>
      <c r="H36" s="242"/>
      <c r="I36" s="242"/>
    </row>
    <row r="37" spans="1:10">
      <c r="A37" s="250" t="s">
        <v>210</v>
      </c>
      <c r="B37" s="250"/>
      <c r="C37" s="251"/>
      <c r="D37" s="263">
        <f>'IS normalized'!C59/-'IS normalized'!C14</f>
        <v>11.888888888888891</v>
      </c>
      <c r="E37" s="263">
        <f>'IS normalized'!D59/-'IS normalized'!D14</f>
        <v>11.470588235294109</v>
      </c>
      <c r="F37" s="263">
        <f>'IS normalized'!E59/-'IS normalized'!E14</f>
        <v>6.8333333333333242</v>
      </c>
      <c r="G37" s="263">
        <f>'IS normalized'!F59/-'IS normalized'!F14</f>
        <v>12</v>
      </c>
      <c r="H37" s="350">
        <f>'IS normalized'!G59/-'IS normalized'!G14</f>
        <v>9.6216216216216282</v>
      </c>
      <c r="I37" s="242"/>
      <c r="J37" s="314"/>
    </row>
    <row r="38" spans="1:10">
      <c r="A38" s="250" t="s">
        <v>211</v>
      </c>
      <c r="B38" s="250"/>
      <c r="C38" s="251"/>
      <c r="D38" s="263"/>
      <c r="E38" s="263"/>
      <c r="F38" s="263"/>
      <c r="G38" s="263"/>
      <c r="H38" s="263"/>
      <c r="I38" s="242"/>
    </row>
    <row r="39" spans="1:10">
      <c r="A39" s="254" t="s">
        <v>212</v>
      </c>
      <c r="B39" s="254"/>
      <c r="C39" s="255"/>
      <c r="D39" s="265">
        <f>('IS normalized'!C12+'Raw Data'!C93)/(-'IS normalized'!C14+'Raw Data'!C93)</f>
        <v>11.888888888888891</v>
      </c>
      <c r="E39" s="265">
        <f>('IS normalized'!D12+'Raw Data'!D93)/(-'IS normalized'!D14+'Raw Data'!D93)</f>
        <v>11.470588235294109</v>
      </c>
      <c r="F39" s="265">
        <f>('IS normalized'!E12+'Raw Data'!E93)/(-'IS normalized'!E14+'Raw Data'!E93)</f>
        <v>1.4874651810584951</v>
      </c>
      <c r="G39" s="265">
        <f>('IS normalized'!F12+'Raw Data'!F93)/(-'IS normalized'!F14+'Raw Data'!F93)</f>
        <v>1.8647798742138364</v>
      </c>
      <c r="H39" s="265">
        <f>('IS normalized'!G12+'Raw Data'!G93)/(-'IS normalized'!G14+'Raw Data'!G93)</f>
        <v>2.0323624595469263</v>
      </c>
      <c r="I39" s="242"/>
    </row>
    <row r="40" spans="1:10">
      <c r="A40" s="257"/>
      <c r="B40" s="257"/>
      <c r="C40" s="258"/>
      <c r="D40" s="257"/>
      <c r="E40" s="257"/>
      <c r="F40" s="257"/>
      <c r="G40" s="257"/>
      <c r="H40" s="242"/>
      <c r="I40" s="242"/>
    </row>
    <row r="41" spans="1:10">
      <c r="A41" s="268" t="s">
        <v>213</v>
      </c>
      <c r="B41" s="268"/>
      <c r="C41" s="244"/>
      <c r="D41" s="269"/>
      <c r="E41" s="257"/>
      <c r="F41" s="257"/>
      <c r="G41" s="257"/>
      <c r="H41" s="242"/>
      <c r="I41" s="242"/>
    </row>
    <row r="42" spans="1:10">
      <c r="A42" s="250" t="s">
        <v>214</v>
      </c>
      <c r="B42" s="250"/>
      <c r="C42" s="251"/>
      <c r="D42" s="263">
        <f>'Raw Data'!C150/'IS normalized'!C52</f>
        <v>0.14163090128755365</v>
      </c>
      <c r="E42" s="263">
        <f>'Raw Data'!D150/'IS normalized'!D52</f>
        <v>0.15875548464299966</v>
      </c>
      <c r="F42" s="263">
        <f>'Raw Data'!E150/'IS normalized'!E52</f>
        <v>0.14865377322715206</v>
      </c>
      <c r="G42" s="263">
        <f>'Raw Data'!F150/'IS normalized'!F52</f>
        <v>0.14380776340110901</v>
      </c>
      <c r="H42" s="263">
        <f>'Raw Data'!G150/'IS normalized'!G52</f>
        <v>0.17407878017789072</v>
      </c>
      <c r="I42" s="242"/>
    </row>
    <row r="43" spans="1:10">
      <c r="A43" s="250" t="s">
        <v>215</v>
      </c>
      <c r="B43" s="250"/>
      <c r="C43" s="251"/>
      <c r="D43" s="270"/>
      <c r="E43" s="270">
        <f>'Raw Data'!D150/AVERAGE('Raw Data'!D77,'Raw Data'!C77)</f>
        <v>0.11353587220082732</v>
      </c>
      <c r="F43" s="270">
        <f>'Raw Data'!E150/AVERAGE('Raw Data'!E77,'Raw Data'!D77)</f>
        <v>9.9936265137029939E-2</v>
      </c>
      <c r="G43" s="270">
        <f>'Raw Data'!F150/AVERAGE('Raw Data'!F77,'Raw Data'!E77)</f>
        <v>8.947671075330646E-2</v>
      </c>
      <c r="H43" s="270">
        <f>'Raw Data'!G150/AVERAGE('Raw Data'!G77,'Raw Data'!F77)</f>
        <v>0.10865470407455138</v>
      </c>
      <c r="I43" s="242"/>
    </row>
    <row r="44" spans="1:10">
      <c r="A44" s="250" t="s">
        <v>216</v>
      </c>
      <c r="B44" s="250"/>
      <c r="C44" s="251"/>
      <c r="D44" s="271"/>
      <c r="E44" s="271">
        <f>'Raw Data'!D150/AVERAGE('Raw Data'!D109,'Raw Data'!C109)</f>
        <v>0.19070436032582655</v>
      </c>
      <c r="F44" s="271">
        <f>'Raw Data'!E150/AVERAGE('Raw Data'!E109,'Raw Data'!D109)</f>
        <v>0.18814494840412763</v>
      </c>
      <c r="G44" s="271">
        <f>'Raw Data'!F150/AVERAGE('Raw Data'!F109,'Raw Data'!E109)</f>
        <v>0.16479559415378092</v>
      </c>
      <c r="H44" s="271">
        <f>'Raw Data'!G150/AVERAGE('Raw Data'!G109,'Raw Data'!F109)</f>
        <v>0.19592420450482659</v>
      </c>
      <c r="I44" s="242"/>
    </row>
    <row r="45" spans="1:10">
      <c r="A45" s="250" t="s">
        <v>217</v>
      </c>
      <c r="B45" s="250"/>
      <c r="C45" s="251"/>
      <c r="D45" s="263">
        <f>'Raw Data'!C150/'Decomposed SFP'!C131</f>
        <v>0.67346938775510201</v>
      </c>
      <c r="E45" s="263">
        <f>'Raw Data'!D150/'Decomposed SFP'!D131</f>
        <v>0.7223230490018151</v>
      </c>
      <c r="F45" s="263">
        <f>'Raw Data'!E150/'Decomposed SFP'!E131</f>
        <v>0.28529839883551672</v>
      </c>
      <c r="G45" s="263">
        <f>'Raw Data'!F150/'Decomposed SFP'!F131</f>
        <v>0.5754437869822483</v>
      </c>
      <c r="H45" s="263">
        <f>'Raw Data'!G150/'Decomposed SFP'!G131</f>
        <v>0.34639696586599245</v>
      </c>
      <c r="I45" s="242"/>
    </row>
    <row r="46" spans="1:10">
      <c r="A46" s="254" t="s">
        <v>218</v>
      </c>
      <c r="B46" s="254"/>
      <c r="C46" s="272"/>
      <c r="D46" s="265"/>
      <c r="E46" s="265"/>
      <c r="F46" s="265"/>
      <c r="G46" s="265"/>
      <c r="H46" s="265"/>
      <c r="I46" s="242"/>
    </row>
    <row r="47" spans="1:10">
      <c r="A47" s="242"/>
      <c r="B47" s="242"/>
      <c r="C47" s="242"/>
      <c r="D47" s="242"/>
      <c r="E47" s="242"/>
      <c r="F47" s="242"/>
      <c r="G47" s="242"/>
      <c r="H47" s="242"/>
      <c r="I47" s="242"/>
    </row>
    <row r="48" spans="1:10">
      <c r="A48" s="242"/>
      <c r="B48" s="242"/>
      <c r="C48" s="242"/>
      <c r="D48" s="242"/>
      <c r="E48" s="242"/>
      <c r="F48" s="242"/>
      <c r="G48" s="242"/>
      <c r="H48" s="242"/>
      <c r="I48" s="242"/>
    </row>
    <row r="49" spans="1:9">
      <c r="A49" s="242"/>
      <c r="B49" s="242"/>
      <c r="C49" s="242"/>
      <c r="D49" s="242"/>
      <c r="E49" s="242"/>
      <c r="F49" s="242"/>
      <c r="G49" s="242"/>
      <c r="H49" s="242"/>
      <c r="I49" s="242"/>
    </row>
    <row r="51" spans="1:9" ht="18">
      <c r="A51" s="289" t="s">
        <v>2663</v>
      </c>
      <c r="B51" s="289"/>
      <c r="C51" s="289"/>
      <c r="D51" s="289"/>
      <c r="E51" s="289"/>
      <c r="F51" s="289"/>
      <c r="G51" s="289"/>
      <c r="H51" s="289"/>
    </row>
    <row r="52" spans="1:9">
      <c r="A52" s="273" t="s">
        <v>280</v>
      </c>
      <c r="B52" s="273" t="s">
        <v>279</v>
      </c>
      <c r="C52" s="273" t="s">
        <v>278</v>
      </c>
      <c r="D52" s="273" t="s">
        <v>277</v>
      </c>
      <c r="E52" s="273" t="s">
        <v>276</v>
      </c>
      <c r="F52" s="273" t="s">
        <v>275</v>
      </c>
      <c r="G52" s="273" t="s">
        <v>274</v>
      </c>
      <c r="H52" s="274"/>
    </row>
    <row r="53" spans="1:9">
      <c r="A53" s="275"/>
      <c r="B53" s="297"/>
      <c r="C53" s="297"/>
      <c r="D53" s="297"/>
      <c r="E53" s="297"/>
      <c r="F53" s="297"/>
      <c r="G53" s="297"/>
    </row>
    <row r="54" spans="1:9">
      <c r="A54" s="275" t="s">
        <v>273</v>
      </c>
      <c r="B54" s="297">
        <f>IFERROR(MEDIAN($B55:$B65),0)</f>
        <v>10.050629138946533</v>
      </c>
      <c r="C54" s="297">
        <f>IFERROR(MEDIAN($C55:$C65),0)</f>
        <v>25.914575576782227</v>
      </c>
      <c r="D54" s="297">
        <f>IFERROR(MEDIAN($D55:$D65),0)</f>
        <v>15.96268367767334</v>
      </c>
      <c r="E54" s="297">
        <f>IFERROR(MEDIAN($E55:$E65),0)</f>
        <v>10.599386215209961</v>
      </c>
      <c r="F54" s="297">
        <f>IFERROR(MEDIAN($F55:$F65),0)</f>
        <v>0.89939110775729303</v>
      </c>
      <c r="G54" s="297">
        <f>IFERROR(MEDIAN($G55:$G65),0)</f>
        <v>0.83843797445297208</v>
      </c>
    </row>
    <row r="55" spans="1:9">
      <c r="A55" s="275" t="s">
        <v>271</v>
      </c>
      <c r="B55" s="297">
        <v>6.4562649726867676</v>
      </c>
      <c r="C55" s="297">
        <v>28.851314544677734</v>
      </c>
      <c r="D55" s="297">
        <v>8.2230958938598633</v>
      </c>
      <c r="E55" s="297">
        <v>15.687464714050293</v>
      </c>
      <c r="F55" s="297">
        <v>0.94953567631320412</v>
      </c>
      <c r="G55" s="297">
        <v>2.9080879688262939</v>
      </c>
    </row>
    <row r="56" spans="1:9">
      <c r="A56" s="275" t="s">
        <v>269</v>
      </c>
      <c r="B56" s="297">
        <v>9.1445941925048828</v>
      </c>
      <c r="C56" s="297">
        <v>22.977836608886719</v>
      </c>
      <c r="D56" s="297">
        <v>9.6223478317260742</v>
      </c>
      <c r="E56" s="297">
        <v>7.714756965637207</v>
      </c>
      <c r="F56" s="297">
        <v>0.95130354672900108</v>
      </c>
      <c r="G56" s="297">
        <v>0.70193302631378207</v>
      </c>
    </row>
    <row r="57" spans="1:9">
      <c r="A57" s="275" t="s">
        <v>267</v>
      </c>
      <c r="B57" s="297">
        <v>-20.33110237121582</v>
      </c>
      <c r="C57" s="297"/>
      <c r="D57" s="297">
        <v>364.9210205078125</v>
      </c>
      <c r="E57" s="297"/>
      <c r="F57" s="297">
        <v>0.95801311538970513</v>
      </c>
      <c r="G57" s="297"/>
    </row>
    <row r="58" spans="1:9">
      <c r="A58" s="275" t="s">
        <v>265</v>
      </c>
      <c r="B58" s="297">
        <v>17.834810256958008</v>
      </c>
      <c r="C58" s="297">
        <v>50.185565948486328</v>
      </c>
      <c r="D58" s="297">
        <v>18.771984100341797</v>
      </c>
      <c r="E58" s="297">
        <v>24.415945053100586</v>
      </c>
      <c r="F58" s="297">
        <v>0.58905619915622109</v>
      </c>
      <c r="G58" s="297">
        <v>0</v>
      </c>
    </row>
    <row r="59" spans="1:9">
      <c r="A59" s="275" t="s">
        <v>264</v>
      </c>
      <c r="B59" s="297">
        <v>64.092529296875</v>
      </c>
      <c r="C59" s="297"/>
      <c r="D59" s="297">
        <v>-3.4761619567871089</v>
      </c>
      <c r="E59" s="297"/>
      <c r="F59" s="297">
        <v>0.45278614263764805</v>
      </c>
      <c r="G59" s="297">
        <v>0</v>
      </c>
    </row>
    <row r="60" spans="1:9">
      <c r="A60" s="275" t="s">
        <v>263</v>
      </c>
      <c r="B60" s="297">
        <v>-1.054309010505676</v>
      </c>
      <c r="C60" s="297"/>
      <c r="D60" s="297">
        <v>-8.0492973327636719</v>
      </c>
      <c r="E60" s="297">
        <v>5.3636331558227539</v>
      </c>
      <c r="F60" s="297">
        <v>1.183378775841726</v>
      </c>
      <c r="G60" s="297">
        <v>4.5988497734069824</v>
      </c>
    </row>
    <row r="61" spans="1:9">
      <c r="A61" s="275" t="s">
        <v>262</v>
      </c>
      <c r="B61" s="297">
        <v>14.837973594665527</v>
      </c>
      <c r="C61" s="297">
        <v>17.6956787109375</v>
      </c>
      <c r="D61" s="297">
        <v>15.96268367767334</v>
      </c>
      <c r="E61" s="297">
        <v>9.9352741241455078</v>
      </c>
      <c r="F61" s="297">
        <v>0.89939110775729303</v>
      </c>
      <c r="G61" s="297">
        <v>0.34055200219154402</v>
      </c>
    </row>
    <row r="62" spans="1:9">
      <c r="A62" s="275" t="s">
        <v>261</v>
      </c>
      <c r="B62" s="297">
        <v>17.50377082824707</v>
      </c>
      <c r="C62" s="297">
        <v>36.153846740722656</v>
      </c>
      <c r="D62" s="297">
        <v>25.88408088684082</v>
      </c>
      <c r="E62" s="297">
        <v>23.833099365234375</v>
      </c>
      <c r="F62" s="297">
        <v>0.79592890360028401</v>
      </c>
      <c r="G62" s="297">
        <v>1.351984977722168</v>
      </c>
    </row>
    <row r="63" spans="1:9">
      <c r="A63" s="275" t="s">
        <v>260</v>
      </c>
      <c r="B63" s="297" t="s">
        <v>2648</v>
      </c>
      <c r="C63" s="297">
        <v>14.099198341369629</v>
      </c>
      <c r="D63" s="297">
        <v>21.154041290283203</v>
      </c>
      <c r="E63" s="297"/>
      <c r="F63" s="297">
        <v>1</v>
      </c>
      <c r="G63" s="297"/>
    </row>
    <row r="64" spans="1:9">
      <c r="A64" s="275" t="s">
        <v>259</v>
      </c>
      <c r="B64" s="297">
        <v>2.668510913848877</v>
      </c>
      <c r="C64" s="297">
        <v>35.321819305419922</v>
      </c>
      <c r="D64" s="297">
        <v>3.2948100566864009</v>
      </c>
      <c r="E64" s="297">
        <v>11.263498306274414</v>
      </c>
      <c r="F64" s="297">
        <v>0.77391133363717701</v>
      </c>
      <c r="G64" s="297">
        <v>4.1576581001281738</v>
      </c>
    </row>
    <row r="65" spans="1:15">
      <c r="A65" s="275" t="s">
        <v>258</v>
      </c>
      <c r="B65" s="297">
        <v>10.956664085388184</v>
      </c>
      <c r="C65" s="297">
        <v>19.776046752929688</v>
      </c>
      <c r="D65" s="297">
        <v>17.390026092529297</v>
      </c>
      <c r="E65" s="297">
        <v>7.9974498748779297</v>
      </c>
      <c r="F65" s="297">
        <v>0.37243680005920804</v>
      </c>
      <c r="G65" s="297">
        <v>0.83843797445297208</v>
      </c>
    </row>
    <row r="66" spans="1:15">
      <c r="A66" s="276"/>
      <c r="B66" s="276"/>
      <c r="C66" s="276"/>
      <c r="D66" s="276"/>
      <c r="E66" s="276"/>
      <c r="F66" s="276"/>
      <c r="G66" s="276"/>
    </row>
    <row r="67" spans="1:15">
      <c r="B67" s="18"/>
      <c r="C67" s="18"/>
    </row>
    <row r="68" spans="1:15" ht="15">
      <c r="I68"/>
      <c r="J68"/>
      <c r="K68"/>
      <c r="L68"/>
      <c r="M68"/>
      <c r="N68"/>
      <c r="O68"/>
    </row>
    <row r="69" spans="1:15" ht="15">
      <c r="I69"/>
      <c r="J69"/>
      <c r="K69"/>
      <c r="L69"/>
      <c r="M69"/>
      <c r="N69"/>
      <c r="O69"/>
    </row>
    <row r="70" spans="1:15" ht="15">
      <c r="I70"/>
      <c r="J70"/>
      <c r="K70"/>
      <c r="L70"/>
      <c r="M70"/>
      <c r="N70"/>
      <c r="O70"/>
    </row>
    <row r="71" spans="1:15" ht="15">
      <c r="I71"/>
      <c r="J71"/>
      <c r="K71"/>
      <c r="L71"/>
      <c r="M71"/>
      <c r="N71"/>
      <c r="O71"/>
    </row>
    <row r="72" spans="1:15">
      <c r="A72" s="290" t="s">
        <v>236</v>
      </c>
      <c r="B72" s="290"/>
      <c r="C72" s="75">
        <f>D72-1</f>
        <v>2021</v>
      </c>
      <c r="D72" s="75">
        <v>2022</v>
      </c>
      <c r="E72" s="291" t="s">
        <v>705</v>
      </c>
      <c r="K72" s="532"/>
      <c r="L72" s="532"/>
      <c r="M72" s="18"/>
    </row>
    <row r="73" spans="1:15">
      <c r="A73" s="290"/>
      <c r="B73" s="290"/>
      <c r="C73" s="75" t="s">
        <v>704</v>
      </c>
      <c r="D73" s="75" t="s">
        <v>704</v>
      </c>
      <c r="E73" s="274"/>
      <c r="M73" s="18"/>
    </row>
    <row r="74" spans="1:15">
      <c r="A74" s="4" t="s">
        <v>163</v>
      </c>
      <c r="C74" s="17">
        <f>'IS normalized'!F61</f>
        <v>24.763636363636365</v>
      </c>
      <c r="D74" s="17">
        <f>'IS normalized'!G61</f>
        <v>26.672100313479646</v>
      </c>
      <c r="E74" s="61">
        <f>D74/C74-1</f>
        <v>7.7067193275609736E-2</v>
      </c>
      <c r="K74" s="532"/>
      <c r="L74" s="532"/>
      <c r="M74" s="18"/>
    </row>
    <row r="75" spans="1:15">
      <c r="A75" s="4" t="s">
        <v>170</v>
      </c>
      <c r="C75" s="17">
        <f>AVERAGE('Decomposed SFP'!F84,'Decomposed SFP'!E84)</f>
        <v>125.55000000000001</v>
      </c>
      <c r="D75" s="17">
        <f>AVERAGE('Decomposed SFP'!G84,'Decomposed SFP'!F84)</f>
        <v>98.950000000000017</v>
      </c>
      <c r="E75" s="61">
        <f t="shared" ref="E75:E78" si="0">D75/C75-1</f>
        <v>-0.21186778176025478</v>
      </c>
      <c r="K75" s="532"/>
      <c r="L75" s="532"/>
    </row>
    <row r="76" spans="1:15">
      <c r="A76" s="4" t="s">
        <v>701</v>
      </c>
      <c r="C76" s="17">
        <f>AVERAGE('Decomposed SFP'!F88,'Decomposed SFP'!E88)</f>
        <v>338.55</v>
      </c>
      <c r="D76" s="17">
        <f>AVERAGE('Decomposed SFP'!G88,'Decomposed SFP'!F88)</f>
        <v>393.25</v>
      </c>
      <c r="E76" s="61">
        <f t="shared" si="0"/>
        <v>0.16157140747304677</v>
      </c>
      <c r="K76" s="532"/>
      <c r="L76" s="532"/>
    </row>
    <row r="77" spans="1:15">
      <c r="A77" s="4" t="s">
        <v>702</v>
      </c>
      <c r="C77" s="61">
        <f>C74/C75</f>
        <v>0.19724122949929401</v>
      </c>
      <c r="D77" s="61">
        <f>D74/D75</f>
        <v>0.26955129169762143</v>
      </c>
      <c r="E77" s="61">
        <f t="shared" si="0"/>
        <v>0.36660723714757748</v>
      </c>
    </row>
    <row r="78" spans="1:15">
      <c r="A78" s="4" t="s">
        <v>703</v>
      </c>
      <c r="C78" s="61">
        <f>C74/C76</f>
        <v>7.3146171506827243E-2</v>
      </c>
      <c r="D78" s="61">
        <f>D74/D76</f>
        <v>6.7824794185580795E-2</v>
      </c>
      <c r="E78" s="61">
        <f t="shared" si="0"/>
        <v>-7.2749909005829005E-2</v>
      </c>
      <c r="K78" s="66"/>
      <c r="L78" s="66"/>
    </row>
    <row r="82" spans="1:10" ht="19">
      <c r="A82" s="292" t="s">
        <v>706</v>
      </c>
      <c r="B82" s="293"/>
      <c r="C82" s="293"/>
      <c r="D82" s="293"/>
      <c r="E82" s="293"/>
      <c r="F82" s="293"/>
      <c r="G82" s="293"/>
      <c r="H82" s="293"/>
      <c r="I82" s="293"/>
      <c r="J82" s="277"/>
    </row>
    <row r="84" spans="1:10">
      <c r="A84" s="47"/>
      <c r="B84" s="47"/>
      <c r="C84" s="47"/>
      <c r="D84" s="47"/>
      <c r="E84" s="47"/>
      <c r="F84" s="47"/>
      <c r="H84" s="47" t="s">
        <v>714</v>
      </c>
      <c r="I84" s="47"/>
    </row>
    <row r="85" spans="1:10">
      <c r="A85" s="47"/>
      <c r="B85" s="47"/>
      <c r="C85" s="47"/>
      <c r="D85" s="47"/>
      <c r="E85" s="47"/>
      <c r="F85" s="47"/>
      <c r="H85" s="278">
        <f>-'IS normalized'!G53/'IS normalized'!G52</f>
        <v>0.57878017789072422</v>
      </c>
      <c r="I85" s="47"/>
    </row>
    <row r="86" spans="1:10">
      <c r="A86" s="47"/>
      <c r="B86" s="47"/>
      <c r="C86" s="47"/>
      <c r="D86" s="47"/>
      <c r="E86" s="47"/>
      <c r="F86" s="47" t="s">
        <v>712</v>
      </c>
      <c r="H86" s="47"/>
      <c r="I86" s="47"/>
    </row>
    <row r="87" spans="1:10">
      <c r="A87" s="47"/>
      <c r="B87" s="47"/>
      <c r="C87" s="47"/>
      <c r="D87" s="47"/>
      <c r="E87" s="47"/>
      <c r="F87" s="279">
        <f>('IS normalized'!G59/'IS normalized'!G52)</f>
        <v>0.11308767471410426</v>
      </c>
      <c r="H87" s="47"/>
      <c r="I87" s="47"/>
    </row>
    <row r="88" spans="1:10">
      <c r="A88" s="47"/>
      <c r="B88" s="47"/>
      <c r="C88" s="47"/>
      <c r="D88" s="47"/>
      <c r="E88" s="47" t="s">
        <v>710</v>
      </c>
      <c r="F88" s="47"/>
      <c r="H88" s="47" t="s">
        <v>715</v>
      </c>
      <c r="I88" s="47"/>
    </row>
    <row r="89" spans="1:10">
      <c r="A89" s="47"/>
      <c r="B89" s="47"/>
      <c r="C89" s="47"/>
      <c r="D89" s="47"/>
      <c r="E89" s="278">
        <f>'IS normalized'!G59/(AVERAGE('Decomposed SFP'!F84,'Decomposed SFP'!G84))</f>
        <v>0.35977766548762019</v>
      </c>
      <c r="F89" s="47"/>
      <c r="H89" s="278">
        <f>-'IS normalized'!G56/'IS normalized'!G52</f>
        <v>6.2579415501905974E-2</v>
      </c>
      <c r="I89" s="47"/>
    </row>
    <row r="90" spans="1:10">
      <c r="A90" s="47"/>
      <c r="B90" s="47"/>
      <c r="C90" s="47" t="s">
        <v>708</v>
      </c>
      <c r="D90" s="47"/>
      <c r="E90" s="47"/>
      <c r="F90" s="47"/>
      <c r="H90" s="47"/>
      <c r="I90" s="47"/>
    </row>
    <row r="91" spans="1:10">
      <c r="A91" s="47" t="s">
        <v>707</v>
      </c>
      <c r="B91" s="47"/>
      <c r="C91" s="278">
        <f>'IS normalized'!G61/(AVERAGE('Decomposed SFP'!F84,'Decomposed SFP'!G84))</f>
        <v>0.26955129169762143</v>
      </c>
      <c r="D91" s="47"/>
      <c r="E91" s="47"/>
      <c r="F91" s="47"/>
      <c r="H91" s="47"/>
      <c r="I91" s="47"/>
    </row>
    <row r="92" spans="1:10">
      <c r="A92" s="278">
        <f>'IS normalized'!G61/(AVERAGE('Decomposed SFP'!F88,'Decomposed SFP'!G88))</f>
        <v>6.7824794185580795E-2</v>
      </c>
      <c r="B92" s="47"/>
      <c r="C92" s="47"/>
      <c r="D92" s="47"/>
      <c r="E92" s="47"/>
      <c r="F92" s="47"/>
      <c r="H92" s="47" t="s">
        <v>716</v>
      </c>
      <c r="I92" s="47"/>
    </row>
    <row r="93" spans="1:10">
      <c r="A93" s="47"/>
      <c r="B93" s="47"/>
      <c r="C93" s="47" t="s">
        <v>709</v>
      </c>
      <c r="D93" s="47"/>
      <c r="E93" s="47"/>
      <c r="F93" s="47"/>
      <c r="H93" s="278">
        <f>-'IS normalized'!G57/'IS normalized'!G52</f>
        <v>0.24555273189326554</v>
      </c>
      <c r="I93" s="47"/>
    </row>
    <row r="94" spans="1:10">
      <c r="A94" s="47"/>
      <c r="B94" s="47"/>
      <c r="C94" s="278">
        <f>AVERAGE(SUM('Decomposed SFP'!F86:F87),SUM('Decomposed SFP'!G86:G87))/AVERAGE('Decomposed SFP'!G88,'Decomposed SFP'!F88)</f>
        <v>0.74837889383343936</v>
      </c>
      <c r="D94" s="47"/>
      <c r="E94" s="47" t="s">
        <v>711</v>
      </c>
      <c r="F94" s="47"/>
      <c r="H94" s="47"/>
      <c r="I94" s="47"/>
    </row>
    <row r="95" spans="1:10">
      <c r="A95" s="47"/>
      <c r="B95" s="47"/>
      <c r="C95" s="47"/>
      <c r="D95" s="47"/>
      <c r="E95" s="280">
        <f>'IS normalized'!G100</f>
        <v>0.25078369905956094</v>
      </c>
      <c r="F95" s="47"/>
      <c r="H95" s="47"/>
      <c r="I95" s="47"/>
    </row>
    <row r="96" spans="1:10">
      <c r="A96" s="47"/>
      <c r="B96" s="47"/>
      <c r="C96" s="47"/>
      <c r="D96" s="47"/>
      <c r="E96" s="47"/>
      <c r="F96" s="47"/>
      <c r="H96" s="47"/>
      <c r="I96" s="47"/>
    </row>
    <row r="97" spans="1:9">
      <c r="A97" s="47"/>
      <c r="B97" s="47"/>
      <c r="C97" s="47"/>
      <c r="D97" s="47"/>
      <c r="E97" s="47"/>
      <c r="F97" s="47" t="s">
        <v>713</v>
      </c>
      <c r="H97" s="47" t="s">
        <v>717</v>
      </c>
      <c r="I97" s="47"/>
    </row>
    <row r="98" spans="1:9">
      <c r="A98" s="47"/>
      <c r="B98" s="47"/>
      <c r="C98" s="47"/>
      <c r="D98" s="47"/>
      <c r="E98" s="47"/>
      <c r="F98" s="281">
        <f>'IS normalized'!G52/(AVERAGE('Decomposed SFP'!F84,'Decomposed SFP'!G84))</f>
        <v>3.1814047498736731</v>
      </c>
      <c r="H98" s="281">
        <f>(AVERAGE('Decomposed SFP'!G78,'Decomposed SFP'!F78))/'IS normalized'!G52</f>
        <v>0.20711562897077515</v>
      </c>
      <c r="I98" s="47"/>
    </row>
    <row r="99" spans="1:9">
      <c r="A99" s="47"/>
      <c r="B99" s="47"/>
      <c r="C99" s="47"/>
      <c r="D99" s="47"/>
      <c r="E99" s="47"/>
      <c r="F99" s="47"/>
      <c r="H99" s="47"/>
      <c r="I99" s="47"/>
    </row>
    <row r="100" spans="1:9">
      <c r="A100" s="47"/>
      <c r="B100" s="47"/>
      <c r="C100" s="47"/>
      <c r="D100" s="47"/>
      <c r="E100" s="47"/>
      <c r="F100" s="47"/>
      <c r="H100" s="47" t="s">
        <v>718</v>
      </c>
      <c r="I100" s="47"/>
    </row>
    <row r="101" spans="1:9">
      <c r="A101" s="47"/>
      <c r="B101" s="47"/>
      <c r="C101" s="47"/>
      <c r="D101" s="47"/>
      <c r="E101" s="47"/>
      <c r="F101" s="47"/>
      <c r="H101" s="281">
        <f>(AVERAGE(SUM('Decomposed SFP'!F80:F83),SUM('Decomposed SFP'!G80:G83)))/'IS normalized'!G52</f>
        <v>0.10721092757306226</v>
      </c>
      <c r="I101" s="47"/>
    </row>
    <row r="102" spans="1:9">
      <c r="A102" s="47"/>
      <c r="B102" s="47"/>
      <c r="C102" s="47"/>
      <c r="D102" s="47"/>
      <c r="E102" s="47"/>
      <c r="F102" s="47"/>
      <c r="H102" s="47"/>
      <c r="I102" s="47"/>
    </row>
    <row r="103" spans="1:9">
      <c r="A103" s="47"/>
      <c r="B103" s="47"/>
      <c r="C103" s="47"/>
      <c r="D103" s="47"/>
      <c r="E103" s="47"/>
      <c r="F103" s="47"/>
      <c r="H103" s="47" t="s">
        <v>719</v>
      </c>
      <c r="I103" s="47"/>
    </row>
    <row r="104" spans="1:9">
      <c r="A104" s="47"/>
      <c r="B104" s="47"/>
      <c r="C104" s="47"/>
      <c r="D104" s="47"/>
      <c r="E104" s="47"/>
      <c r="F104" s="47"/>
      <c r="H104" s="279">
        <f>SUM('Decomposed SFP'!G86:G87)/'IS normalized'!G52</f>
        <v>1.2220457433290979</v>
      </c>
      <c r="I104" s="47"/>
    </row>
    <row r="105" spans="1:9">
      <c r="A105" s="47"/>
      <c r="B105" s="47"/>
      <c r="C105" s="47"/>
      <c r="D105" s="47"/>
      <c r="E105" s="47"/>
      <c r="F105" s="47"/>
      <c r="H105" s="47"/>
      <c r="I105" s="47"/>
    </row>
    <row r="109" spans="1:9" ht="18">
      <c r="A109" s="32" t="s">
        <v>720</v>
      </c>
      <c r="B109" s="2"/>
      <c r="C109" s="3">
        <v>2021</v>
      </c>
      <c r="D109" s="3">
        <f>C109+1</f>
        <v>2022</v>
      </c>
      <c r="E109" s="282" t="s">
        <v>705</v>
      </c>
    </row>
    <row r="110" spans="1:9">
      <c r="C110" s="8" t="s">
        <v>723</v>
      </c>
      <c r="D110" s="8" t="s">
        <v>723</v>
      </c>
    </row>
    <row r="111" spans="1:9">
      <c r="A111" s="4" t="s">
        <v>0</v>
      </c>
      <c r="C111" s="17">
        <f>'IS normalized'!F52</f>
        <v>270.5</v>
      </c>
      <c r="D111" s="17">
        <f>'IS normalized'!G52</f>
        <v>314.8</v>
      </c>
      <c r="E111" s="61">
        <f>D111/C111-1</f>
        <v>0.16377079482439938</v>
      </c>
    </row>
    <row r="112" spans="1:9">
      <c r="A112" s="4" t="s">
        <v>220</v>
      </c>
      <c r="C112" s="17">
        <f>'IS normalized'!F59</f>
        <v>30</v>
      </c>
      <c r="D112" s="17">
        <f>'IS normalized'!G59</f>
        <v>35.600000000000023</v>
      </c>
      <c r="E112" s="61">
        <f t="shared" ref="E112:E117" si="1">D112/C112-1</f>
        <v>0.18666666666666742</v>
      </c>
    </row>
    <row r="113" spans="1:5">
      <c r="A113" s="4" t="s">
        <v>172</v>
      </c>
      <c r="C113" s="17">
        <f>AVERAGE('Decomposed SFP'!E88,'Decomposed SFP'!F88)</f>
        <v>338.55</v>
      </c>
      <c r="D113" s="17">
        <f>AVERAGE('Decomposed SFP'!F88,'Decomposed SFP'!G88)</f>
        <v>393.25</v>
      </c>
      <c r="E113" s="61">
        <f t="shared" si="1"/>
        <v>0.16157140747304677</v>
      </c>
    </row>
    <row r="114" spans="1:5">
      <c r="A114" s="4" t="s">
        <v>724</v>
      </c>
      <c r="C114" s="61">
        <f>'IS normalized'!F100</f>
        <v>0.17454545454545453</v>
      </c>
      <c r="D114" s="61">
        <f>'IS normalized'!G100</f>
        <v>0.25078369905956094</v>
      </c>
      <c r="E114" s="61">
        <f t="shared" si="1"/>
        <v>0.43678160919540132</v>
      </c>
    </row>
    <row r="115" spans="1:5">
      <c r="A115" s="4" t="s">
        <v>722</v>
      </c>
      <c r="C115" s="61">
        <f>'IS normalized'!F59/'IS normalized'!F52</f>
        <v>0.11090573012939002</v>
      </c>
      <c r="D115" s="61">
        <f>'IS normalized'!G59/'IS normalized'!G52</f>
        <v>0.11308767471410426</v>
      </c>
      <c r="E115" s="61">
        <f t="shared" si="1"/>
        <v>1.9673867005506773E-2</v>
      </c>
    </row>
    <row r="116" spans="1:5">
      <c r="A116" s="4" t="s">
        <v>721</v>
      </c>
      <c r="C116" s="17">
        <f>'IS normalized'!F52/AVERAGE('Decomposed SFP'!E88,'Decomposed SFP'!F88)</f>
        <v>0.79899571702850392</v>
      </c>
      <c r="D116" s="17">
        <f>'IS normalized'!G52/AVERAGE('Decomposed SFP'!F88,'Decomposed SFP'!G88)</f>
        <v>0.80050858232676414</v>
      </c>
      <c r="E116" s="61">
        <f t="shared" si="1"/>
        <v>1.8934585830905348E-3</v>
      </c>
    </row>
    <row r="117" spans="1:5" ht="15" thickBot="1">
      <c r="A117" s="25" t="s">
        <v>236</v>
      </c>
      <c r="B117" s="25"/>
      <c r="C117" s="296">
        <f>(1-C114)*C115*C116</f>
        <v>7.3146171506827243E-2</v>
      </c>
      <c r="D117" s="296">
        <f>(1-D114)*D115*D116</f>
        <v>6.7824794185580795E-2</v>
      </c>
      <c r="E117" s="109">
        <f t="shared" si="1"/>
        <v>-7.2749909005829005E-2</v>
      </c>
    </row>
    <row r="124" spans="1:5" ht="18">
      <c r="A124" s="32" t="s">
        <v>769</v>
      </c>
      <c r="B124" s="30"/>
      <c r="C124" s="30"/>
      <c r="D124" s="30"/>
    </row>
    <row r="125" spans="1:5">
      <c r="A125" s="283" t="s">
        <v>695</v>
      </c>
      <c r="B125" s="283" t="s">
        <v>694</v>
      </c>
      <c r="C125" s="283" t="s">
        <v>693</v>
      </c>
      <c r="D125" s="283" t="s">
        <v>692</v>
      </c>
    </row>
    <row r="126" spans="1:5">
      <c r="A126" s="4" t="s">
        <v>271</v>
      </c>
      <c r="B126" s="4" t="s">
        <v>272</v>
      </c>
      <c r="C126" s="284">
        <v>668802599.78335094</v>
      </c>
      <c r="D126" s="284">
        <v>314800000</v>
      </c>
    </row>
    <row r="127" spans="1:5">
      <c r="A127" s="4" t="s">
        <v>689</v>
      </c>
      <c r="B127" s="4" t="s">
        <v>688</v>
      </c>
      <c r="C127" s="284">
        <v>34443129739.1884</v>
      </c>
      <c r="D127" s="284">
        <v>2429441289.4630499</v>
      </c>
    </row>
    <row r="128" spans="1:5">
      <c r="A128" s="4" t="s">
        <v>631</v>
      </c>
      <c r="B128" s="4" t="s">
        <v>270</v>
      </c>
      <c r="C128" s="284">
        <v>1062619781.68486</v>
      </c>
      <c r="D128" s="284">
        <v>95192145.495626107</v>
      </c>
    </row>
    <row r="129" spans="1:4">
      <c r="A129" s="4" t="s">
        <v>267</v>
      </c>
      <c r="B129" s="4" t="s">
        <v>268</v>
      </c>
      <c r="C129" s="284">
        <v>231144071.327389</v>
      </c>
      <c r="D129" s="284">
        <v>111716698.55399901</v>
      </c>
    </row>
    <row r="130" spans="1:4">
      <c r="A130" s="4" t="s">
        <v>265</v>
      </c>
      <c r="B130" s="4" t="s">
        <v>266</v>
      </c>
      <c r="C130" s="284">
        <v>182282309.80751601</v>
      </c>
      <c r="D130" s="284">
        <v>4598420.0723878499</v>
      </c>
    </row>
    <row r="131" spans="1:4">
      <c r="A131" s="4" t="s">
        <v>691</v>
      </c>
      <c r="B131" s="4" t="s">
        <v>690</v>
      </c>
      <c r="C131" s="284">
        <v>43528205982.834801</v>
      </c>
      <c r="D131" s="284">
        <v>4180390488.1423202</v>
      </c>
    </row>
    <row r="132" spans="1:4" hidden="1" outlineLevel="1">
      <c r="A132" s="4" t="s">
        <v>687</v>
      </c>
      <c r="B132" s="4" t="s">
        <v>686</v>
      </c>
      <c r="C132" s="284">
        <v>12543038080.16</v>
      </c>
      <c r="D132" s="284">
        <v>2046564488.1870699</v>
      </c>
    </row>
    <row r="133" spans="1:4" hidden="1" outlineLevel="1">
      <c r="A133" s="4" t="s">
        <v>685</v>
      </c>
      <c r="B133" s="4" t="s">
        <v>684</v>
      </c>
      <c r="C133" s="284">
        <v>6041363219.7316904</v>
      </c>
      <c r="D133" s="284">
        <v>1259903905.38801</v>
      </c>
    </row>
    <row r="134" spans="1:4" hidden="1" outlineLevel="1">
      <c r="A134" s="4" t="s">
        <v>683</v>
      </c>
      <c r="B134" s="4" t="s">
        <v>682</v>
      </c>
      <c r="C134" s="284">
        <v>2474052162.3198099</v>
      </c>
      <c r="D134" s="284">
        <v>1035521056.2013201</v>
      </c>
    </row>
    <row r="135" spans="1:4" hidden="1" outlineLevel="1">
      <c r="A135" s="4" t="s">
        <v>681</v>
      </c>
      <c r="B135" s="4" t="s">
        <v>680</v>
      </c>
      <c r="C135" s="284">
        <v>13836930255.812</v>
      </c>
      <c r="D135" s="284">
        <v>1026090396.8063101</v>
      </c>
    </row>
    <row r="136" spans="1:4" hidden="1" outlineLevel="1">
      <c r="A136" s="4" t="s">
        <v>679</v>
      </c>
      <c r="B136" s="4" t="s">
        <v>678</v>
      </c>
      <c r="C136" s="284">
        <v>16673027247.729401</v>
      </c>
      <c r="D136" s="284">
        <v>828970331.99616694</v>
      </c>
    </row>
    <row r="137" spans="1:4" hidden="1" outlineLevel="1">
      <c r="A137" s="4" t="s">
        <v>677</v>
      </c>
      <c r="B137" s="4" t="s">
        <v>676</v>
      </c>
      <c r="C137" s="284">
        <v>4916298641.77985</v>
      </c>
      <c r="D137" s="284">
        <v>651504361.08894002</v>
      </c>
    </row>
    <row r="138" spans="1:4" hidden="1" outlineLevel="1">
      <c r="A138" s="4" t="s">
        <v>675</v>
      </c>
      <c r="B138" s="4" t="s">
        <v>674</v>
      </c>
      <c r="C138" s="284">
        <v>2871577368.5526199</v>
      </c>
      <c r="D138" s="284">
        <v>494287333.27290702</v>
      </c>
    </row>
    <row r="139" spans="1:4" hidden="1" outlineLevel="1">
      <c r="A139" s="4" t="s">
        <v>673</v>
      </c>
      <c r="B139" s="4" t="s">
        <v>672</v>
      </c>
      <c r="C139" s="284">
        <v>2306641113.2405601</v>
      </c>
      <c r="D139" s="284">
        <v>477219872.86977601</v>
      </c>
    </row>
    <row r="140" spans="1:4" hidden="1" outlineLevel="1">
      <c r="A140" s="4" t="s">
        <v>671</v>
      </c>
      <c r="B140" s="4" t="s">
        <v>670</v>
      </c>
      <c r="C140" s="284">
        <v>1501383218.06516</v>
      </c>
      <c r="D140" s="284">
        <v>377356911.79199201</v>
      </c>
    </row>
    <row r="141" spans="1:4" hidden="1" outlineLevel="1">
      <c r="A141" s="4" t="s">
        <v>669</v>
      </c>
      <c r="B141" s="4" t="s">
        <v>668</v>
      </c>
      <c r="C141" s="284">
        <v>5191917340.2216501</v>
      </c>
      <c r="D141" s="284">
        <v>365569781.872087</v>
      </c>
    </row>
    <row r="142" spans="1:4" hidden="1" outlineLevel="1">
      <c r="A142" s="4" t="s">
        <v>667</v>
      </c>
      <c r="B142" s="4" t="s">
        <v>666</v>
      </c>
      <c r="C142" s="284">
        <v>1380084992.9172599</v>
      </c>
      <c r="D142" s="284">
        <v>358495602.40076399</v>
      </c>
    </row>
    <row r="143" spans="1:4" hidden="1" outlineLevel="1">
      <c r="A143" s="4" t="s">
        <v>665</v>
      </c>
      <c r="B143" s="4" t="s">
        <v>664</v>
      </c>
      <c r="C143" s="284">
        <v>3966569452.54562</v>
      </c>
      <c r="D143" s="284">
        <v>298880448.1692</v>
      </c>
    </row>
    <row r="144" spans="1:4" hidden="1" outlineLevel="1">
      <c r="A144" s="4" t="s">
        <v>663</v>
      </c>
      <c r="B144" s="4" t="s">
        <v>662</v>
      </c>
      <c r="C144" s="284">
        <v>974752103.99133396</v>
      </c>
      <c r="D144" s="284">
        <v>293909442.52064103</v>
      </c>
    </row>
    <row r="145" spans="1:4" hidden="1" outlineLevel="1">
      <c r="A145" s="4" t="s">
        <v>661</v>
      </c>
      <c r="B145" s="4" t="s">
        <v>660</v>
      </c>
      <c r="C145" s="284">
        <v>1947979335.0554099</v>
      </c>
      <c r="D145" s="284">
        <v>283587950.45879298</v>
      </c>
    </row>
    <row r="146" spans="1:4" hidden="1" outlineLevel="1">
      <c r="A146" s="4" t="s">
        <v>659</v>
      </c>
      <c r="B146" s="4" t="s">
        <v>658</v>
      </c>
      <c r="C146" s="284">
        <v>1240521623.19807</v>
      </c>
      <c r="D146" s="284">
        <v>207946985.26387399</v>
      </c>
    </row>
    <row r="147" spans="1:4" hidden="1" outlineLevel="1">
      <c r="A147" s="4" t="s">
        <v>657</v>
      </c>
      <c r="B147" s="4" t="s">
        <v>656</v>
      </c>
      <c r="C147" s="284">
        <v>1846671110.7407701</v>
      </c>
      <c r="D147" s="284">
        <v>202670592.56482399</v>
      </c>
    </row>
    <row r="148" spans="1:4" hidden="1" outlineLevel="1">
      <c r="A148" s="4" t="s">
        <v>655</v>
      </c>
      <c r="B148" s="4" t="s">
        <v>654</v>
      </c>
      <c r="C148" s="284">
        <v>834180484.95958698</v>
      </c>
      <c r="D148" s="284">
        <v>187916666.07221901</v>
      </c>
    </row>
    <row r="149" spans="1:4" hidden="1" outlineLevel="1">
      <c r="A149" s="4" t="s">
        <v>653</v>
      </c>
      <c r="B149" s="4" t="s">
        <v>652</v>
      </c>
      <c r="C149" s="284">
        <v>3632947254.3954701</v>
      </c>
      <c r="D149" s="284">
        <v>179033729.49319899</v>
      </c>
    </row>
    <row r="150" spans="1:4" hidden="1" outlineLevel="1">
      <c r="A150" s="4" t="s">
        <v>651</v>
      </c>
      <c r="B150" s="4" t="s">
        <v>650</v>
      </c>
      <c r="C150" s="284">
        <v>629036746.93775499</v>
      </c>
      <c r="D150" s="284">
        <v>173221927.237371</v>
      </c>
    </row>
    <row r="151" spans="1:4" hidden="1" outlineLevel="1">
      <c r="A151" s="4" t="s">
        <v>649</v>
      </c>
      <c r="B151" s="4" t="s">
        <v>648</v>
      </c>
      <c r="C151" s="284">
        <v>1221289892.50896</v>
      </c>
      <c r="D151" s="284">
        <v>162639236.109005</v>
      </c>
    </row>
    <row r="152" spans="1:4" hidden="1" outlineLevel="1">
      <c r="A152" s="4" t="s">
        <v>647</v>
      </c>
      <c r="B152" s="4" t="s">
        <v>646</v>
      </c>
      <c r="C152" s="284">
        <v>440212482.29314202</v>
      </c>
      <c r="D152" s="284">
        <v>155905989.23024499</v>
      </c>
    </row>
    <row r="153" spans="1:4" hidden="1" outlineLevel="1">
      <c r="A153" s="4" t="s">
        <v>645</v>
      </c>
      <c r="B153" s="4" t="s">
        <v>644</v>
      </c>
      <c r="C153" s="284">
        <v>3820131655.6953602</v>
      </c>
      <c r="D153" s="284">
        <v>148938294.54945201</v>
      </c>
    </row>
    <row r="154" spans="1:4" hidden="1" outlineLevel="1">
      <c r="A154" s="4" t="s">
        <v>643</v>
      </c>
      <c r="B154" s="4" t="s">
        <v>642</v>
      </c>
      <c r="C154" s="284">
        <v>444579618.36513603</v>
      </c>
      <c r="D154" s="284">
        <v>148228520.111379</v>
      </c>
    </row>
    <row r="155" spans="1:4" hidden="1" outlineLevel="1">
      <c r="A155" s="4" t="s">
        <v>641</v>
      </c>
      <c r="B155" s="4" t="s">
        <v>640</v>
      </c>
      <c r="C155" s="284">
        <v>694343804.68294299</v>
      </c>
      <c r="D155" s="284">
        <v>143128573.72588101</v>
      </c>
    </row>
    <row r="156" spans="1:4" hidden="1" outlineLevel="1">
      <c r="A156" s="4" t="s">
        <v>639</v>
      </c>
      <c r="B156" s="4" t="s">
        <v>638</v>
      </c>
      <c r="C156" s="284">
        <v>780821598.20015001</v>
      </c>
      <c r="D156" s="284">
        <v>115656649.6028</v>
      </c>
    </row>
    <row r="157" spans="1:4" hidden="1" outlineLevel="1">
      <c r="A157" s="4" t="s">
        <v>637</v>
      </c>
      <c r="B157" s="4" t="s">
        <v>636</v>
      </c>
      <c r="C157" s="284">
        <v>427078576.78526801</v>
      </c>
      <c r="D157" s="284">
        <v>114685017.63084801</v>
      </c>
    </row>
    <row r="158" spans="1:4" hidden="1" outlineLevel="1">
      <c r="A158" s="4" t="s">
        <v>635</v>
      </c>
      <c r="B158" s="4" t="s">
        <v>634</v>
      </c>
      <c r="C158" s="284">
        <v>142858928.422631</v>
      </c>
      <c r="D158" s="284">
        <v>107876032.938061</v>
      </c>
    </row>
    <row r="159" spans="1:4" hidden="1" outlineLevel="1">
      <c r="A159" s="4" t="s">
        <v>633</v>
      </c>
      <c r="B159" s="4" t="s">
        <v>632</v>
      </c>
      <c r="C159" s="284">
        <v>413248895.92534</v>
      </c>
      <c r="D159" s="284">
        <v>106461786.842243</v>
      </c>
    </row>
    <row r="160" spans="1:4" hidden="1" outlineLevel="1">
      <c r="A160" s="4" t="s">
        <v>630</v>
      </c>
      <c r="B160" s="4" t="s">
        <v>629</v>
      </c>
      <c r="C160" s="284">
        <v>756060328.30597401</v>
      </c>
      <c r="D160" s="284">
        <v>94971224.800012797</v>
      </c>
    </row>
    <row r="161" spans="1:4" hidden="1" outlineLevel="1">
      <c r="A161" s="4" t="s">
        <v>628</v>
      </c>
      <c r="B161" s="4" t="s">
        <v>627</v>
      </c>
      <c r="C161" s="284">
        <v>1066952753.93717</v>
      </c>
      <c r="D161" s="284">
        <v>91879060.130458996</v>
      </c>
    </row>
    <row r="162" spans="1:4" hidden="1" outlineLevel="1">
      <c r="A162" s="4" t="s">
        <v>626</v>
      </c>
      <c r="B162" s="4" t="s">
        <v>625</v>
      </c>
      <c r="C162" s="284">
        <v>257119406.71610701</v>
      </c>
      <c r="D162" s="284">
        <v>81571212.635776907</v>
      </c>
    </row>
    <row r="163" spans="1:4" hidden="1" outlineLevel="1">
      <c r="A163" s="4" t="s">
        <v>624</v>
      </c>
      <c r="B163" s="4" t="s">
        <v>623</v>
      </c>
      <c r="C163" s="284"/>
      <c r="D163" s="284">
        <v>80088266.9778741</v>
      </c>
    </row>
    <row r="164" spans="1:4" hidden="1" outlineLevel="1">
      <c r="A164" s="4" t="s">
        <v>622</v>
      </c>
      <c r="B164" s="4" t="s">
        <v>621</v>
      </c>
      <c r="C164" s="284">
        <v>127201066.577785</v>
      </c>
      <c r="D164" s="284">
        <v>77992610.601680905</v>
      </c>
    </row>
    <row r="165" spans="1:4" hidden="1" outlineLevel="1">
      <c r="A165" s="4" t="s">
        <v>620</v>
      </c>
      <c r="B165" s="4" t="s">
        <v>619</v>
      </c>
      <c r="C165" s="284">
        <v>485575368.71927297</v>
      </c>
      <c r="D165" s="284">
        <v>76447935.6738922</v>
      </c>
    </row>
    <row r="166" spans="1:4" hidden="1" outlineLevel="1">
      <c r="A166" s="4" t="s">
        <v>618</v>
      </c>
      <c r="B166" s="4" t="s">
        <v>617</v>
      </c>
      <c r="C166" s="284">
        <v>2576318640.1133199</v>
      </c>
      <c r="D166" s="284">
        <v>76067154.318097994</v>
      </c>
    </row>
    <row r="167" spans="1:4" hidden="1" outlineLevel="1">
      <c r="A167" s="4" t="s">
        <v>616</v>
      </c>
      <c r="B167" s="4" t="s">
        <v>615</v>
      </c>
      <c r="C167" s="284"/>
      <c r="D167" s="284">
        <v>70732229.662657902</v>
      </c>
    </row>
    <row r="168" spans="1:4" hidden="1" outlineLevel="1">
      <c r="A168" s="4" t="s">
        <v>614</v>
      </c>
      <c r="B168" s="4" t="s">
        <v>613</v>
      </c>
      <c r="C168" s="284">
        <v>45295392.050662503</v>
      </c>
      <c r="D168" s="284">
        <v>64305105.521018699</v>
      </c>
    </row>
    <row r="169" spans="1:4" hidden="1" outlineLevel="1">
      <c r="A169" s="4" t="s">
        <v>612</v>
      </c>
      <c r="B169" s="4" t="s">
        <v>611</v>
      </c>
      <c r="C169" s="284">
        <v>928580951.58736801</v>
      </c>
      <c r="D169" s="284">
        <v>62582835.171194501</v>
      </c>
    </row>
    <row r="170" spans="1:4" hidden="1" outlineLevel="1">
      <c r="A170" s="4" t="s">
        <v>610</v>
      </c>
      <c r="B170" s="4" t="s">
        <v>609</v>
      </c>
      <c r="C170" s="284">
        <v>554687942.67144406</v>
      </c>
      <c r="D170" s="284">
        <v>58934445.836142898</v>
      </c>
    </row>
    <row r="171" spans="1:4" hidden="1" outlineLevel="1">
      <c r="A171" s="4" t="s">
        <v>608</v>
      </c>
      <c r="B171" s="4" t="s">
        <v>607</v>
      </c>
      <c r="C171" s="284">
        <v>932822264.81126595</v>
      </c>
      <c r="D171" s="284">
        <v>56699862.119498402</v>
      </c>
    </row>
    <row r="172" spans="1:4" hidden="1" outlineLevel="1">
      <c r="A172" s="4" t="s">
        <v>606</v>
      </c>
      <c r="B172" s="4" t="s">
        <v>605</v>
      </c>
      <c r="C172" s="284">
        <v>219821681.526539</v>
      </c>
      <c r="D172" s="284">
        <v>49782421.6019371</v>
      </c>
    </row>
    <row r="173" spans="1:4" hidden="1" outlineLevel="1">
      <c r="A173" s="4" t="s">
        <v>604</v>
      </c>
      <c r="B173" s="4" t="s">
        <v>603</v>
      </c>
      <c r="C173" s="284">
        <v>296826931.08907598</v>
      </c>
      <c r="D173" s="284">
        <v>49662210.019773401</v>
      </c>
    </row>
    <row r="174" spans="1:4" hidden="1" outlineLevel="1">
      <c r="A174" s="4" t="s">
        <v>602</v>
      </c>
      <c r="B174" s="4" t="s">
        <v>601</v>
      </c>
      <c r="C174" s="284"/>
      <c r="D174" s="284">
        <v>46843730.740692802</v>
      </c>
    </row>
    <row r="175" spans="1:4" hidden="1" outlineLevel="1">
      <c r="A175" s="4" t="s">
        <v>600</v>
      </c>
      <c r="B175" s="4" t="s">
        <v>599</v>
      </c>
      <c r="C175" s="284">
        <v>40634363.803016402</v>
      </c>
      <c r="D175" s="284">
        <v>46192486.0989476</v>
      </c>
    </row>
    <row r="176" spans="1:4" hidden="1" outlineLevel="1">
      <c r="A176" s="4" t="s">
        <v>598</v>
      </c>
      <c r="B176" s="4" t="s">
        <v>597</v>
      </c>
      <c r="C176" s="284">
        <v>1131789017.5818701</v>
      </c>
      <c r="D176" s="284">
        <v>45804591.894523203</v>
      </c>
    </row>
    <row r="177" spans="1:4" hidden="1" outlineLevel="1">
      <c r="A177" s="4" t="s">
        <v>596</v>
      </c>
      <c r="B177" s="4" t="s">
        <v>595</v>
      </c>
      <c r="C177" s="284">
        <v>123653862.17815199</v>
      </c>
      <c r="D177" s="284">
        <v>44531135.403274901</v>
      </c>
    </row>
    <row r="178" spans="1:4" hidden="1" outlineLevel="1">
      <c r="A178" s="4" t="s">
        <v>594</v>
      </c>
      <c r="B178" s="4" t="s">
        <v>593</v>
      </c>
      <c r="C178" s="284">
        <v>1888742604.7829299</v>
      </c>
      <c r="D178" s="284">
        <v>38615631.847768597</v>
      </c>
    </row>
    <row r="179" spans="1:4" hidden="1" outlineLevel="1">
      <c r="A179" s="4" t="s">
        <v>592</v>
      </c>
      <c r="B179" s="4" t="s">
        <v>591</v>
      </c>
      <c r="C179" s="284">
        <v>129431714.02383099</v>
      </c>
      <c r="D179" s="284">
        <v>37371749.8826003</v>
      </c>
    </row>
    <row r="180" spans="1:4" hidden="1" outlineLevel="1">
      <c r="A180" s="4" t="s">
        <v>590</v>
      </c>
      <c r="B180" s="4" t="s">
        <v>589</v>
      </c>
      <c r="C180" s="284">
        <v>90687442.713107198</v>
      </c>
      <c r="D180" s="284">
        <v>37326690.395009398</v>
      </c>
    </row>
    <row r="181" spans="1:4" hidden="1" outlineLevel="1">
      <c r="A181" s="4" t="s">
        <v>588</v>
      </c>
      <c r="B181" s="4" t="s">
        <v>587</v>
      </c>
      <c r="C181" s="284">
        <v>196161986.50112501</v>
      </c>
      <c r="D181" s="284">
        <v>34876114.209531702</v>
      </c>
    </row>
    <row r="182" spans="1:4" hidden="1" outlineLevel="1">
      <c r="A182" s="4" t="s">
        <v>586</v>
      </c>
      <c r="B182" s="4" t="s">
        <v>585</v>
      </c>
      <c r="C182" s="284">
        <v>282622281.47654402</v>
      </c>
      <c r="D182" s="284">
        <v>34749715.678014897</v>
      </c>
    </row>
    <row r="183" spans="1:4" hidden="1" outlineLevel="1">
      <c r="A183" s="4" t="s">
        <v>584</v>
      </c>
      <c r="B183" s="4" t="s">
        <v>583</v>
      </c>
      <c r="C183" s="284">
        <v>55088575.952004001</v>
      </c>
      <c r="D183" s="284">
        <v>34491814.798661597</v>
      </c>
    </row>
    <row r="184" spans="1:4" hidden="1" outlineLevel="1">
      <c r="A184" s="4" t="s">
        <v>582</v>
      </c>
      <c r="B184" s="4" t="s">
        <v>581</v>
      </c>
      <c r="C184" s="284">
        <v>38940588.284309603</v>
      </c>
      <c r="D184" s="284">
        <v>33375193.552499399</v>
      </c>
    </row>
    <row r="185" spans="1:4" hidden="1" outlineLevel="1">
      <c r="A185" s="4" t="s">
        <v>580</v>
      </c>
      <c r="B185" s="4" t="s">
        <v>579</v>
      </c>
      <c r="C185" s="284">
        <v>257648529.289226</v>
      </c>
      <c r="D185" s="284">
        <v>33077828.961702701</v>
      </c>
    </row>
    <row r="186" spans="1:4" hidden="1" outlineLevel="1">
      <c r="A186" s="4" t="s">
        <v>578</v>
      </c>
      <c r="B186" s="4" t="s">
        <v>577</v>
      </c>
      <c r="C186" s="284">
        <v>286626947.754354</v>
      </c>
      <c r="D186" s="284">
        <v>32936513.1550656</v>
      </c>
    </row>
    <row r="187" spans="1:4" hidden="1" outlineLevel="1">
      <c r="A187" s="4" t="s">
        <v>576</v>
      </c>
      <c r="B187" s="4" t="s">
        <v>575</v>
      </c>
      <c r="C187" s="284">
        <v>110960753.27056099</v>
      </c>
      <c r="D187" s="284">
        <v>31372410.678310402</v>
      </c>
    </row>
    <row r="188" spans="1:4" hidden="1" outlineLevel="1">
      <c r="A188" s="4" t="s">
        <v>574</v>
      </c>
      <c r="B188" s="4" t="s">
        <v>573</v>
      </c>
      <c r="C188" s="284">
        <v>49565119.5733689</v>
      </c>
      <c r="D188" s="284">
        <v>29654489.516870301</v>
      </c>
    </row>
    <row r="189" spans="1:4" hidden="1" outlineLevel="1">
      <c r="A189" s="4" t="s">
        <v>572</v>
      </c>
      <c r="B189" s="4" t="s">
        <v>571</v>
      </c>
      <c r="C189" s="284">
        <v>89875010.415798694</v>
      </c>
      <c r="D189" s="284">
        <v>28688194.3998271</v>
      </c>
    </row>
    <row r="190" spans="1:4" hidden="1" outlineLevel="1">
      <c r="A190" s="4" t="s">
        <v>570</v>
      </c>
      <c r="B190" s="4" t="s">
        <v>569</v>
      </c>
      <c r="C190" s="284">
        <v>254100491.625698</v>
      </c>
      <c r="D190" s="284">
        <v>28291727.4094106</v>
      </c>
    </row>
    <row r="191" spans="1:4" hidden="1" outlineLevel="1">
      <c r="A191" s="4" t="s">
        <v>568</v>
      </c>
      <c r="B191" s="4" t="s">
        <v>567</v>
      </c>
      <c r="C191" s="284"/>
      <c r="D191" s="284">
        <v>27937818.0991132</v>
      </c>
    </row>
    <row r="192" spans="1:4" hidden="1" outlineLevel="1">
      <c r="A192" s="4" t="s">
        <v>566</v>
      </c>
      <c r="B192" s="4" t="s">
        <v>565</v>
      </c>
      <c r="C192" s="284">
        <v>86337805.182901397</v>
      </c>
      <c r="D192" s="284">
        <v>27752135.522013601</v>
      </c>
    </row>
    <row r="193" spans="1:4" hidden="1" outlineLevel="1">
      <c r="A193" s="4" t="s">
        <v>564</v>
      </c>
      <c r="B193" s="4" t="s">
        <v>563</v>
      </c>
      <c r="C193" s="284">
        <v>968760936.58861804</v>
      </c>
      <c r="D193" s="284">
        <v>27044548.335693002</v>
      </c>
    </row>
    <row r="194" spans="1:4" hidden="1" outlineLevel="1">
      <c r="A194" s="4" t="s">
        <v>562</v>
      </c>
      <c r="B194" s="4" t="s">
        <v>561</v>
      </c>
      <c r="C194" s="284">
        <v>13013748.854262101</v>
      </c>
      <c r="D194" s="284">
        <v>26103056.228122</v>
      </c>
    </row>
    <row r="195" spans="1:4" hidden="1" outlineLevel="1">
      <c r="A195" s="4" t="s">
        <v>560</v>
      </c>
      <c r="B195" s="4" t="s">
        <v>559</v>
      </c>
      <c r="C195" s="284">
        <v>182644779.60170001</v>
      </c>
      <c r="D195" s="284">
        <v>23235422.678522401</v>
      </c>
    </row>
    <row r="196" spans="1:4" hidden="1" outlineLevel="1">
      <c r="A196" s="4" t="s">
        <v>558</v>
      </c>
      <c r="B196" s="4" t="s">
        <v>557</v>
      </c>
      <c r="C196" s="284">
        <v>6032688.9425881198</v>
      </c>
      <c r="D196" s="284">
        <v>22669793.996314999</v>
      </c>
    </row>
    <row r="197" spans="1:4" hidden="1" outlineLevel="1">
      <c r="A197" s="4" t="s">
        <v>556</v>
      </c>
      <c r="B197" s="4" t="s">
        <v>555</v>
      </c>
      <c r="C197" s="284">
        <v>68014832.097325206</v>
      </c>
      <c r="D197" s="284">
        <v>22182934.797840301</v>
      </c>
    </row>
    <row r="198" spans="1:4" hidden="1" outlineLevel="1">
      <c r="A198" s="4" t="s">
        <v>554</v>
      </c>
      <c r="B198" s="4" t="s">
        <v>553</v>
      </c>
      <c r="C198" s="284">
        <v>60588534.288809299</v>
      </c>
      <c r="D198" s="284">
        <v>22005233.510258298</v>
      </c>
    </row>
    <row r="199" spans="1:4" hidden="1" outlineLevel="1">
      <c r="A199" s="4" t="s">
        <v>552</v>
      </c>
      <c r="B199" s="4" t="s">
        <v>551</v>
      </c>
      <c r="C199" s="284">
        <v>15342304.807932699</v>
      </c>
      <c r="D199" s="284">
        <v>20631869.010630399</v>
      </c>
    </row>
    <row r="200" spans="1:4" hidden="1" outlineLevel="1">
      <c r="A200" s="4" t="s">
        <v>550</v>
      </c>
      <c r="B200" s="4" t="s">
        <v>549</v>
      </c>
      <c r="C200" s="284">
        <v>50162319.806682803</v>
      </c>
      <c r="D200" s="284">
        <v>20261930.4734581</v>
      </c>
    </row>
    <row r="201" spans="1:4" hidden="1" outlineLevel="1">
      <c r="A201" s="4" t="s">
        <v>548</v>
      </c>
      <c r="B201" s="4" t="s">
        <v>547</v>
      </c>
      <c r="C201" s="284">
        <v>946721106.57445204</v>
      </c>
      <c r="D201" s="284">
        <v>20189863.8983474</v>
      </c>
    </row>
    <row r="202" spans="1:4" hidden="1" outlineLevel="1">
      <c r="A202" s="4" t="s">
        <v>546</v>
      </c>
      <c r="B202" s="4" t="s">
        <v>545</v>
      </c>
      <c r="C202" s="284">
        <v>63076660.278310098</v>
      </c>
      <c r="D202" s="284">
        <v>20108680.499884501</v>
      </c>
    </row>
    <row r="203" spans="1:4" hidden="1" outlineLevel="1">
      <c r="A203" s="4" t="s">
        <v>544</v>
      </c>
      <c r="B203" s="4" t="s">
        <v>543</v>
      </c>
      <c r="C203" s="284">
        <v>55728189.317556903</v>
      </c>
      <c r="D203" s="284">
        <v>19963568.820257101</v>
      </c>
    </row>
    <row r="204" spans="1:4" hidden="1" outlineLevel="1">
      <c r="A204" s="4" t="s">
        <v>542</v>
      </c>
      <c r="B204" s="4" t="s">
        <v>541</v>
      </c>
      <c r="C204" s="284">
        <v>58411549.0375802</v>
      </c>
      <c r="D204" s="284">
        <v>19910493.756577101</v>
      </c>
    </row>
    <row r="205" spans="1:4" hidden="1" outlineLevel="1">
      <c r="A205" s="4" t="s">
        <v>540</v>
      </c>
      <c r="B205" s="4" t="s">
        <v>539</v>
      </c>
      <c r="C205" s="284">
        <v>15003083.076410299</v>
      </c>
      <c r="D205" s="284">
        <v>19518110.995454699</v>
      </c>
    </row>
    <row r="206" spans="1:4" hidden="1" outlineLevel="1">
      <c r="A206" s="4" t="s">
        <v>538</v>
      </c>
      <c r="B206" s="4" t="s">
        <v>537</v>
      </c>
      <c r="C206" s="284">
        <v>170481626.531122</v>
      </c>
      <c r="D206" s="284">
        <v>17651637.742196798</v>
      </c>
    </row>
    <row r="207" spans="1:4" hidden="1" outlineLevel="1">
      <c r="A207" s="4" t="s">
        <v>536</v>
      </c>
      <c r="B207" s="4" t="s">
        <v>535</v>
      </c>
      <c r="C207" s="284">
        <v>23416131.989000902</v>
      </c>
      <c r="D207" s="284">
        <v>17360739.471910801</v>
      </c>
    </row>
    <row r="208" spans="1:4" hidden="1" outlineLevel="1">
      <c r="A208" s="4" t="s">
        <v>534</v>
      </c>
      <c r="B208" s="4" t="s">
        <v>533</v>
      </c>
      <c r="C208" s="284">
        <v>30609115.907007799</v>
      </c>
      <c r="D208" s="284">
        <v>16771799.2393458</v>
      </c>
    </row>
    <row r="209" spans="1:4" hidden="1" outlineLevel="1">
      <c r="A209" s="4" t="s">
        <v>532</v>
      </c>
      <c r="B209" s="4" t="s">
        <v>531</v>
      </c>
      <c r="C209" s="284">
        <v>100614115.490376</v>
      </c>
      <c r="D209" s="284">
        <v>15873321.1885754</v>
      </c>
    </row>
    <row r="210" spans="1:4" hidden="1" outlineLevel="1">
      <c r="A210" s="4" t="s">
        <v>530</v>
      </c>
      <c r="B210" s="4" t="s">
        <v>529</v>
      </c>
      <c r="C210" s="284">
        <v>1353562.2031497399</v>
      </c>
      <c r="D210" s="284">
        <v>15731372.3831711</v>
      </c>
    </row>
    <row r="211" spans="1:4" hidden="1" outlineLevel="1">
      <c r="A211" s="4" t="s">
        <v>528</v>
      </c>
      <c r="B211" s="4" t="s">
        <v>527</v>
      </c>
      <c r="C211" s="284">
        <v>25656778.601783201</v>
      </c>
      <c r="D211" s="284">
        <v>14083939.7721588</v>
      </c>
    </row>
    <row r="212" spans="1:4" hidden="1" outlineLevel="1">
      <c r="A212" s="4" t="s">
        <v>526</v>
      </c>
      <c r="B212" s="4" t="s">
        <v>525</v>
      </c>
      <c r="C212" s="284">
        <v>43558703.441379897</v>
      </c>
      <c r="D212" s="284">
        <v>14032757.4149369</v>
      </c>
    </row>
    <row r="213" spans="1:4" hidden="1" outlineLevel="1">
      <c r="A213" s="4" t="s">
        <v>524</v>
      </c>
      <c r="B213" s="4" t="s">
        <v>523</v>
      </c>
      <c r="C213" s="284">
        <v>67397216.898591802</v>
      </c>
      <c r="D213" s="284">
        <v>13945099.3977005</v>
      </c>
    </row>
    <row r="214" spans="1:4" hidden="1" outlineLevel="1">
      <c r="A214" s="4" t="s">
        <v>522</v>
      </c>
      <c r="B214" s="4" t="s">
        <v>521</v>
      </c>
      <c r="C214" s="284">
        <v>24744271.310724098</v>
      </c>
      <c r="D214" s="284">
        <v>13916984.2009925</v>
      </c>
    </row>
    <row r="215" spans="1:4" hidden="1" outlineLevel="1">
      <c r="A215" s="4" t="s">
        <v>520</v>
      </c>
      <c r="B215" s="4" t="s">
        <v>519</v>
      </c>
      <c r="C215" s="284">
        <v>21607782.684776299</v>
      </c>
      <c r="D215" s="284">
        <v>13471760.4332595</v>
      </c>
    </row>
    <row r="216" spans="1:4" hidden="1" outlineLevel="1">
      <c r="A216" s="4" t="s">
        <v>518</v>
      </c>
      <c r="B216" s="4" t="s">
        <v>517</v>
      </c>
      <c r="C216" s="284">
        <v>49434630.4474627</v>
      </c>
      <c r="D216" s="284">
        <v>13233926.458368599</v>
      </c>
    </row>
    <row r="217" spans="1:4" hidden="1" outlineLevel="1">
      <c r="A217" s="4" t="s">
        <v>516</v>
      </c>
      <c r="B217" s="4" t="s">
        <v>515</v>
      </c>
      <c r="C217" s="284">
        <v>62640363.303058103</v>
      </c>
      <c r="D217" s="284">
        <v>13191568.7765877</v>
      </c>
    </row>
    <row r="218" spans="1:4" hidden="1" outlineLevel="1">
      <c r="A218" s="4" t="s">
        <v>514</v>
      </c>
      <c r="B218" s="4" t="s">
        <v>513</v>
      </c>
      <c r="C218" s="284">
        <v>23483709.690859102</v>
      </c>
      <c r="D218" s="284">
        <v>13054220.689094599</v>
      </c>
    </row>
    <row r="219" spans="1:4" hidden="1" outlineLevel="1">
      <c r="A219" s="4" t="s">
        <v>512</v>
      </c>
      <c r="B219" s="4" t="s">
        <v>511</v>
      </c>
      <c r="C219" s="284">
        <v>1574060494.95875</v>
      </c>
      <c r="D219" s="284">
        <v>12819088.9490014</v>
      </c>
    </row>
    <row r="220" spans="1:4" hidden="1" outlineLevel="1">
      <c r="A220" s="4" t="s">
        <v>510</v>
      </c>
      <c r="B220" s="4" t="s">
        <v>509</v>
      </c>
      <c r="C220" s="284">
        <v>686568619.28172696</v>
      </c>
      <c r="D220" s="284">
        <v>12422245.049805099</v>
      </c>
    </row>
    <row r="221" spans="1:4" hidden="1" outlineLevel="1">
      <c r="A221" s="4" t="s">
        <v>508</v>
      </c>
      <c r="B221" s="4" t="s">
        <v>507</v>
      </c>
      <c r="C221" s="284">
        <v>21519623.364719599</v>
      </c>
      <c r="D221" s="284">
        <v>11692554.660656201</v>
      </c>
    </row>
    <row r="222" spans="1:4" hidden="1" outlineLevel="1">
      <c r="A222" s="4" t="s">
        <v>506</v>
      </c>
      <c r="B222" s="4" t="s">
        <v>505</v>
      </c>
      <c r="C222" s="284"/>
      <c r="D222" s="284">
        <v>11653278.2811503</v>
      </c>
    </row>
    <row r="223" spans="1:4" hidden="1" outlineLevel="1">
      <c r="A223" s="4" t="s">
        <v>504</v>
      </c>
      <c r="B223" s="4" t="s">
        <v>503</v>
      </c>
      <c r="C223" s="284">
        <v>12699858.3451379</v>
      </c>
      <c r="D223" s="284">
        <v>11353025.8115118</v>
      </c>
    </row>
    <row r="224" spans="1:4" hidden="1" outlineLevel="1">
      <c r="A224" s="4" t="s">
        <v>502</v>
      </c>
      <c r="B224" s="4" t="s">
        <v>501</v>
      </c>
      <c r="C224" s="284">
        <v>23817348.554287098</v>
      </c>
      <c r="D224" s="284">
        <v>10960549.9543311</v>
      </c>
    </row>
    <row r="225" spans="1:4" hidden="1" outlineLevel="1">
      <c r="A225" s="4" t="s">
        <v>500</v>
      </c>
      <c r="B225" s="4" t="s">
        <v>499</v>
      </c>
      <c r="C225" s="284">
        <v>60614115.490375802</v>
      </c>
      <c r="D225" s="284">
        <v>10579285.6582027</v>
      </c>
    </row>
    <row r="226" spans="1:4" hidden="1" outlineLevel="1">
      <c r="A226" s="4" t="s">
        <v>498</v>
      </c>
      <c r="B226" s="4" t="s">
        <v>497</v>
      </c>
      <c r="C226" s="284">
        <v>30533455.545371201</v>
      </c>
      <c r="D226" s="284">
        <v>9925000</v>
      </c>
    </row>
    <row r="227" spans="1:4" hidden="1" outlineLevel="1">
      <c r="A227" s="4" t="s">
        <v>496</v>
      </c>
      <c r="B227" s="4" t="s">
        <v>495</v>
      </c>
      <c r="C227" s="284">
        <v>61090742.4381302</v>
      </c>
      <c r="D227" s="284">
        <v>9689698.2188855391</v>
      </c>
    </row>
    <row r="228" spans="1:4" hidden="1" outlineLevel="1">
      <c r="A228" s="4" t="s">
        <v>494</v>
      </c>
      <c r="B228" s="4" t="s">
        <v>493</v>
      </c>
      <c r="C228" s="284">
        <v>73491959.003416404</v>
      </c>
      <c r="D228" s="284">
        <v>9052873.9518457409</v>
      </c>
    </row>
    <row r="229" spans="1:4" hidden="1" outlineLevel="1">
      <c r="A229" s="4" t="s">
        <v>492</v>
      </c>
      <c r="B229" s="4" t="s">
        <v>491</v>
      </c>
      <c r="C229" s="284">
        <v>31181318.223481402</v>
      </c>
      <c r="D229" s="284">
        <v>8576896.8460636493</v>
      </c>
    </row>
    <row r="230" spans="1:4" hidden="1" outlineLevel="1">
      <c r="A230" s="4" t="s">
        <v>490</v>
      </c>
      <c r="B230" s="4" t="s">
        <v>489</v>
      </c>
      <c r="C230" s="284">
        <v>31638613.448879302</v>
      </c>
      <c r="D230" s="284">
        <v>8378508.8535446003</v>
      </c>
    </row>
    <row r="231" spans="1:4" hidden="1" outlineLevel="1">
      <c r="A231" s="4" t="s">
        <v>488</v>
      </c>
      <c r="B231" s="4" t="s">
        <v>487</v>
      </c>
      <c r="C231" s="284">
        <v>14560453.2955587</v>
      </c>
      <c r="D231" s="284">
        <v>7994835.2754853396</v>
      </c>
    </row>
    <row r="232" spans="1:4" hidden="1" outlineLevel="1">
      <c r="A232" s="4" t="s">
        <v>486</v>
      </c>
      <c r="B232" s="4" t="s">
        <v>485</v>
      </c>
      <c r="C232" s="284">
        <v>67532122.323139697</v>
      </c>
      <c r="D232" s="284">
        <v>7416270.06461355</v>
      </c>
    </row>
    <row r="233" spans="1:4" hidden="1" outlineLevel="1">
      <c r="A233" s="4" t="s">
        <v>484</v>
      </c>
      <c r="B233" s="4" t="s">
        <v>483</v>
      </c>
      <c r="C233" s="284">
        <v>22668360.969919201</v>
      </c>
      <c r="D233" s="284">
        <v>7289944.2567362403</v>
      </c>
    </row>
    <row r="234" spans="1:4" hidden="1" outlineLevel="1">
      <c r="A234" s="4" t="s">
        <v>482</v>
      </c>
      <c r="B234" s="4" t="s">
        <v>481</v>
      </c>
      <c r="C234" s="284">
        <v>29149320.8899258</v>
      </c>
      <c r="D234" s="284">
        <v>6578190.1763229202</v>
      </c>
    </row>
    <row r="235" spans="1:4" hidden="1" outlineLevel="1">
      <c r="A235" s="4" t="s">
        <v>480</v>
      </c>
      <c r="B235" s="4" t="s">
        <v>479</v>
      </c>
      <c r="C235" s="284">
        <v>2648695.9420048301</v>
      </c>
      <c r="D235" s="284">
        <v>6144000</v>
      </c>
    </row>
    <row r="236" spans="1:4" hidden="1" outlineLevel="1">
      <c r="A236" s="4" t="s">
        <v>478</v>
      </c>
      <c r="B236" s="4" t="s">
        <v>477</v>
      </c>
      <c r="C236" s="284">
        <v>30755437.046912801</v>
      </c>
      <c r="D236" s="284">
        <v>6062009.9141232902</v>
      </c>
    </row>
    <row r="237" spans="1:4" hidden="1" outlineLevel="1">
      <c r="A237" s="4" t="s">
        <v>476</v>
      </c>
      <c r="B237" s="4" t="s">
        <v>475</v>
      </c>
      <c r="C237" s="284">
        <v>27022414.798766799</v>
      </c>
      <c r="D237" s="284">
        <v>5943749.5528359804</v>
      </c>
    </row>
    <row r="238" spans="1:4" hidden="1" outlineLevel="1">
      <c r="A238" s="4" t="s">
        <v>474</v>
      </c>
      <c r="B238" s="4" t="s">
        <v>473</v>
      </c>
      <c r="C238" s="284">
        <v>1935672.02733106</v>
      </c>
      <c r="D238" s="284">
        <v>5789381.6790974801</v>
      </c>
    </row>
    <row r="239" spans="1:4" hidden="1" outlineLevel="1">
      <c r="A239" s="4" t="s">
        <v>472</v>
      </c>
      <c r="B239" s="4" t="s">
        <v>471</v>
      </c>
      <c r="C239" s="284">
        <v>10794600.4499625</v>
      </c>
      <c r="D239" s="284">
        <v>5428550.7407865999</v>
      </c>
    </row>
    <row r="240" spans="1:4" hidden="1" outlineLevel="1">
      <c r="A240" s="4" t="s">
        <v>470</v>
      </c>
      <c r="B240" s="4" t="s">
        <v>469</v>
      </c>
      <c r="C240" s="284">
        <v>13337055.245396201</v>
      </c>
      <c r="D240" s="284">
        <v>5376327.2211698098</v>
      </c>
    </row>
    <row r="241" spans="1:4" hidden="1" outlineLevel="1">
      <c r="A241" s="4" t="s">
        <v>468</v>
      </c>
      <c r="B241" s="4" t="s">
        <v>467</v>
      </c>
      <c r="C241" s="284">
        <v>234833763.853012</v>
      </c>
      <c r="D241" s="284">
        <v>5076789.9254158698</v>
      </c>
    </row>
    <row r="242" spans="1:4" hidden="1" outlineLevel="1">
      <c r="A242" s="4" t="s">
        <v>466</v>
      </c>
      <c r="B242" s="4" t="s">
        <v>465</v>
      </c>
      <c r="C242" s="284">
        <v>7936255.3120573303</v>
      </c>
      <c r="D242" s="284">
        <v>4601931.9969341904</v>
      </c>
    </row>
    <row r="243" spans="1:4" hidden="1" outlineLevel="1">
      <c r="A243" s="4" t="s">
        <v>464</v>
      </c>
      <c r="B243" s="4" t="s">
        <v>463</v>
      </c>
      <c r="C243" s="284">
        <v>179223398.05016199</v>
      </c>
      <c r="D243" s="284">
        <v>4365333.7014371501</v>
      </c>
    </row>
    <row r="244" spans="1:4" hidden="1" outlineLevel="1">
      <c r="A244" s="4" t="s">
        <v>462</v>
      </c>
      <c r="B244" s="4" t="s">
        <v>461</v>
      </c>
      <c r="C244" s="284">
        <v>41346137.821848199</v>
      </c>
      <c r="D244" s="284">
        <v>4132626.3360997201</v>
      </c>
    </row>
    <row r="245" spans="1:4" hidden="1" outlineLevel="1">
      <c r="A245" s="4" t="s">
        <v>460</v>
      </c>
      <c r="B245" s="4" t="s">
        <v>459</v>
      </c>
      <c r="C245" s="284">
        <v>23073743.854678798</v>
      </c>
      <c r="D245" s="284">
        <v>3619876.5929974201</v>
      </c>
    </row>
    <row r="246" spans="1:4" hidden="1" outlineLevel="1">
      <c r="A246" s="4" t="s">
        <v>458</v>
      </c>
      <c r="B246" s="4" t="s">
        <v>457</v>
      </c>
      <c r="C246" s="284">
        <v>26999666.694442101</v>
      </c>
      <c r="D246" s="284">
        <v>3336000</v>
      </c>
    </row>
    <row r="247" spans="1:4" hidden="1" outlineLevel="1">
      <c r="A247" s="4" t="s">
        <v>456</v>
      </c>
      <c r="B247" s="4" t="s">
        <v>455</v>
      </c>
      <c r="C247" s="284">
        <v>3283643029.74752</v>
      </c>
      <c r="D247" s="284">
        <v>3227608.23848275</v>
      </c>
    </row>
    <row r="248" spans="1:4" hidden="1" outlineLevel="1">
      <c r="A248" s="4" t="s">
        <v>454</v>
      </c>
      <c r="B248" s="4" t="s">
        <v>453</v>
      </c>
      <c r="C248" s="284"/>
      <c r="D248" s="284">
        <v>2972881.4042395898</v>
      </c>
    </row>
    <row r="249" spans="1:4" hidden="1" outlineLevel="1">
      <c r="A249" s="4" t="s">
        <v>452</v>
      </c>
      <c r="B249" s="4" t="s">
        <v>451</v>
      </c>
      <c r="C249" s="284">
        <v>154000499.95833701</v>
      </c>
      <c r="D249" s="284">
        <v>2827473.2757307701</v>
      </c>
    </row>
    <row r="250" spans="1:4" hidden="1" outlineLevel="1">
      <c r="A250" s="4" t="s">
        <v>450</v>
      </c>
      <c r="B250" s="4" t="s">
        <v>449</v>
      </c>
      <c r="C250" s="284"/>
      <c r="D250" s="284">
        <v>2773055.4004202001</v>
      </c>
    </row>
    <row r="251" spans="1:4" hidden="1" outlineLevel="1">
      <c r="A251" s="4" t="s">
        <v>448</v>
      </c>
      <c r="B251" s="4" t="s">
        <v>447</v>
      </c>
      <c r="C251" s="284">
        <v>223222231.48071</v>
      </c>
      <c r="D251" s="284">
        <v>2663294.7561462498</v>
      </c>
    </row>
    <row r="252" spans="1:4" hidden="1" outlineLevel="1">
      <c r="A252" s="4" t="s">
        <v>446</v>
      </c>
      <c r="B252" s="4" t="s">
        <v>445</v>
      </c>
      <c r="C252" s="284">
        <v>1717148.5709524199</v>
      </c>
      <c r="D252" s="284">
        <v>2623736.9869155502</v>
      </c>
    </row>
    <row r="253" spans="1:4" hidden="1" outlineLevel="1">
      <c r="A253" s="4" t="s">
        <v>444</v>
      </c>
      <c r="B253" s="4" t="s">
        <v>443</v>
      </c>
      <c r="C253" s="284">
        <v>10169902.508124299</v>
      </c>
      <c r="D253" s="284">
        <v>2575504.9673781702</v>
      </c>
    </row>
    <row r="254" spans="1:4" hidden="1" outlineLevel="1">
      <c r="A254" s="4" t="s">
        <v>442</v>
      </c>
      <c r="B254" s="4" t="s">
        <v>441</v>
      </c>
      <c r="C254" s="284">
        <v>303358886.75943702</v>
      </c>
      <c r="D254" s="284">
        <v>2425776.4836019101</v>
      </c>
    </row>
    <row r="255" spans="1:4" hidden="1" outlineLevel="1">
      <c r="A255" s="4" t="s">
        <v>440</v>
      </c>
      <c r="B255" s="4" t="s">
        <v>439</v>
      </c>
      <c r="C255" s="284">
        <v>25899175.068744302</v>
      </c>
      <c r="D255" s="284">
        <v>2343407.2805299601</v>
      </c>
    </row>
    <row r="256" spans="1:4" hidden="1" outlineLevel="1">
      <c r="A256" s="4" t="s">
        <v>438</v>
      </c>
      <c r="B256" s="4" t="s">
        <v>437</v>
      </c>
      <c r="C256" s="284">
        <v>3222123.15640363</v>
      </c>
      <c r="D256" s="284">
        <v>2164714.2095875102</v>
      </c>
    </row>
    <row r="257" spans="1:4" hidden="1" outlineLevel="1">
      <c r="A257" s="4" t="s">
        <v>436</v>
      </c>
      <c r="B257" s="4" t="s">
        <v>435</v>
      </c>
      <c r="C257" s="284">
        <v>65910924.089659199</v>
      </c>
      <c r="D257" s="284">
        <v>2142630.5125792501</v>
      </c>
    </row>
    <row r="258" spans="1:4" hidden="1" outlineLevel="1">
      <c r="A258" s="4" t="s">
        <v>434</v>
      </c>
      <c r="B258" s="4" t="s">
        <v>433</v>
      </c>
      <c r="C258" s="284">
        <v>15124656.278643399</v>
      </c>
      <c r="D258" s="284">
        <v>1795861.3989806201</v>
      </c>
    </row>
    <row r="259" spans="1:4" hidden="1" outlineLevel="1">
      <c r="A259" s="4" t="s">
        <v>432</v>
      </c>
      <c r="B259" s="4" t="s">
        <v>431</v>
      </c>
      <c r="C259" s="284">
        <v>7265036.2469794201</v>
      </c>
      <c r="D259" s="284">
        <v>1746684.51203309</v>
      </c>
    </row>
    <row r="260" spans="1:4" hidden="1" outlineLevel="1">
      <c r="A260" s="4" t="s">
        <v>430</v>
      </c>
      <c r="B260" s="4" t="s">
        <v>429</v>
      </c>
      <c r="C260" s="284">
        <v>1329330.8890925799</v>
      </c>
      <c r="D260" s="284">
        <v>1491499.0477408899</v>
      </c>
    </row>
    <row r="261" spans="1:4" hidden="1" outlineLevel="1">
      <c r="A261" s="4" t="s">
        <v>428</v>
      </c>
      <c r="B261" s="4" t="s">
        <v>427</v>
      </c>
      <c r="C261" s="284">
        <v>11587701.0249146</v>
      </c>
      <c r="D261" s="284">
        <v>1302507.9627328401</v>
      </c>
    </row>
    <row r="262" spans="1:4" hidden="1" outlineLevel="1">
      <c r="A262" s="4" t="s">
        <v>426</v>
      </c>
      <c r="B262" s="4" t="s">
        <v>425</v>
      </c>
      <c r="C262" s="284">
        <v>4498125.1562369801</v>
      </c>
      <c r="D262" s="284">
        <v>990763.11337985098</v>
      </c>
    </row>
    <row r="263" spans="1:4" hidden="1" outlineLevel="1">
      <c r="A263" s="4" t="s">
        <v>424</v>
      </c>
      <c r="B263" s="4" t="s">
        <v>423</v>
      </c>
      <c r="C263" s="284">
        <v>600656611.94900405</v>
      </c>
      <c r="D263" s="284">
        <v>828967.73889793898</v>
      </c>
    </row>
    <row r="264" spans="1:4" hidden="1" outlineLevel="1">
      <c r="A264" s="4" t="s">
        <v>422</v>
      </c>
      <c r="B264" s="4" t="s">
        <v>421</v>
      </c>
      <c r="C264" s="284">
        <v>7780568.2859761696</v>
      </c>
      <c r="D264" s="284">
        <v>608345.38702100795</v>
      </c>
    </row>
    <row r="265" spans="1:4" hidden="1" outlineLevel="1">
      <c r="A265" s="4" t="s">
        <v>420</v>
      </c>
      <c r="B265" s="4" t="s">
        <v>419</v>
      </c>
      <c r="C265" s="284">
        <v>19588450.9624198</v>
      </c>
      <c r="D265" s="284">
        <v>566254.19319361995</v>
      </c>
    </row>
    <row r="266" spans="1:4" hidden="1" outlineLevel="1">
      <c r="A266" s="4" t="s">
        <v>418</v>
      </c>
      <c r="B266" s="4" t="s">
        <v>417</v>
      </c>
      <c r="C266" s="284">
        <v>17906007.832680602</v>
      </c>
      <c r="D266" s="284">
        <v>472194.77608985303</v>
      </c>
    </row>
    <row r="267" spans="1:4" hidden="1" outlineLevel="1">
      <c r="A267" s="4" t="s">
        <v>416</v>
      </c>
      <c r="B267" s="4" t="s">
        <v>415</v>
      </c>
      <c r="C267" s="284">
        <v>16983168.0693276</v>
      </c>
      <c r="D267" s="284">
        <v>345130.49149181601</v>
      </c>
    </row>
    <row r="268" spans="1:4" hidden="1" outlineLevel="1">
      <c r="A268" s="4" t="s">
        <v>414</v>
      </c>
      <c r="B268" s="4" t="s">
        <v>413</v>
      </c>
      <c r="C268" s="284">
        <v>35933255.562036499</v>
      </c>
      <c r="D268" s="284">
        <v>264600.77134509297</v>
      </c>
    </row>
    <row r="269" spans="1:4" hidden="1" outlineLevel="1">
      <c r="A269" s="4" t="s">
        <v>412</v>
      </c>
      <c r="B269" s="4" t="s">
        <v>411</v>
      </c>
      <c r="C269" s="284">
        <v>7364219.6483626403</v>
      </c>
      <c r="D269" s="284">
        <v>214347.44898737801</v>
      </c>
    </row>
    <row r="270" spans="1:4" hidden="1" outlineLevel="1">
      <c r="A270" s="4" t="s">
        <v>410</v>
      </c>
      <c r="B270" s="4" t="s">
        <v>409</v>
      </c>
      <c r="C270" s="284">
        <v>24447962.669777501</v>
      </c>
      <c r="D270" s="284">
        <v>164769.24119252499</v>
      </c>
    </row>
    <row r="271" spans="1:4" hidden="1" outlineLevel="1">
      <c r="A271" s="4" t="s">
        <v>408</v>
      </c>
      <c r="B271" s="4" t="s">
        <v>407</v>
      </c>
      <c r="C271" s="284">
        <v>38203399.716690302</v>
      </c>
      <c r="D271" s="284">
        <v>104451.97537533101</v>
      </c>
    </row>
    <row r="272" spans="1:4" hidden="1" outlineLevel="1">
      <c r="A272" s="4" t="s">
        <v>406</v>
      </c>
      <c r="B272" s="4" t="s">
        <v>405</v>
      </c>
      <c r="C272" s="284">
        <v>104783768.01933201</v>
      </c>
      <c r="D272" s="284">
        <v>101894.49812490599</v>
      </c>
    </row>
    <row r="273" spans="1:4" hidden="1" outlineLevel="1">
      <c r="A273" s="4" t="s">
        <v>404</v>
      </c>
      <c r="B273" s="4" t="s">
        <v>403</v>
      </c>
      <c r="C273" s="284">
        <v>73694025.497875199</v>
      </c>
      <c r="D273" s="284">
        <v>6276.28854691383</v>
      </c>
    </row>
    <row r="274" spans="1:4" hidden="1" outlineLevel="1">
      <c r="A274" s="4" t="s">
        <v>402</v>
      </c>
      <c r="B274" s="4" t="s">
        <v>401</v>
      </c>
      <c r="C274" s="284">
        <v>118723439.713357</v>
      </c>
      <c r="D274" s="284">
        <v>2940.6256268462098</v>
      </c>
    </row>
    <row r="275" spans="1:4" hidden="1" outlineLevel="1">
      <c r="A275" s="4" t="s">
        <v>400</v>
      </c>
      <c r="B275" s="4" t="s">
        <v>399</v>
      </c>
      <c r="C275" s="284">
        <v>14069827.5143738</v>
      </c>
      <c r="D275" s="284"/>
    </row>
    <row r="276" spans="1:4" hidden="1" outlineLevel="1">
      <c r="A276" s="4" t="s">
        <v>398</v>
      </c>
      <c r="B276" s="4" t="s">
        <v>397</v>
      </c>
      <c r="C276" s="284">
        <v>428427.63103074703</v>
      </c>
      <c r="D276" s="284"/>
    </row>
    <row r="277" spans="1:4" hidden="1" outlineLevel="1">
      <c r="A277" s="4" t="s">
        <v>396</v>
      </c>
      <c r="B277" s="4" t="s">
        <v>395</v>
      </c>
      <c r="C277" s="284"/>
      <c r="D277" s="284"/>
    </row>
    <row r="278" spans="1:4" hidden="1" outlineLevel="1">
      <c r="A278" s="4" t="s">
        <v>394</v>
      </c>
      <c r="B278" s="4" t="s">
        <v>393</v>
      </c>
      <c r="C278" s="284"/>
      <c r="D278" s="284"/>
    </row>
    <row r="279" spans="1:4" hidden="1" outlineLevel="1">
      <c r="A279" s="4" t="s">
        <v>392</v>
      </c>
      <c r="B279" s="4" t="s">
        <v>391</v>
      </c>
      <c r="C279" s="284">
        <v>246594450.46246099</v>
      </c>
      <c r="D279" s="284"/>
    </row>
    <row r="280" spans="1:4" hidden="1" outlineLevel="1">
      <c r="A280" s="4" t="s">
        <v>390</v>
      </c>
      <c r="B280" s="4" t="s">
        <v>389</v>
      </c>
      <c r="C280" s="284">
        <v>17317223.564702898</v>
      </c>
      <c r="D280" s="284"/>
    </row>
    <row r="281" spans="1:4" hidden="1" outlineLevel="1">
      <c r="A281" s="4" t="s">
        <v>388</v>
      </c>
      <c r="B281" s="4" t="s">
        <v>387</v>
      </c>
      <c r="C281" s="284"/>
      <c r="D281" s="284"/>
    </row>
    <row r="282" spans="1:4" hidden="1" outlineLevel="1">
      <c r="A282" s="4" t="s">
        <v>386</v>
      </c>
      <c r="B282" s="4" t="s">
        <v>385</v>
      </c>
      <c r="C282" s="284">
        <v>8696.6086159486695</v>
      </c>
      <c r="D282" s="284"/>
    </row>
    <row r="283" spans="1:4" hidden="1" outlineLevel="1">
      <c r="A283" s="4" t="s">
        <v>384</v>
      </c>
      <c r="B283" s="4" t="s">
        <v>383</v>
      </c>
      <c r="C283" s="284">
        <v>11312890.5924506</v>
      </c>
      <c r="D283" s="284"/>
    </row>
    <row r="284" spans="1:4" hidden="1" outlineLevel="1">
      <c r="A284" s="4" t="s">
        <v>382</v>
      </c>
      <c r="B284" s="4" t="s">
        <v>381</v>
      </c>
      <c r="C284" s="284"/>
      <c r="D284" s="284"/>
    </row>
    <row r="285" spans="1:4" hidden="1" outlineLevel="1">
      <c r="A285" s="4" t="s">
        <v>380</v>
      </c>
      <c r="B285" s="4" t="s">
        <v>379</v>
      </c>
      <c r="C285" s="284"/>
      <c r="D285" s="284"/>
    </row>
    <row r="286" spans="1:4" hidden="1" outlineLevel="1">
      <c r="A286" s="4" t="s">
        <v>378</v>
      </c>
      <c r="B286" s="4" t="s">
        <v>377</v>
      </c>
      <c r="C286" s="284"/>
      <c r="D286" s="284"/>
    </row>
    <row r="287" spans="1:4" hidden="1" outlineLevel="1">
      <c r="A287" s="4" t="s">
        <v>376</v>
      </c>
      <c r="B287" s="4" t="s">
        <v>375</v>
      </c>
      <c r="C287" s="284">
        <v>70716440.296641901</v>
      </c>
      <c r="D287" s="284"/>
    </row>
    <row r="288" spans="1:4" hidden="1" outlineLevel="1">
      <c r="A288" s="4" t="s">
        <v>374</v>
      </c>
      <c r="B288" s="4" t="s">
        <v>373</v>
      </c>
      <c r="C288" s="284"/>
      <c r="D288" s="284"/>
    </row>
    <row r="289" spans="1:4" hidden="1" outlineLevel="1">
      <c r="A289" s="4" t="s">
        <v>372</v>
      </c>
      <c r="B289" s="4" t="s">
        <v>371</v>
      </c>
      <c r="C289" s="284"/>
      <c r="D289" s="284"/>
    </row>
    <row r="290" spans="1:4" hidden="1" outlineLevel="1">
      <c r="A290" s="4" t="s">
        <v>370</v>
      </c>
      <c r="B290" s="4" t="s">
        <v>369</v>
      </c>
      <c r="C290" s="284"/>
      <c r="D290" s="284"/>
    </row>
    <row r="291" spans="1:4" hidden="1" outlineLevel="1">
      <c r="A291" s="4" t="s">
        <v>368</v>
      </c>
      <c r="B291" s="4" t="s">
        <v>367</v>
      </c>
      <c r="C291" s="284">
        <v>5861.7115240396597</v>
      </c>
      <c r="D291" s="284"/>
    </row>
    <row r="292" spans="1:4" hidden="1" outlineLevel="1">
      <c r="A292" s="4" t="s">
        <v>366</v>
      </c>
      <c r="B292" s="4" t="s">
        <v>365</v>
      </c>
      <c r="C292" s="284">
        <v>43121489.875843696</v>
      </c>
      <c r="D292" s="284"/>
    </row>
    <row r="293" spans="1:4" hidden="1" outlineLevel="1">
      <c r="A293" s="4" t="s">
        <v>364</v>
      </c>
      <c r="B293" s="4" t="s">
        <v>363</v>
      </c>
      <c r="C293" s="284"/>
      <c r="D293" s="284"/>
    </row>
    <row r="294" spans="1:4" hidden="1" outlineLevel="1">
      <c r="A294" s="4" t="s">
        <v>362</v>
      </c>
      <c r="B294" s="4" t="s">
        <v>361</v>
      </c>
      <c r="C294" s="284">
        <v>358290975.75202101</v>
      </c>
      <c r="D294" s="284"/>
    </row>
    <row r="295" spans="1:4" hidden="1" outlineLevel="1">
      <c r="A295" s="4" t="s">
        <v>360</v>
      </c>
      <c r="B295" s="4" t="s">
        <v>359</v>
      </c>
      <c r="C295" s="284"/>
      <c r="D295" s="284"/>
    </row>
    <row r="296" spans="1:4" hidden="1" outlineLevel="1">
      <c r="A296" s="4" t="s">
        <v>358</v>
      </c>
      <c r="B296" s="4" t="s">
        <v>357</v>
      </c>
      <c r="C296" s="284">
        <v>16471.4607116074</v>
      </c>
      <c r="D296" s="284"/>
    </row>
    <row r="297" spans="1:4" hidden="1" outlineLevel="1">
      <c r="A297" s="4" t="s">
        <v>356</v>
      </c>
      <c r="B297" s="4" t="s">
        <v>355</v>
      </c>
      <c r="C297" s="284"/>
      <c r="D297" s="284"/>
    </row>
    <row r="298" spans="1:4" hidden="1" outlineLevel="1">
      <c r="A298" s="4" t="s">
        <v>354</v>
      </c>
      <c r="B298" s="4" t="s">
        <v>353</v>
      </c>
      <c r="C298" s="284">
        <v>28746604.449629199</v>
      </c>
      <c r="D298" s="284"/>
    </row>
    <row r="299" spans="1:4" hidden="1" outlineLevel="1">
      <c r="A299" s="4" t="s">
        <v>352</v>
      </c>
      <c r="B299" s="4" t="s">
        <v>351</v>
      </c>
      <c r="C299" s="284">
        <v>3258820.0983251398</v>
      </c>
      <c r="D299" s="284"/>
    </row>
    <row r="300" spans="1:4" hidden="1" outlineLevel="1">
      <c r="A300" s="4" t="s">
        <v>350</v>
      </c>
      <c r="B300" s="4" t="s">
        <v>349</v>
      </c>
      <c r="C300" s="284">
        <v>27801099.908341002</v>
      </c>
      <c r="D300" s="284"/>
    </row>
    <row r="301" spans="1:4" hidden="1" outlineLevel="1">
      <c r="A301" s="4" t="s">
        <v>348</v>
      </c>
      <c r="B301" s="4" t="s">
        <v>347</v>
      </c>
      <c r="C301" s="284">
        <v>1300866594.45046</v>
      </c>
      <c r="D301" s="284"/>
    </row>
    <row r="302" spans="1:4" hidden="1" outlineLevel="1">
      <c r="A302" s="4" t="s">
        <v>346</v>
      </c>
      <c r="B302" s="4" t="s">
        <v>345</v>
      </c>
      <c r="C302" s="284">
        <v>18800099.991667401</v>
      </c>
      <c r="D302" s="284"/>
    </row>
    <row r="303" spans="1:4" hidden="1" outlineLevel="1">
      <c r="A303" s="4" t="s">
        <v>344</v>
      </c>
      <c r="B303" s="4" t="s">
        <v>343</v>
      </c>
      <c r="C303" s="284">
        <v>1054795433.71386</v>
      </c>
      <c r="D303" s="284"/>
    </row>
    <row r="304" spans="1:4" hidden="1" outlineLevel="1">
      <c r="A304" s="4" t="s">
        <v>342</v>
      </c>
      <c r="B304" s="4" t="s">
        <v>341</v>
      </c>
      <c r="C304" s="284"/>
      <c r="D304" s="284"/>
    </row>
    <row r="305" spans="1:4" hidden="1" outlineLevel="1">
      <c r="A305" s="4" t="s">
        <v>340</v>
      </c>
      <c r="B305" s="4" t="s">
        <v>339</v>
      </c>
      <c r="C305" s="284">
        <v>7083418.0484959604</v>
      </c>
      <c r="D305" s="284"/>
    </row>
    <row r="306" spans="1:4" hidden="1" outlineLevel="1">
      <c r="A306" s="4" t="s">
        <v>338</v>
      </c>
      <c r="B306" s="4" t="s">
        <v>337</v>
      </c>
      <c r="C306" s="284">
        <v>60678943.4213816</v>
      </c>
      <c r="D306" s="284"/>
    </row>
    <row r="307" spans="1:4" hidden="1" outlineLevel="1">
      <c r="A307" s="4" t="s">
        <v>336</v>
      </c>
      <c r="B307" s="4" t="s">
        <v>335</v>
      </c>
      <c r="C307" s="284"/>
      <c r="D307" s="284"/>
    </row>
    <row r="308" spans="1:4" hidden="1" outlineLevel="1">
      <c r="A308" s="4" t="s">
        <v>334</v>
      </c>
      <c r="B308" s="4" t="s">
        <v>333</v>
      </c>
      <c r="C308" s="284">
        <v>27574285.4762103</v>
      </c>
      <c r="D308" s="284"/>
    </row>
    <row r="309" spans="1:4" hidden="1" outlineLevel="1">
      <c r="A309" s="4" t="s">
        <v>332</v>
      </c>
      <c r="B309" s="4" t="s">
        <v>331</v>
      </c>
      <c r="C309" s="284"/>
      <c r="D309" s="284"/>
    </row>
    <row r="310" spans="1:4" hidden="1" outlineLevel="1">
      <c r="A310" s="4" t="s">
        <v>330</v>
      </c>
      <c r="B310" s="4" t="s">
        <v>329</v>
      </c>
      <c r="C310" s="284">
        <v>173938.838430131</v>
      </c>
      <c r="D310" s="284"/>
    </row>
    <row r="311" spans="1:4" hidden="1" outlineLevel="1">
      <c r="A311" s="4" t="s">
        <v>328</v>
      </c>
      <c r="B311" s="4" t="s">
        <v>327</v>
      </c>
      <c r="C311" s="284">
        <v>5102424.7979335096</v>
      </c>
      <c r="D311" s="284"/>
    </row>
    <row r="312" spans="1:4" hidden="1" outlineLevel="1">
      <c r="A312" s="4" t="s">
        <v>326</v>
      </c>
      <c r="B312" s="4" t="s">
        <v>325</v>
      </c>
      <c r="C312" s="284">
        <v>106300.308307641</v>
      </c>
      <c r="D312" s="284"/>
    </row>
    <row r="313" spans="1:4" hidden="1" outlineLevel="1">
      <c r="A313" s="4" t="s">
        <v>324</v>
      </c>
      <c r="B313" s="4" t="s">
        <v>323</v>
      </c>
      <c r="C313" s="284">
        <v>9199233.3972168993</v>
      </c>
      <c r="D313" s="284"/>
    </row>
    <row r="314" spans="1:4" hidden="1" outlineLevel="1">
      <c r="A314" s="4" t="s">
        <v>322</v>
      </c>
      <c r="B314" s="4" t="s">
        <v>321</v>
      </c>
      <c r="C314" s="284">
        <v>13693442.213148899</v>
      </c>
      <c r="D314" s="284"/>
    </row>
    <row r="315" spans="1:4" hidden="1" outlineLevel="1">
      <c r="A315" s="4" t="s">
        <v>320</v>
      </c>
      <c r="B315" s="4" t="s">
        <v>319</v>
      </c>
      <c r="C315" s="284">
        <v>28362219.815015402</v>
      </c>
      <c r="D315" s="284"/>
    </row>
    <row r="316" spans="1:4" hidden="1" outlineLevel="1">
      <c r="A316" s="4" t="s">
        <v>318</v>
      </c>
      <c r="B316" s="4" t="s">
        <v>317</v>
      </c>
      <c r="C316" s="284"/>
      <c r="D316" s="284"/>
    </row>
    <row r="317" spans="1:4" hidden="1" outlineLevel="1">
      <c r="A317" s="4" t="s">
        <v>316</v>
      </c>
      <c r="B317" s="4" t="s">
        <v>315</v>
      </c>
      <c r="C317" s="284"/>
      <c r="D317" s="284"/>
    </row>
    <row r="318" spans="1:4" hidden="1" outlineLevel="1">
      <c r="A318" s="4" t="s">
        <v>314</v>
      </c>
      <c r="B318" s="4" t="s">
        <v>313</v>
      </c>
      <c r="C318" s="284"/>
      <c r="D318" s="284"/>
    </row>
    <row r="319" spans="1:4" hidden="1" outlineLevel="1">
      <c r="A319" s="4" t="s">
        <v>312</v>
      </c>
      <c r="B319" s="4" t="s">
        <v>311</v>
      </c>
      <c r="C319" s="284">
        <v>73377885.176235303</v>
      </c>
      <c r="D319" s="284"/>
    </row>
    <row r="320" spans="1:4" hidden="1" outlineLevel="1">
      <c r="A320" s="4" t="s">
        <v>310</v>
      </c>
      <c r="B320" s="4" t="s">
        <v>309</v>
      </c>
      <c r="C320" s="284">
        <v>2338721.7731855698</v>
      </c>
      <c r="D320" s="284"/>
    </row>
    <row r="321" spans="1:4" hidden="1" outlineLevel="1">
      <c r="A321" s="4" t="s">
        <v>308</v>
      </c>
      <c r="B321" s="4" t="s">
        <v>307</v>
      </c>
      <c r="C321" s="284"/>
      <c r="D321" s="284"/>
    </row>
    <row r="322" spans="1:4" hidden="1" outlineLevel="1">
      <c r="A322" s="4" t="s">
        <v>306</v>
      </c>
      <c r="B322" s="4" t="s">
        <v>305</v>
      </c>
      <c r="C322" s="284"/>
      <c r="D322" s="284"/>
    </row>
    <row r="323" spans="1:4" hidden="1" outlineLevel="1">
      <c r="A323" s="4" t="s">
        <v>304</v>
      </c>
      <c r="B323" s="4" t="s">
        <v>303</v>
      </c>
      <c r="C323" s="284"/>
      <c r="D323" s="284"/>
    </row>
    <row r="324" spans="1:4" hidden="1" outlineLevel="1">
      <c r="A324" s="4" t="s">
        <v>302</v>
      </c>
      <c r="B324" s="4" t="s">
        <v>301</v>
      </c>
      <c r="C324" s="284">
        <v>1123.9563369719201</v>
      </c>
      <c r="D324" s="284"/>
    </row>
    <row r="325" spans="1:4" hidden="1" outlineLevel="1">
      <c r="A325" s="4" t="s">
        <v>300</v>
      </c>
      <c r="B325" s="4" t="s">
        <v>299</v>
      </c>
      <c r="C325" s="284"/>
      <c r="D325" s="284"/>
    </row>
    <row r="326" spans="1:4" hidden="1" outlineLevel="1">
      <c r="A326" s="4" t="s">
        <v>298</v>
      </c>
      <c r="B326" s="4" t="s">
        <v>297</v>
      </c>
      <c r="C326" s="284">
        <v>159921673.193901</v>
      </c>
      <c r="D326" s="284"/>
    </row>
    <row r="327" spans="1:4" hidden="1" outlineLevel="1">
      <c r="A327" s="4" t="s">
        <v>296</v>
      </c>
      <c r="B327" s="4" t="s">
        <v>295</v>
      </c>
      <c r="C327" s="284">
        <v>3779093.40888259</v>
      </c>
      <c r="D327" s="284"/>
    </row>
    <row r="328" spans="1:4" hidden="1" outlineLevel="1">
      <c r="A328" s="4" t="s">
        <v>294</v>
      </c>
      <c r="B328" s="4" t="s">
        <v>293</v>
      </c>
      <c r="C328" s="284"/>
      <c r="D328" s="284"/>
    </row>
    <row r="329" spans="1:4" hidden="1" outlineLevel="1">
      <c r="A329" s="4" t="s">
        <v>292</v>
      </c>
      <c r="B329" s="4" t="s">
        <v>291</v>
      </c>
      <c r="C329" s="284">
        <v>3930197.4835430402</v>
      </c>
      <c r="D329" s="284"/>
    </row>
    <row r="330" spans="1:4" hidden="1" outlineLevel="1">
      <c r="A330" s="4" t="s">
        <v>290</v>
      </c>
      <c r="B330" s="4" t="s">
        <v>289</v>
      </c>
      <c r="C330" s="284">
        <v>2263828.0143321399</v>
      </c>
      <c r="D330" s="284"/>
    </row>
    <row r="331" spans="1:4" hidden="1" outlineLevel="1">
      <c r="A331" s="4" t="s">
        <v>288</v>
      </c>
      <c r="B331" s="4" t="s">
        <v>287</v>
      </c>
      <c r="C331" s="284">
        <v>110825764.519623</v>
      </c>
      <c r="D331" s="284"/>
    </row>
    <row r="332" spans="1:4" hidden="1" outlineLevel="1">
      <c r="A332" s="4" t="s">
        <v>286</v>
      </c>
      <c r="B332" s="4" t="s">
        <v>285</v>
      </c>
      <c r="C332" s="284">
        <v>27748604.2829764</v>
      </c>
      <c r="D332" s="284"/>
    </row>
    <row r="333" spans="1:4" hidden="1" outlineLevel="1">
      <c r="A333" s="4" t="s">
        <v>284</v>
      </c>
      <c r="B333" s="4" t="s">
        <v>283</v>
      </c>
      <c r="C333" s="284">
        <v>9413132.2389800791</v>
      </c>
      <c r="D333" s="284"/>
    </row>
    <row r="334" spans="1:4" collapsed="1">
      <c r="A334" s="4" t="s">
        <v>282</v>
      </c>
      <c r="B334" s="4" t="s">
        <v>281</v>
      </c>
      <c r="C334" s="284">
        <v>19873427.214398801</v>
      </c>
      <c r="D334" s="284"/>
    </row>
    <row r="335" spans="1:4">
      <c r="C335" s="285">
        <f ca="1">SUM(C126:C335)</f>
        <v>202097996215.89896</v>
      </c>
      <c r="D335" s="285">
        <f ca="1">SUM(D126:D335)</f>
        <v>21486068504.2617</v>
      </c>
    </row>
    <row r="337" spans="1:4" ht="15" thickBot="1">
      <c r="A337" s="25" t="s">
        <v>836</v>
      </c>
      <c r="B337" s="25"/>
      <c r="C337" s="294">
        <f ca="1">C126/C335</f>
        <v>3.3092985200549778E-3</v>
      </c>
      <c r="D337" s="294">
        <f ca="1">D126/D335</f>
        <v>1.4651354199003895E-2</v>
      </c>
    </row>
    <row r="339" spans="1:4">
      <c r="B339" s="4" t="s">
        <v>2664</v>
      </c>
    </row>
    <row r="343" spans="1:4" ht="18">
      <c r="A343" s="32" t="s">
        <v>837</v>
      </c>
      <c r="B343" s="27"/>
      <c r="C343" s="27"/>
      <c r="D343" s="27"/>
    </row>
    <row r="344" spans="1:4">
      <c r="A344" s="283" t="s">
        <v>695</v>
      </c>
      <c r="B344" s="283" t="s">
        <v>694</v>
      </c>
      <c r="C344" s="283" t="s">
        <v>693</v>
      </c>
      <c r="D344" s="283" t="s">
        <v>692</v>
      </c>
    </row>
    <row r="345" spans="1:4">
      <c r="A345" s="4" t="str">
        <f>A126</f>
        <v>NCC GROUP PLC</v>
      </c>
      <c r="B345" s="4" t="str">
        <f>B126</f>
        <v>NCC LN Equity</v>
      </c>
      <c r="C345" s="286">
        <f>C126</f>
        <v>668802599.78335094</v>
      </c>
      <c r="D345" s="286">
        <f>D126</f>
        <v>314800000</v>
      </c>
    </row>
    <row r="346" spans="1:4">
      <c r="A346" s="4" t="str">
        <f>A128</f>
        <v>KAPE TECHNOLOGIE</v>
      </c>
      <c r="B346" s="4" t="str">
        <f>B128</f>
        <v>KAPE LN Equity</v>
      </c>
      <c r="C346" s="286">
        <f>C128</f>
        <v>1062619781.68486</v>
      </c>
      <c r="D346" s="286">
        <f>D128</f>
        <v>95192145.495626107</v>
      </c>
    </row>
    <row r="347" spans="1:4">
      <c r="A347" s="4" t="str">
        <f>A130</f>
        <v>CY4GATE SPA</v>
      </c>
      <c r="B347" s="4" t="str">
        <f>B130</f>
        <v>CY4 IM Equity</v>
      </c>
      <c r="C347" s="4">
        <f>C130</f>
        <v>182282309.80751601</v>
      </c>
      <c r="D347" s="4">
        <f>D130</f>
        <v>4598420.0723878499</v>
      </c>
    </row>
    <row r="348" spans="1:4">
      <c r="A348" s="4" t="str">
        <f>A129</f>
        <v>WITHSECURE OYJ</v>
      </c>
      <c r="B348" s="4" t="str">
        <f>B129</f>
        <v>WITH FH Equity</v>
      </c>
      <c r="C348" s="286">
        <f>C129</f>
        <v>231144071.327389</v>
      </c>
      <c r="D348" s="286">
        <f>D129</f>
        <v>111716698.55399901</v>
      </c>
    </row>
    <row r="349" spans="1:4">
      <c r="A349" s="4" t="str">
        <f>A133</f>
        <v>TREND MICRO INC</v>
      </c>
      <c r="B349" s="4" t="str">
        <f>B133</f>
        <v>4704 JP Equity</v>
      </c>
      <c r="C349" s="286">
        <f>C133</f>
        <v>6041363219.7316904</v>
      </c>
      <c r="D349" s="286">
        <f>D133</f>
        <v>1259903905.38801</v>
      </c>
    </row>
    <row r="350" spans="1:4">
      <c r="C350" s="287">
        <f>SUM(C345:C349)</f>
        <v>8186211982.3348064</v>
      </c>
      <c r="D350" s="287">
        <f>SUM(D345:D349)</f>
        <v>1786211169.5100231</v>
      </c>
    </row>
    <row r="352" spans="1:4" ht="15" thickBot="1">
      <c r="A352" s="25" t="str">
        <f>A337</f>
        <v>NCC share( %)</v>
      </c>
      <c r="B352" s="25"/>
      <c r="C352" s="295">
        <f>C345/C350</f>
        <v>8.1698666150665747E-2</v>
      </c>
      <c r="D352" s="295">
        <f>D345/D350</f>
        <v>0.17623896064111672</v>
      </c>
    </row>
    <row r="363" spans="1:18" ht="18">
      <c r="A363" s="298" t="s">
        <v>770</v>
      </c>
      <c r="B363" s="305"/>
      <c r="C363" s="305"/>
      <c r="D363" s="305"/>
      <c r="E363" s="305"/>
      <c r="F363" s="305"/>
      <c r="G363" s="305"/>
      <c r="H363" s="288"/>
      <c r="I363" s="288"/>
      <c r="J363" s="288"/>
      <c r="K363" s="288"/>
      <c r="L363" s="288"/>
      <c r="M363" s="288"/>
      <c r="N363" s="288"/>
      <c r="O363" s="288"/>
      <c r="P363" s="288"/>
      <c r="Q363" s="288"/>
      <c r="R363" s="288"/>
    </row>
    <row r="364" spans="1:18">
      <c r="A364" s="301" t="s">
        <v>272</v>
      </c>
      <c r="B364" s="302">
        <v>2020</v>
      </c>
      <c r="C364" s="302">
        <v>2021</v>
      </c>
      <c r="D364" s="302">
        <v>2022</v>
      </c>
      <c r="E364" s="302">
        <v>2023</v>
      </c>
      <c r="F364" s="302">
        <v>2024</v>
      </c>
      <c r="G364" s="302">
        <v>2025</v>
      </c>
      <c r="H364" s="288"/>
      <c r="I364" s="288"/>
      <c r="P364" s="288"/>
      <c r="Q364" s="288"/>
      <c r="R364" s="288"/>
    </row>
    <row r="365" spans="1:18">
      <c r="A365" s="208"/>
      <c r="B365" s="302" t="s">
        <v>704</v>
      </c>
      <c r="C365" s="302" t="s">
        <v>704</v>
      </c>
      <c r="D365" s="302" t="s">
        <v>704</v>
      </c>
      <c r="E365" s="302" t="s">
        <v>704</v>
      </c>
      <c r="F365" s="302" t="s">
        <v>704</v>
      </c>
      <c r="G365" s="302" t="s">
        <v>704</v>
      </c>
      <c r="H365" s="288"/>
      <c r="I365" s="288"/>
      <c r="J365" s="288"/>
      <c r="K365" s="288"/>
      <c r="L365" s="288"/>
      <c r="M365" s="288"/>
      <c r="N365" s="288"/>
      <c r="O365" s="288"/>
      <c r="P365" s="288"/>
      <c r="Q365" s="288"/>
      <c r="R365" s="288"/>
    </row>
    <row r="366" spans="1:18">
      <c r="A366" s="198" t="s">
        <v>699</v>
      </c>
      <c r="B366" s="304"/>
      <c r="C366" s="304">
        <v>135600000</v>
      </c>
      <c r="D366" s="304"/>
      <c r="E366" s="304">
        <v>161000000</v>
      </c>
      <c r="F366" s="304">
        <v>171000000</v>
      </c>
      <c r="G366" s="304">
        <v>183000000</v>
      </c>
      <c r="H366" s="288"/>
      <c r="P366" s="288"/>
      <c r="Q366" s="288"/>
      <c r="R366" s="288"/>
    </row>
    <row r="367" spans="1:18">
      <c r="A367" s="198"/>
      <c r="B367" s="304"/>
      <c r="C367" s="304"/>
      <c r="D367" s="304"/>
      <c r="E367" s="304"/>
      <c r="F367" s="304"/>
      <c r="G367" s="304"/>
      <c r="H367" s="288"/>
      <c r="P367" s="288"/>
      <c r="Q367" s="288"/>
      <c r="R367" s="288"/>
    </row>
    <row r="368" spans="1:18">
      <c r="A368" s="198" t="s">
        <v>698</v>
      </c>
      <c r="B368" s="304"/>
      <c r="C368" s="304"/>
      <c r="D368" s="304">
        <v>159000000</v>
      </c>
      <c r="E368" s="304">
        <v>182000000</v>
      </c>
      <c r="F368" s="304">
        <v>195000000</v>
      </c>
      <c r="G368" s="304">
        <v>208000000</v>
      </c>
      <c r="H368" s="288"/>
      <c r="P368" s="288"/>
      <c r="Q368" s="288"/>
      <c r="R368" s="288"/>
    </row>
    <row r="369" spans="1:18">
      <c r="A369" s="198"/>
      <c r="B369" s="304"/>
      <c r="C369" s="304"/>
      <c r="D369" s="304"/>
      <c r="E369" s="304"/>
      <c r="F369" s="304"/>
      <c r="G369" s="304"/>
      <c r="H369" s="288"/>
      <c r="P369" s="288"/>
      <c r="Q369" s="288"/>
      <c r="R369" s="288"/>
    </row>
    <row r="370" spans="1:18">
      <c r="A370" s="198" t="s">
        <v>697</v>
      </c>
      <c r="B370" s="304">
        <v>263700000</v>
      </c>
      <c r="C370" s="304">
        <v>270500000</v>
      </c>
      <c r="D370" s="304">
        <v>314800000</v>
      </c>
      <c r="E370" s="304">
        <v>343500000</v>
      </c>
      <c r="F370" s="304">
        <v>372000000</v>
      </c>
      <c r="G370" s="304">
        <v>405833333.32999998</v>
      </c>
      <c r="H370" s="288"/>
      <c r="P370" s="288"/>
      <c r="Q370" s="288"/>
      <c r="R370" s="288"/>
    </row>
    <row r="371" spans="1:18">
      <c r="A371" s="198" t="s">
        <v>696</v>
      </c>
      <c r="B371" s="304">
        <v>267666666.66999999</v>
      </c>
      <c r="C371" s="304">
        <v>296341666.67000002</v>
      </c>
      <c r="D371" s="304">
        <v>323833333.32999998</v>
      </c>
      <c r="E371" s="304">
        <v>355166666.67000002</v>
      </c>
      <c r="F371" s="304">
        <v>380166666.67000002</v>
      </c>
      <c r="G371" s="304">
        <v>429263888.88999999</v>
      </c>
      <c r="H371" s="288"/>
      <c r="P371" s="288"/>
      <c r="Q371" s="288"/>
      <c r="R371" s="288"/>
    </row>
    <row r="372" spans="1:18">
      <c r="A372" s="198"/>
      <c r="B372" s="300"/>
      <c r="C372" s="300"/>
      <c r="D372" s="300"/>
      <c r="E372" s="300"/>
      <c r="F372" s="300"/>
      <c r="G372" s="300"/>
      <c r="H372" s="288"/>
      <c r="P372" s="288"/>
      <c r="Q372" s="288"/>
      <c r="R372" s="288"/>
    </row>
    <row r="373" spans="1:18">
      <c r="A373" s="301" t="s">
        <v>838</v>
      </c>
      <c r="B373" s="302">
        <v>2020</v>
      </c>
      <c r="C373" s="302">
        <v>2021</v>
      </c>
      <c r="D373" s="302">
        <v>2022</v>
      </c>
      <c r="E373" s="302">
        <v>2023</v>
      </c>
      <c r="F373" s="302">
        <v>2024</v>
      </c>
      <c r="G373" s="302">
        <v>2025</v>
      </c>
      <c r="H373" s="288"/>
      <c r="P373" s="288"/>
      <c r="Q373" s="288"/>
      <c r="R373" s="288"/>
    </row>
    <row r="374" spans="1:18">
      <c r="A374" s="198" t="s">
        <v>699</v>
      </c>
      <c r="B374" s="300"/>
      <c r="C374" s="300"/>
      <c r="D374" s="300"/>
      <c r="E374" s="300"/>
      <c r="F374" s="303">
        <v>6.2100000000000002E-2</v>
      </c>
      <c r="G374" s="303">
        <v>7.0199999999999999E-2</v>
      </c>
      <c r="H374" s="288"/>
      <c r="I374" s="288"/>
      <c r="J374" s="288"/>
      <c r="K374" s="288"/>
      <c r="L374" s="288"/>
      <c r="M374" s="288"/>
      <c r="N374" s="288"/>
      <c r="O374" s="288"/>
      <c r="P374" s="288"/>
      <c r="Q374" s="288"/>
      <c r="R374" s="288"/>
    </row>
    <row r="375" spans="1:18">
      <c r="A375" s="198"/>
      <c r="B375" s="300"/>
      <c r="C375" s="300"/>
      <c r="D375" s="300"/>
      <c r="E375" s="300"/>
      <c r="F375" s="300"/>
      <c r="G375" s="300"/>
      <c r="H375" s="288"/>
      <c r="I375" s="288"/>
      <c r="J375" s="288"/>
      <c r="K375" s="288"/>
      <c r="L375" s="288"/>
      <c r="M375" s="288"/>
      <c r="N375" s="288"/>
      <c r="O375" s="288"/>
      <c r="P375" s="288"/>
      <c r="Q375" s="288"/>
      <c r="R375" s="288"/>
    </row>
    <row r="376" spans="1:18">
      <c r="A376" s="198" t="s">
        <v>698</v>
      </c>
      <c r="B376" s="300"/>
      <c r="C376" s="300"/>
      <c r="D376" s="300"/>
      <c r="E376" s="303">
        <v>0.1447</v>
      </c>
      <c r="F376" s="303">
        <v>7.1400000000000005E-2</v>
      </c>
      <c r="G376" s="303">
        <v>6.6699999999999995E-2</v>
      </c>
      <c r="H376" s="288"/>
      <c r="I376" s="288"/>
      <c r="J376" s="288"/>
      <c r="K376" s="288"/>
      <c r="L376" s="288"/>
      <c r="M376" s="288"/>
      <c r="N376" s="288"/>
      <c r="O376" s="288"/>
      <c r="P376" s="288"/>
      <c r="Q376" s="288"/>
      <c r="R376" s="288"/>
    </row>
    <row r="377" spans="1:18">
      <c r="A377" s="198"/>
      <c r="B377" s="300"/>
      <c r="C377" s="300"/>
      <c r="D377" s="300"/>
      <c r="E377" s="300"/>
      <c r="F377" s="300"/>
      <c r="G377" s="300"/>
      <c r="H377" s="288"/>
      <c r="I377" s="288"/>
      <c r="J377" s="288"/>
      <c r="K377" s="288"/>
      <c r="L377" s="288"/>
      <c r="M377" s="288"/>
      <c r="N377" s="288"/>
      <c r="O377" s="288"/>
      <c r="P377" s="288"/>
      <c r="Q377" s="288"/>
      <c r="R377" s="288"/>
    </row>
    <row r="378" spans="1:18">
      <c r="A378" s="198" t="s">
        <v>697</v>
      </c>
      <c r="B378" s="303">
        <v>5.1900000000000002E-2</v>
      </c>
      <c r="C378" s="303">
        <v>2.58E-2</v>
      </c>
      <c r="D378" s="303">
        <v>0.1638</v>
      </c>
      <c r="E378" s="303">
        <v>9.1200000000000003E-2</v>
      </c>
      <c r="F378" s="303">
        <v>8.3000000000000004E-2</v>
      </c>
      <c r="G378" s="303">
        <v>9.0899999999999995E-2</v>
      </c>
      <c r="H378" s="288"/>
      <c r="I378" s="288"/>
      <c r="J378" s="288"/>
      <c r="K378" s="288"/>
      <c r="L378" s="288"/>
      <c r="M378" s="288"/>
      <c r="N378" s="288"/>
      <c r="O378" s="288"/>
      <c r="P378" s="288"/>
      <c r="Q378" s="288"/>
      <c r="R378" s="288"/>
    </row>
    <row r="379" spans="1:18">
      <c r="A379" s="198" t="s">
        <v>696</v>
      </c>
      <c r="B379" s="303">
        <v>3.6299999999999999E-2</v>
      </c>
      <c r="C379" s="303">
        <v>0.1071</v>
      </c>
      <c r="D379" s="303">
        <v>9.2799999999999994E-2</v>
      </c>
      <c r="E379" s="303">
        <v>9.6799999999999997E-2</v>
      </c>
      <c r="F379" s="303">
        <v>7.0400000000000004E-2</v>
      </c>
      <c r="G379" s="303">
        <v>0.12909999999999999</v>
      </c>
      <c r="H379" s="288"/>
      <c r="I379" s="288"/>
      <c r="J379" s="288"/>
      <c r="K379" s="288"/>
      <c r="L379" s="288"/>
      <c r="M379" s="288"/>
      <c r="N379" s="288"/>
      <c r="O379" s="288"/>
      <c r="P379" s="288"/>
      <c r="Q379" s="288"/>
      <c r="R379" s="288"/>
    </row>
    <row r="380" spans="1:18">
      <c r="A380" s="288"/>
      <c r="B380" s="299"/>
      <c r="C380" s="299"/>
      <c r="D380" s="299"/>
      <c r="E380" s="299"/>
      <c r="F380" s="299"/>
      <c r="G380" s="299"/>
      <c r="H380" s="288"/>
      <c r="I380" s="288"/>
      <c r="J380" s="288"/>
      <c r="K380" s="288"/>
      <c r="L380" s="288"/>
      <c r="M380" s="288"/>
      <c r="N380" s="288"/>
      <c r="O380" s="288"/>
      <c r="P380" s="288"/>
      <c r="Q380" s="288"/>
      <c r="R380" s="288"/>
    </row>
    <row r="381" spans="1:18">
      <c r="A381" s="288"/>
      <c r="B381" s="288"/>
      <c r="C381" s="288"/>
      <c r="D381" s="288"/>
      <c r="E381" s="288"/>
      <c r="F381" s="288"/>
      <c r="G381" s="288"/>
      <c r="H381" s="288"/>
      <c r="I381" s="288"/>
      <c r="J381" s="288"/>
      <c r="K381" s="288"/>
      <c r="L381" s="288"/>
      <c r="M381" s="288"/>
      <c r="N381" s="288"/>
      <c r="O381" s="288"/>
      <c r="P381" s="288"/>
      <c r="Q381" s="288"/>
      <c r="R381" s="288"/>
    </row>
    <row r="382" spans="1:18">
      <c r="A382" s="288"/>
      <c r="B382" s="288"/>
      <c r="C382" s="288"/>
      <c r="D382" s="288"/>
      <c r="E382" s="288"/>
      <c r="F382" s="288"/>
      <c r="G382" s="288"/>
      <c r="H382" s="288"/>
      <c r="I382" s="288"/>
      <c r="J382" s="288"/>
      <c r="K382" s="288"/>
      <c r="L382" s="288"/>
      <c r="M382" s="288"/>
      <c r="N382" s="288"/>
      <c r="O382" s="288"/>
      <c r="P382" s="288"/>
      <c r="Q382" s="288"/>
      <c r="R382" s="288"/>
    </row>
    <row r="383" spans="1:18">
      <c r="A383" s="288"/>
      <c r="B383" s="288"/>
      <c r="C383" s="288"/>
      <c r="D383" s="288"/>
      <c r="E383" s="288"/>
      <c r="F383" s="288"/>
      <c r="G383" s="288"/>
      <c r="H383" s="288"/>
      <c r="I383" s="288"/>
      <c r="J383" s="288"/>
      <c r="K383" s="288"/>
      <c r="L383" s="288"/>
      <c r="M383" s="288"/>
      <c r="N383" s="288"/>
      <c r="O383" s="288"/>
      <c r="P383" s="288"/>
      <c r="Q383" s="288"/>
      <c r="R383" s="288"/>
    </row>
    <row r="384" spans="1:18">
      <c r="A384" s="198"/>
      <c r="B384" s="198"/>
      <c r="C384" s="198"/>
      <c r="D384" s="198"/>
      <c r="E384" s="198"/>
      <c r="F384" s="198"/>
      <c r="G384" s="198"/>
      <c r="H384" s="288"/>
      <c r="I384" s="288"/>
      <c r="J384" s="288"/>
      <c r="K384" s="288"/>
      <c r="L384" s="288"/>
      <c r="M384" s="288"/>
      <c r="N384" s="288"/>
      <c r="O384" s="288"/>
      <c r="P384" s="288"/>
      <c r="Q384" s="288"/>
      <c r="R384" s="288"/>
    </row>
    <row r="385" spans="1:18">
      <c r="A385" s="288"/>
      <c r="B385" s="288"/>
      <c r="C385" s="288"/>
      <c r="D385" s="288"/>
      <c r="E385" s="288"/>
      <c r="F385" s="288"/>
      <c r="G385" s="288"/>
      <c r="H385" s="288"/>
      <c r="I385" s="288"/>
      <c r="J385" s="288"/>
      <c r="K385" s="288"/>
      <c r="L385" s="288"/>
      <c r="M385" s="288"/>
      <c r="N385" s="288"/>
      <c r="O385" s="288"/>
      <c r="P385" s="288"/>
      <c r="Q385" s="288"/>
      <c r="R385" s="288"/>
    </row>
    <row r="387" spans="1:18" ht="19">
      <c r="A387" s="349" t="s">
        <v>921</v>
      </c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  <c r="L387" s="318"/>
      <c r="M387" s="318"/>
      <c r="N387" s="318"/>
      <c r="O387" s="319" t="s">
        <v>920</v>
      </c>
      <c r="P387" s="318">
        <v>1</v>
      </c>
      <c r="Q387" s="318"/>
    </row>
    <row r="388" spans="1:18" ht="19">
      <c r="A388" s="349" t="s">
        <v>919</v>
      </c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18"/>
      <c r="M388" s="318"/>
      <c r="N388" s="318"/>
      <c r="O388" s="319" t="s">
        <v>913</v>
      </c>
      <c r="P388" s="318">
        <v>2</v>
      </c>
      <c r="Q388" s="318"/>
    </row>
    <row r="389" spans="1:18" ht="17" thickBot="1">
      <c r="A389" s="348" t="s">
        <v>918</v>
      </c>
      <c r="B389" s="347"/>
      <c r="C389" s="347"/>
      <c r="D389" s="347"/>
      <c r="E389" s="347"/>
      <c r="F389" s="347"/>
      <c r="G389" s="347"/>
      <c r="H389" s="347"/>
      <c r="I389" s="347"/>
      <c r="J389" s="347"/>
      <c r="K389" s="347"/>
      <c r="L389" s="347"/>
      <c r="M389" s="347"/>
      <c r="N389" s="347"/>
      <c r="O389" s="347"/>
      <c r="P389" s="347">
        <v>3</v>
      </c>
      <c r="Q389" s="347"/>
    </row>
    <row r="390" spans="1:18" ht="16" thickBot="1">
      <c r="A390" s="320" t="s">
        <v>917</v>
      </c>
      <c r="B390" s="320"/>
      <c r="C390" s="346">
        <v>2</v>
      </c>
      <c r="D390" s="320" t="s">
        <v>916</v>
      </c>
      <c r="E390" s="320"/>
      <c r="F390" s="320"/>
      <c r="G390" s="320"/>
      <c r="H390" s="320"/>
      <c r="I390" s="320" t="s">
        <v>915</v>
      </c>
      <c r="J390" s="320"/>
      <c r="K390" s="319"/>
      <c r="L390" s="319"/>
      <c r="M390" s="319"/>
      <c r="N390" s="319"/>
      <c r="O390" s="319"/>
      <c r="P390" s="319"/>
      <c r="Q390" s="319"/>
    </row>
    <row r="391" spans="1:18" ht="15">
      <c r="A391" s="320" t="s">
        <v>914</v>
      </c>
      <c r="B391" s="320"/>
      <c r="C391" s="320"/>
      <c r="D391" s="320"/>
      <c r="E391" s="320"/>
      <c r="F391" s="345" t="s">
        <v>913</v>
      </c>
      <c r="G391" s="320" t="s">
        <v>912</v>
      </c>
      <c r="H391" s="320"/>
      <c r="I391" s="320"/>
      <c r="J391" s="320"/>
      <c r="K391" s="319"/>
      <c r="L391" s="319"/>
      <c r="M391" s="319"/>
      <c r="N391" s="319"/>
      <c r="O391" s="319"/>
      <c r="P391" s="319"/>
      <c r="Q391" s="319"/>
    </row>
    <row r="392" spans="1:18" ht="16" thickBot="1">
      <c r="A392" s="320" t="s">
        <v>911</v>
      </c>
      <c r="B392" s="320"/>
      <c r="C392" s="320"/>
      <c r="D392" s="320"/>
      <c r="E392" s="320"/>
      <c r="F392" s="344">
        <v>50</v>
      </c>
      <c r="G392" s="320" t="s">
        <v>910</v>
      </c>
      <c r="H392" s="320"/>
      <c r="I392" s="320"/>
      <c r="J392" s="320"/>
      <c r="K392" s="319"/>
      <c r="L392" s="319"/>
      <c r="M392" s="319"/>
      <c r="N392" s="319"/>
      <c r="O392" s="319"/>
      <c r="P392" s="319"/>
      <c r="Q392" s="319"/>
    </row>
    <row r="393" spans="1:18" ht="16" thickBot="1">
      <c r="A393" s="320" t="s">
        <v>909</v>
      </c>
      <c r="B393" s="320"/>
      <c r="C393" s="320"/>
      <c r="D393" s="320"/>
      <c r="E393" s="320"/>
      <c r="F393" s="343">
        <v>8</v>
      </c>
      <c r="G393" s="320" t="s">
        <v>908</v>
      </c>
      <c r="H393" s="320"/>
      <c r="I393" s="320"/>
      <c r="J393" s="320"/>
      <c r="K393" s="319"/>
      <c r="L393" s="319"/>
      <c r="M393" s="319"/>
      <c r="N393" s="319"/>
      <c r="O393" s="319"/>
      <c r="P393" s="319"/>
      <c r="Q393" s="319"/>
    </row>
    <row r="394" spans="1:18" ht="16" thickBot="1">
      <c r="A394" s="320" t="s">
        <v>907</v>
      </c>
      <c r="B394" s="320"/>
      <c r="C394" s="320"/>
      <c r="D394" s="320"/>
      <c r="E394" s="320"/>
      <c r="F394" s="342">
        <v>0.03</v>
      </c>
      <c r="G394" s="320"/>
      <c r="H394" s="320"/>
      <c r="I394" s="320"/>
      <c r="J394" s="320"/>
      <c r="K394" s="319"/>
      <c r="L394" s="319"/>
      <c r="M394" s="319"/>
      <c r="N394" s="319"/>
      <c r="O394" s="319"/>
      <c r="P394" s="319"/>
      <c r="Q394" s="319"/>
    </row>
    <row r="395" spans="1:18" ht="16" thickBot="1">
      <c r="A395" s="334" t="s">
        <v>906</v>
      </c>
      <c r="B395" s="320"/>
      <c r="C395" s="320"/>
      <c r="D395" s="320"/>
      <c r="E395" s="320"/>
      <c r="F395" s="320"/>
      <c r="G395" s="320"/>
      <c r="H395" s="320"/>
      <c r="I395" s="320"/>
      <c r="J395" s="320"/>
      <c r="K395" s="319"/>
      <c r="L395" s="319"/>
      <c r="M395" s="319"/>
      <c r="N395" s="319"/>
      <c r="O395" s="319"/>
      <c r="P395" s="319"/>
      <c r="Q395" s="319"/>
    </row>
    <row r="396" spans="1:18" ht="16" thickBot="1">
      <c r="A396" s="320" t="s">
        <v>905</v>
      </c>
      <c r="B396" s="320"/>
      <c r="C396" s="320"/>
      <c r="D396" s="341">
        <f>IF(F391="Yes",'[3]Operating Leases'!F32/('Ratios Tables'!F393+'[3]Operating Leases'!C29*'Ratios Tables'!D399),IF('Ratios Tables'!F393&gt;0,'Ratios Tables'!F392/'Ratios Tables'!F393,100000))</f>
        <v>6.25</v>
      </c>
      <c r="E396" s="320"/>
      <c r="F396" s="320"/>
      <c r="G396" s="320"/>
      <c r="H396" s="320"/>
      <c r="I396" s="320"/>
      <c r="J396" s="320"/>
      <c r="K396" s="319"/>
      <c r="L396" s="319"/>
      <c r="M396" s="319"/>
      <c r="N396" s="319"/>
      <c r="O396" s="319"/>
      <c r="P396" s="319"/>
      <c r="Q396" s="319"/>
    </row>
    <row r="397" spans="1:18" ht="16" thickBot="1">
      <c r="A397" s="320" t="s">
        <v>904</v>
      </c>
      <c r="B397" s="319"/>
      <c r="C397" s="319"/>
      <c r="D397" s="340" t="str">
        <f>IF(C390=1,VLOOKUP(D396,A405:D419,3),(IF(C390=2,VLOOKUP(D396,A424:D438,3),VLOOKUP(D396,F405:I419,3))))</f>
        <v>A2/A</v>
      </c>
      <c r="E397" s="319"/>
      <c r="F397" s="338" t="s">
        <v>903</v>
      </c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</row>
    <row r="398" spans="1:18" ht="16" thickBot="1">
      <c r="A398" s="320" t="s">
        <v>902</v>
      </c>
      <c r="B398" s="319"/>
      <c r="C398" s="319"/>
      <c r="D398" s="339">
        <f>IF(C390=1,VLOOKUP(D396,A405:D419,4),(IF(C390=2,VLOOKUP(D396,A424:D438,4),VLOOKUP(D396,F405:I419,4))))</f>
        <v>1.18E-2</v>
      </c>
      <c r="E398" s="319"/>
      <c r="F398" s="338" t="s">
        <v>901</v>
      </c>
      <c r="G398" s="319"/>
      <c r="H398" s="319"/>
      <c r="I398" s="319"/>
      <c r="J398" s="319"/>
      <c r="K398" s="319"/>
      <c r="L398" s="319"/>
      <c r="M398" s="319"/>
      <c r="N398" s="319"/>
      <c r="O398" s="319"/>
      <c r="P398" s="319"/>
      <c r="Q398" s="319"/>
    </row>
    <row r="399" spans="1:18" ht="16" thickBot="1">
      <c r="A399" s="320" t="s">
        <v>900</v>
      </c>
      <c r="B399" s="320"/>
      <c r="C399" s="320"/>
      <c r="D399" s="337">
        <f>F394+D398</f>
        <v>4.1799999999999997E-2</v>
      </c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</row>
    <row r="400" spans="1:18" ht="15">
      <c r="A400" s="320"/>
      <c r="B400" s="320"/>
      <c r="C400" s="320"/>
      <c r="D400" s="336"/>
      <c r="E400" s="320"/>
      <c r="F400" s="320"/>
      <c r="G400" s="320"/>
      <c r="H400" s="320"/>
      <c r="I400" s="320"/>
      <c r="J400" s="320"/>
      <c r="K400" s="320"/>
      <c r="L400" s="320"/>
      <c r="M400" s="320"/>
      <c r="N400" s="320"/>
      <c r="O400" s="320"/>
      <c r="P400" s="320"/>
      <c r="Q400" s="320"/>
    </row>
    <row r="401" spans="1:17" ht="15">
      <c r="A401" s="331" t="s">
        <v>899</v>
      </c>
      <c r="B401" s="331"/>
      <c r="C401" s="331"/>
      <c r="D401" s="335"/>
      <c r="E401" s="331"/>
      <c r="F401" s="331"/>
      <c r="G401" s="331"/>
      <c r="H401" s="331"/>
      <c r="I401" s="331"/>
      <c r="J401" s="331"/>
      <c r="K401" s="331"/>
      <c r="L401" s="331"/>
      <c r="M401" s="331"/>
      <c r="N401" s="331"/>
      <c r="O401" s="331"/>
      <c r="P401" s="331"/>
      <c r="Q401" s="331"/>
    </row>
    <row r="402" spans="1:17" ht="15">
      <c r="A402" s="334" t="s">
        <v>898</v>
      </c>
      <c r="B402" s="319"/>
      <c r="C402" s="319"/>
      <c r="D402" s="319"/>
      <c r="E402" s="319"/>
      <c r="F402" s="334" t="s">
        <v>897</v>
      </c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</row>
    <row r="403" spans="1:17" ht="15">
      <c r="A403" s="333" t="s">
        <v>893</v>
      </c>
      <c r="B403" s="333"/>
      <c r="C403" s="332"/>
      <c r="D403" s="332"/>
      <c r="E403" s="319"/>
      <c r="F403" s="331" t="s">
        <v>896</v>
      </c>
      <c r="G403" s="330"/>
      <c r="H403" s="320"/>
      <c r="I403" s="320"/>
      <c r="J403" s="320"/>
      <c r="K403" s="319"/>
      <c r="L403" s="319"/>
      <c r="M403" s="319"/>
      <c r="N403" s="319"/>
      <c r="O403" s="319"/>
      <c r="P403" s="319"/>
      <c r="Q403" s="319"/>
    </row>
    <row r="404" spans="1:17" ht="15">
      <c r="A404" s="329" t="s">
        <v>895</v>
      </c>
      <c r="B404" s="329" t="s">
        <v>891</v>
      </c>
      <c r="C404" s="329" t="s">
        <v>890</v>
      </c>
      <c r="D404" s="329" t="s">
        <v>889</v>
      </c>
      <c r="E404" s="319"/>
      <c r="F404" s="327" t="s">
        <v>892</v>
      </c>
      <c r="G404" s="327" t="s">
        <v>891</v>
      </c>
      <c r="H404" s="327" t="s">
        <v>890</v>
      </c>
      <c r="I404" s="327" t="s">
        <v>889</v>
      </c>
      <c r="J404" s="319"/>
      <c r="K404" s="319"/>
      <c r="L404" s="319"/>
      <c r="M404" s="319"/>
      <c r="N404" s="319"/>
      <c r="O404" s="319"/>
      <c r="P404" s="319"/>
      <c r="Q404" s="319"/>
    </row>
    <row r="405" spans="1:17" ht="15">
      <c r="A405" s="322">
        <v>-100000</v>
      </c>
      <c r="B405" s="322">
        <v>0.19999900000000001</v>
      </c>
      <c r="C405" s="322" t="s">
        <v>888</v>
      </c>
      <c r="D405" s="321">
        <v>0.1744</v>
      </c>
      <c r="E405" s="319"/>
      <c r="F405" s="327">
        <v>-100000</v>
      </c>
      <c r="G405" s="327">
        <v>4.9999000000000002E-2</v>
      </c>
      <c r="H405" s="326" t="s">
        <v>888</v>
      </c>
      <c r="I405" s="325">
        <v>0.1744</v>
      </c>
      <c r="J405" s="319"/>
      <c r="K405" s="319"/>
      <c r="L405" s="319"/>
      <c r="M405" s="319"/>
      <c r="N405" s="319"/>
      <c r="O405" s="319"/>
      <c r="P405" s="319"/>
      <c r="Q405" s="319"/>
    </row>
    <row r="406" spans="1:17" ht="15">
      <c r="A406" s="322">
        <v>0.2</v>
      </c>
      <c r="B406" s="322">
        <v>0.64999899999999999</v>
      </c>
      <c r="C406" s="322" t="s">
        <v>887</v>
      </c>
      <c r="D406" s="321">
        <v>0.13089999999999999</v>
      </c>
      <c r="E406" s="319"/>
      <c r="F406" s="327">
        <v>0.05</v>
      </c>
      <c r="G406" s="327">
        <v>9.9999000000000005E-2</v>
      </c>
      <c r="H406" s="326" t="s">
        <v>887</v>
      </c>
      <c r="I406" s="325">
        <v>0.13089999999999999</v>
      </c>
      <c r="J406" s="319"/>
      <c r="K406" s="319"/>
      <c r="L406" s="319"/>
      <c r="M406" s="319"/>
      <c r="N406" s="319"/>
      <c r="O406" s="319"/>
      <c r="P406" s="319"/>
      <c r="Q406" s="319"/>
    </row>
    <row r="407" spans="1:17" ht="15">
      <c r="A407" s="322">
        <v>0.65</v>
      </c>
      <c r="B407" s="322">
        <v>0.79999900000000002</v>
      </c>
      <c r="C407" s="322" t="s">
        <v>886</v>
      </c>
      <c r="D407" s="321">
        <v>9.9699999999999997E-2</v>
      </c>
      <c r="E407" s="319"/>
      <c r="F407" s="327">
        <v>0.1</v>
      </c>
      <c r="G407" s="327">
        <v>0.19999900000000001</v>
      </c>
      <c r="H407" s="326" t="s">
        <v>886</v>
      </c>
      <c r="I407" s="325">
        <v>9.9699999999999997E-2</v>
      </c>
      <c r="J407" s="319"/>
      <c r="K407" s="319"/>
      <c r="L407" s="319"/>
      <c r="M407" s="319"/>
      <c r="N407" s="319"/>
      <c r="O407" s="319"/>
      <c r="P407" s="319"/>
      <c r="Q407" s="319"/>
    </row>
    <row r="408" spans="1:17" ht="15">
      <c r="A408" s="322">
        <v>0.8</v>
      </c>
      <c r="B408" s="322">
        <v>1.2499990000000001</v>
      </c>
      <c r="C408" s="322" t="s">
        <v>885</v>
      </c>
      <c r="D408" s="321">
        <v>9.4600000000000004E-2</v>
      </c>
      <c r="E408" s="319"/>
      <c r="F408" s="327">
        <v>0.2</v>
      </c>
      <c r="G408" s="327">
        <v>0.29999900000000002</v>
      </c>
      <c r="H408" s="326" t="s">
        <v>885</v>
      </c>
      <c r="I408" s="325">
        <v>9.4600000000000004E-2</v>
      </c>
      <c r="J408" s="319"/>
      <c r="K408" s="319"/>
      <c r="L408" s="319"/>
      <c r="M408" s="319"/>
      <c r="N408" s="319"/>
      <c r="O408" s="319"/>
      <c r="P408" s="319"/>
      <c r="Q408" s="319"/>
    </row>
    <row r="409" spans="1:17" ht="15">
      <c r="A409" s="322">
        <v>1.25</v>
      </c>
      <c r="B409" s="322">
        <v>1.4999990000000001</v>
      </c>
      <c r="C409" s="322" t="s">
        <v>884</v>
      </c>
      <c r="D409" s="321">
        <v>5.9400000000000001E-2</v>
      </c>
      <c r="E409" s="319"/>
      <c r="F409" s="327">
        <v>0.3</v>
      </c>
      <c r="G409" s="327">
        <v>0.39999899999999999</v>
      </c>
      <c r="H409" s="326" t="s">
        <v>884</v>
      </c>
      <c r="I409" s="325">
        <v>5.9400000000000001E-2</v>
      </c>
      <c r="J409" s="319"/>
      <c r="K409" s="319"/>
      <c r="L409" s="319"/>
      <c r="M409" s="319"/>
      <c r="N409" s="319"/>
      <c r="O409" s="319"/>
      <c r="P409" s="319"/>
      <c r="Q409" s="319"/>
    </row>
    <row r="410" spans="1:17" ht="15">
      <c r="A410" s="322">
        <v>1.5</v>
      </c>
      <c r="B410" s="322">
        <v>1.7499990000000001</v>
      </c>
      <c r="C410" s="322" t="s">
        <v>883</v>
      </c>
      <c r="D410" s="321">
        <v>4.8599999999999997E-2</v>
      </c>
      <c r="E410" s="319"/>
      <c r="F410" s="327">
        <v>0.4</v>
      </c>
      <c r="G410" s="327">
        <v>0.49999900000000003</v>
      </c>
      <c r="H410" s="326" t="s">
        <v>883</v>
      </c>
      <c r="I410" s="325">
        <v>4.8599999999999997E-2</v>
      </c>
      <c r="J410" s="319"/>
      <c r="K410" s="319"/>
      <c r="L410" s="319"/>
      <c r="M410" s="319"/>
      <c r="N410" s="319"/>
      <c r="O410" s="319"/>
      <c r="P410" s="319"/>
      <c r="Q410" s="319"/>
    </row>
    <row r="411" spans="1:17" ht="15">
      <c r="A411" s="322">
        <v>1.75</v>
      </c>
      <c r="B411" s="322">
        <v>1.9999990000000001</v>
      </c>
      <c r="C411" s="322" t="s">
        <v>882</v>
      </c>
      <c r="D411" s="321">
        <v>4.0500000000000001E-2</v>
      </c>
      <c r="E411" s="319"/>
      <c r="F411" s="327">
        <v>0.5</v>
      </c>
      <c r="G411" s="327">
        <v>0.59999899999999995</v>
      </c>
      <c r="H411" s="326" t="s">
        <v>882</v>
      </c>
      <c r="I411" s="325">
        <v>4.0500000000000001E-2</v>
      </c>
      <c r="J411" s="319"/>
      <c r="K411" s="319"/>
      <c r="L411" s="319"/>
      <c r="M411" s="319"/>
      <c r="N411" s="319"/>
      <c r="O411" s="319"/>
      <c r="P411" s="319"/>
      <c r="Q411" s="319"/>
    </row>
    <row r="412" spans="1:17" ht="15">
      <c r="A412" s="322">
        <v>2</v>
      </c>
      <c r="B412" s="322">
        <v>2.2499999000000002</v>
      </c>
      <c r="C412" s="322" t="s">
        <v>881</v>
      </c>
      <c r="D412" s="321">
        <v>2.7699999999999999E-2</v>
      </c>
      <c r="E412" s="319"/>
      <c r="F412" s="327">
        <v>0.6</v>
      </c>
      <c r="G412" s="327">
        <v>0.74999899999999997</v>
      </c>
      <c r="H412" s="326" t="s">
        <v>881</v>
      </c>
      <c r="I412" s="325">
        <v>2.7699999999999999E-2</v>
      </c>
      <c r="J412" s="319"/>
      <c r="K412" s="319"/>
      <c r="L412" s="319"/>
      <c r="M412" s="319"/>
      <c r="N412" s="319"/>
      <c r="O412" s="319"/>
      <c r="P412" s="319"/>
      <c r="Q412" s="319"/>
    </row>
    <row r="413" spans="1:17" ht="15">
      <c r="A413" s="322">
        <v>2.25</v>
      </c>
      <c r="B413" s="322">
        <v>2.4999899999999999</v>
      </c>
      <c r="C413" s="322" t="s">
        <v>880</v>
      </c>
      <c r="D413" s="321">
        <v>2.3099999999999999E-2</v>
      </c>
      <c r="E413" s="319"/>
      <c r="F413" s="327">
        <v>0.75</v>
      </c>
      <c r="G413" s="327">
        <v>0.89999899999999999</v>
      </c>
      <c r="H413" s="326" t="s">
        <v>880</v>
      </c>
      <c r="I413" s="325">
        <v>2.3099999999999999E-2</v>
      </c>
      <c r="J413" s="319"/>
      <c r="K413" s="319"/>
      <c r="L413" s="319"/>
      <c r="M413" s="319"/>
      <c r="N413" s="319"/>
      <c r="O413" s="319"/>
      <c r="P413" s="319"/>
      <c r="Q413" s="319"/>
    </row>
    <row r="414" spans="1:17" ht="15">
      <c r="A414" s="322">
        <v>2.5</v>
      </c>
      <c r="B414" s="322">
        <v>2.9999989999999999</v>
      </c>
      <c r="C414" s="322" t="s">
        <v>879</v>
      </c>
      <c r="D414" s="321">
        <v>1.7100000000000001E-2</v>
      </c>
      <c r="E414" s="319"/>
      <c r="F414" s="327">
        <v>0.9</v>
      </c>
      <c r="G414" s="327">
        <v>1.199999</v>
      </c>
      <c r="H414" s="326" t="s">
        <v>879</v>
      </c>
      <c r="I414" s="325">
        <v>1.7100000000000001E-2</v>
      </c>
      <c r="J414" s="319"/>
      <c r="K414" s="319"/>
      <c r="L414" s="319"/>
      <c r="M414" s="319"/>
      <c r="N414" s="319"/>
      <c r="O414" s="319"/>
      <c r="P414" s="319"/>
      <c r="Q414" s="319"/>
    </row>
    <row r="415" spans="1:17" ht="15">
      <c r="A415" s="322">
        <v>3</v>
      </c>
      <c r="B415" s="322">
        <v>4.2499989999999999</v>
      </c>
      <c r="C415" s="322" t="s">
        <v>878</v>
      </c>
      <c r="D415" s="321">
        <v>1.3299999999999999E-2</v>
      </c>
      <c r="E415" s="319"/>
      <c r="F415" s="327">
        <v>1.2</v>
      </c>
      <c r="G415" s="327">
        <v>1.4999899999999999</v>
      </c>
      <c r="H415" s="326" t="s">
        <v>878</v>
      </c>
      <c r="I415" s="325">
        <v>1.3299999999999999E-2</v>
      </c>
      <c r="J415" s="319"/>
      <c r="K415" s="319"/>
      <c r="L415" s="319"/>
      <c r="M415" s="319"/>
      <c r="N415" s="319"/>
      <c r="O415" s="319"/>
      <c r="P415" s="319"/>
      <c r="Q415" s="319"/>
    </row>
    <row r="416" spans="1:17" ht="15">
      <c r="A416" s="322">
        <v>4.25</v>
      </c>
      <c r="B416" s="322">
        <v>5.4999989999999999</v>
      </c>
      <c r="C416" s="322" t="s">
        <v>877</v>
      </c>
      <c r="D416" s="321">
        <v>1.18E-2</v>
      </c>
      <c r="E416" s="319"/>
      <c r="F416" s="327">
        <v>1.5</v>
      </c>
      <c r="G416" s="327">
        <v>1.9999899999999999</v>
      </c>
      <c r="H416" s="326" t="s">
        <v>877</v>
      </c>
      <c r="I416" s="325">
        <v>1.18E-2</v>
      </c>
      <c r="J416" s="319"/>
      <c r="K416" s="319"/>
      <c r="L416" s="319"/>
      <c r="M416" s="319"/>
      <c r="N416" s="319"/>
      <c r="O416" s="319"/>
      <c r="P416" s="319"/>
      <c r="Q416" s="319"/>
    </row>
    <row r="417" spans="1:17" ht="15">
      <c r="A417" s="322">
        <v>5.5</v>
      </c>
      <c r="B417" s="322">
        <v>6.4999989999999999</v>
      </c>
      <c r="C417" s="322" t="s">
        <v>876</v>
      </c>
      <c r="D417" s="321">
        <v>1.0699999999999999E-2</v>
      </c>
      <c r="E417" s="319"/>
      <c r="F417" s="327">
        <v>2</v>
      </c>
      <c r="G417" s="327">
        <v>2.4999899999999999</v>
      </c>
      <c r="H417" s="326" t="s">
        <v>876</v>
      </c>
      <c r="I417" s="325">
        <v>1.0699999999999999E-2</v>
      </c>
      <c r="J417" s="319"/>
      <c r="K417" s="319"/>
      <c r="L417" s="319"/>
      <c r="M417" s="319"/>
      <c r="N417" s="319"/>
      <c r="O417" s="319"/>
      <c r="P417" s="319"/>
      <c r="Q417" s="319"/>
    </row>
    <row r="418" spans="1:17" ht="15">
      <c r="A418" s="322">
        <v>6.5</v>
      </c>
      <c r="B418" s="322">
        <v>8.4999990000000007</v>
      </c>
      <c r="C418" s="322" t="s">
        <v>875</v>
      </c>
      <c r="D418" s="321">
        <v>8.5000000000000006E-3</v>
      </c>
      <c r="E418" s="319"/>
      <c r="F418" s="327">
        <v>2.5</v>
      </c>
      <c r="G418" s="327">
        <v>2.9999899999999999</v>
      </c>
      <c r="H418" s="326" t="s">
        <v>875</v>
      </c>
      <c r="I418" s="325">
        <v>8.5000000000000006E-3</v>
      </c>
      <c r="J418" s="319"/>
      <c r="K418" s="319"/>
      <c r="L418" s="319"/>
      <c r="M418" s="319"/>
      <c r="N418" s="319"/>
      <c r="O418" s="319"/>
      <c r="P418" s="319"/>
      <c r="Q418" s="319"/>
    </row>
    <row r="419" spans="1:17" ht="15">
      <c r="A419" s="328">
        <v>8.5</v>
      </c>
      <c r="B419" s="322">
        <v>100000</v>
      </c>
      <c r="C419" s="322" t="s">
        <v>874</v>
      </c>
      <c r="D419" s="321">
        <v>6.8999999999999999E-3</v>
      </c>
      <c r="E419" s="319"/>
      <c r="F419" s="327">
        <v>3</v>
      </c>
      <c r="G419" s="327">
        <v>100000</v>
      </c>
      <c r="H419" s="326" t="s">
        <v>874</v>
      </c>
      <c r="I419" s="325">
        <v>6.8999999999999999E-3</v>
      </c>
      <c r="J419" s="319"/>
      <c r="K419" s="319"/>
      <c r="L419" s="319"/>
      <c r="M419" s="319"/>
      <c r="N419" s="319"/>
      <c r="O419" s="319"/>
      <c r="P419" s="319"/>
      <c r="Q419" s="319"/>
    </row>
    <row r="420" spans="1:17" ht="15">
      <c r="A420" s="323"/>
      <c r="B420" s="323"/>
      <c r="C420" s="323"/>
      <c r="D420" s="323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</row>
    <row r="421" spans="1:17" ht="15">
      <c r="A421" s="324" t="s">
        <v>894</v>
      </c>
      <c r="B421" s="323"/>
      <c r="C421" s="323"/>
      <c r="D421" s="323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</row>
    <row r="422" spans="1:17" ht="15">
      <c r="A422" s="724" t="s">
        <v>893</v>
      </c>
      <c r="B422" s="725"/>
      <c r="C422" s="322"/>
      <c r="D422" s="322"/>
      <c r="E422" s="319"/>
      <c r="F422" s="318"/>
      <c r="G422" s="318"/>
      <c r="H422" s="318"/>
      <c r="I422" s="318"/>
      <c r="J422" s="318"/>
      <c r="K422" s="319"/>
      <c r="L422" s="319"/>
      <c r="M422" s="319"/>
      <c r="N422" s="319"/>
      <c r="O422" s="319"/>
      <c r="P422" s="319"/>
      <c r="Q422" s="319"/>
    </row>
    <row r="423" spans="1:17" ht="15">
      <c r="A423" s="322" t="s">
        <v>892</v>
      </c>
      <c r="B423" s="322" t="s">
        <v>891</v>
      </c>
      <c r="C423" s="322" t="s">
        <v>890</v>
      </c>
      <c r="D423" s="322" t="s">
        <v>889</v>
      </c>
      <c r="E423" s="319"/>
      <c r="F423" s="318"/>
      <c r="G423" s="318"/>
      <c r="H423" s="318"/>
      <c r="I423" s="318"/>
      <c r="J423" s="318"/>
      <c r="K423" s="319"/>
      <c r="L423" s="319"/>
      <c r="M423" s="319"/>
      <c r="N423" s="319"/>
      <c r="O423" s="319"/>
      <c r="P423" s="319"/>
      <c r="Q423" s="319"/>
    </row>
    <row r="424" spans="1:17" ht="15">
      <c r="A424" s="322">
        <v>-100000</v>
      </c>
      <c r="B424" s="322">
        <v>0.49999900000000003</v>
      </c>
      <c r="C424" s="322" t="s">
        <v>888</v>
      </c>
      <c r="D424" s="321">
        <v>0.1744</v>
      </c>
      <c r="E424" s="319"/>
      <c r="F424" s="318"/>
      <c r="G424" s="318"/>
      <c r="H424" s="318"/>
      <c r="I424" s="318"/>
      <c r="J424" s="318"/>
      <c r="K424" s="319"/>
      <c r="L424" s="319"/>
      <c r="M424" s="319"/>
      <c r="N424" s="319"/>
      <c r="O424" s="319"/>
      <c r="P424" s="319"/>
      <c r="Q424" s="319"/>
    </row>
    <row r="425" spans="1:17" ht="15">
      <c r="A425" s="322">
        <v>0.5</v>
      </c>
      <c r="B425" s="322">
        <v>0.79999900000000002</v>
      </c>
      <c r="C425" s="322" t="s">
        <v>887</v>
      </c>
      <c r="D425" s="321">
        <v>0.13089999999999999</v>
      </c>
      <c r="E425" s="319"/>
      <c r="F425" s="318"/>
      <c r="G425" s="318"/>
      <c r="H425" s="318"/>
      <c r="I425" s="318"/>
      <c r="J425" s="318"/>
      <c r="K425" s="319"/>
      <c r="L425" s="319"/>
      <c r="M425" s="319"/>
      <c r="N425" s="319"/>
      <c r="O425" s="319"/>
      <c r="P425" s="319"/>
      <c r="Q425" s="319"/>
    </row>
    <row r="426" spans="1:17" ht="15">
      <c r="A426" s="322">
        <v>0.8</v>
      </c>
      <c r="B426" s="322">
        <v>1.2499990000000001</v>
      </c>
      <c r="C426" s="322" t="s">
        <v>886</v>
      </c>
      <c r="D426" s="321">
        <v>9.9699999999999997E-2</v>
      </c>
      <c r="E426" s="319"/>
      <c r="F426" s="318"/>
      <c r="G426" s="318"/>
      <c r="H426" s="318"/>
      <c r="I426" s="318"/>
      <c r="J426" s="318"/>
      <c r="K426" s="319"/>
      <c r="L426" s="319"/>
      <c r="M426" s="319"/>
      <c r="N426" s="319"/>
      <c r="O426" s="319"/>
      <c r="P426" s="319"/>
      <c r="Q426" s="319"/>
    </row>
    <row r="427" spans="1:17" ht="15">
      <c r="A427" s="322">
        <v>1.25</v>
      </c>
      <c r="B427" s="322">
        <v>1.4999990000000001</v>
      </c>
      <c r="C427" s="322" t="s">
        <v>885</v>
      </c>
      <c r="D427" s="321">
        <v>9.4600000000000004E-2</v>
      </c>
      <c r="E427" s="319"/>
      <c r="F427" s="318"/>
      <c r="G427" s="318"/>
      <c r="H427" s="318"/>
      <c r="I427" s="318"/>
      <c r="J427" s="318"/>
      <c r="K427" s="319"/>
      <c r="L427" s="319"/>
      <c r="M427" s="319"/>
      <c r="N427" s="319"/>
      <c r="O427" s="319"/>
      <c r="P427" s="319"/>
      <c r="Q427" s="319"/>
    </row>
    <row r="428" spans="1:17" ht="15">
      <c r="A428" s="322">
        <v>1.5</v>
      </c>
      <c r="B428" s="322">
        <v>1.9999990000000001</v>
      </c>
      <c r="C428" s="322" t="s">
        <v>884</v>
      </c>
      <c r="D428" s="321">
        <v>5.9400000000000001E-2</v>
      </c>
      <c r="E428" s="319"/>
      <c r="F428" s="318"/>
      <c r="G428" s="318"/>
      <c r="H428" s="318"/>
      <c r="I428" s="318"/>
      <c r="J428" s="318"/>
      <c r="K428" s="319"/>
      <c r="L428" s="319"/>
      <c r="M428" s="319"/>
      <c r="N428" s="319"/>
      <c r="O428" s="319"/>
      <c r="P428" s="319"/>
      <c r="Q428" s="319"/>
    </row>
    <row r="429" spans="1:17" ht="15">
      <c r="A429" s="322">
        <v>2</v>
      </c>
      <c r="B429" s="322">
        <v>2.4999989999999999</v>
      </c>
      <c r="C429" s="322" t="s">
        <v>883</v>
      </c>
      <c r="D429" s="321">
        <v>4.8599999999999997E-2</v>
      </c>
      <c r="E429" s="319"/>
      <c r="F429" s="318"/>
      <c r="G429" s="318"/>
      <c r="H429" s="318"/>
      <c r="I429" s="318"/>
      <c r="J429" s="318"/>
      <c r="K429" s="319"/>
      <c r="L429" s="319"/>
      <c r="M429" s="319"/>
      <c r="N429" s="319"/>
      <c r="O429" s="319"/>
      <c r="P429" s="319"/>
      <c r="Q429" s="319"/>
    </row>
    <row r="430" spans="1:17" ht="15">
      <c r="A430" s="322">
        <v>2.5</v>
      </c>
      <c r="B430" s="322">
        <v>2.9999989999999999</v>
      </c>
      <c r="C430" s="322" t="s">
        <v>882</v>
      </c>
      <c r="D430" s="321">
        <v>4.0500000000000001E-2</v>
      </c>
      <c r="E430" s="319"/>
      <c r="F430" s="318"/>
      <c r="G430" s="318"/>
      <c r="H430" s="318"/>
      <c r="I430" s="318"/>
      <c r="J430" s="318"/>
      <c r="K430" s="319"/>
      <c r="L430" s="319"/>
      <c r="M430" s="319"/>
      <c r="N430" s="319"/>
      <c r="O430" s="319"/>
      <c r="P430" s="319"/>
      <c r="Q430" s="319"/>
    </row>
    <row r="431" spans="1:17" ht="15">
      <c r="A431" s="322">
        <v>3</v>
      </c>
      <c r="B431" s="322">
        <v>3.4999989999999999</v>
      </c>
      <c r="C431" s="322" t="s">
        <v>881</v>
      </c>
      <c r="D431" s="321">
        <v>2.7699999999999999E-2</v>
      </c>
      <c r="E431" s="319"/>
      <c r="F431" s="318"/>
      <c r="G431" s="318"/>
      <c r="H431" s="318"/>
      <c r="I431" s="318"/>
      <c r="J431" s="318"/>
      <c r="K431" s="319"/>
      <c r="L431" s="319"/>
      <c r="M431" s="319"/>
      <c r="N431" s="319"/>
      <c r="O431" s="319"/>
      <c r="P431" s="319"/>
      <c r="Q431" s="319"/>
    </row>
    <row r="432" spans="1:17" ht="15">
      <c r="A432" s="322">
        <v>3.5</v>
      </c>
      <c r="B432" s="322">
        <v>3.9999999000000002</v>
      </c>
      <c r="C432" s="322" t="s">
        <v>880</v>
      </c>
      <c r="D432" s="321">
        <v>2.3099999999999999E-2</v>
      </c>
      <c r="E432" s="319"/>
      <c r="F432" s="318"/>
      <c r="G432" s="318"/>
      <c r="H432" s="318"/>
      <c r="I432" s="318"/>
      <c r="J432" s="318"/>
      <c r="K432" s="319"/>
      <c r="L432" s="319"/>
      <c r="M432" s="319"/>
      <c r="N432" s="319"/>
      <c r="O432" s="319"/>
      <c r="P432" s="319"/>
      <c r="Q432" s="319"/>
    </row>
    <row r="433" spans="1:17" ht="15">
      <c r="A433" s="322">
        <v>4</v>
      </c>
      <c r="B433" s="322">
        <v>4.4999989999999999</v>
      </c>
      <c r="C433" s="322" t="s">
        <v>879</v>
      </c>
      <c r="D433" s="321">
        <v>1.7100000000000001E-2</v>
      </c>
      <c r="E433" s="319"/>
      <c r="F433" s="318"/>
      <c r="G433" s="318"/>
      <c r="H433" s="318"/>
      <c r="I433" s="318"/>
      <c r="J433" s="318"/>
      <c r="K433" s="319"/>
      <c r="L433" s="319"/>
      <c r="M433" s="319"/>
      <c r="N433" s="319"/>
      <c r="O433" s="319"/>
      <c r="P433" s="319"/>
      <c r="Q433" s="319"/>
    </row>
    <row r="434" spans="1:17" ht="15">
      <c r="A434" s="322">
        <v>4.5</v>
      </c>
      <c r="B434" s="322">
        <v>5.9999989999999999</v>
      </c>
      <c r="C434" s="322" t="s">
        <v>878</v>
      </c>
      <c r="D434" s="321">
        <v>1.3299999999999999E-2</v>
      </c>
      <c r="E434" s="319"/>
      <c r="F434" s="318"/>
      <c r="G434" s="318"/>
      <c r="H434" s="318"/>
      <c r="I434" s="318"/>
      <c r="J434" s="318"/>
      <c r="K434" s="319"/>
      <c r="L434" s="319"/>
      <c r="M434" s="319"/>
      <c r="N434" s="319"/>
      <c r="O434" s="319"/>
      <c r="P434" s="319"/>
      <c r="Q434" s="319"/>
    </row>
    <row r="435" spans="1:17" ht="15">
      <c r="A435" s="322">
        <v>6</v>
      </c>
      <c r="B435" s="322">
        <v>7.4999989999999999</v>
      </c>
      <c r="C435" s="322" t="s">
        <v>877</v>
      </c>
      <c r="D435" s="321">
        <v>1.18E-2</v>
      </c>
      <c r="E435" s="319"/>
      <c r="F435" s="318"/>
      <c r="G435" s="318"/>
      <c r="H435" s="318"/>
      <c r="I435" s="318"/>
      <c r="J435" s="318"/>
      <c r="K435" s="319"/>
      <c r="L435" s="319"/>
      <c r="M435" s="319"/>
      <c r="N435" s="319"/>
      <c r="O435" s="319"/>
      <c r="P435" s="319"/>
      <c r="Q435" s="319"/>
    </row>
    <row r="436" spans="1:17" ht="15">
      <c r="A436" s="322">
        <v>7.5</v>
      </c>
      <c r="B436" s="322">
        <v>9.4999990000000007</v>
      </c>
      <c r="C436" s="322" t="s">
        <v>876</v>
      </c>
      <c r="D436" s="321">
        <v>1.0699999999999999E-2</v>
      </c>
      <c r="E436" s="319"/>
      <c r="F436" s="318"/>
      <c r="G436" s="318"/>
      <c r="H436" s="318"/>
      <c r="I436" s="318"/>
      <c r="J436" s="318"/>
      <c r="K436" s="319"/>
      <c r="L436" s="319"/>
      <c r="M436" s="319"/>
      <c r="N436" s="319"/>
      <c r="O436" s="319"/>
      <c r="P436" s="319"/>
      <c r="Q436" s="319"/>
    </row>
    <row r="437" spans="1:17" ht="15">
      <c r="A437" s="322">
        <v>9.5</v>
      </c>
      <c r="B437" s="322">
        <v>12.499999000000001</v>
      </c>
      <c r="C437" s="322" t="s">
        <v>875</v>
      </c>
      <c r="D437" s="321">
        <v>8.5000000000000006E-3</v>
      </c>
      <c r="E437" s="318"/>
      <c r="F437" s="318"/>
      <c r="G437" s="318"/>
      <c r="H437" s="318"/>
      <c r="I437" s="318"/>
      <c r="J437" s="318"/>
      <c r="K437" s="318"/>
      <c r="L437" s="318"/>
      <c r="M437" s="318"/>
      <c r="N437" s="318"/>
      <c r="O437" s="318"/>
      <c r="P437" s="318"/>
      <c r="Q437" s="318"/>
    </row>
    <row r="438" spans="1:17" ht="15">
      <c r="A438" s="322">
        <v>12.5</v>
      </c>
      <c r="B438" s="322">
        <v>100000</v>
      </c>
      <c r="C438" s="322" t="s">
        <v>874</v>
      </c>
      <c r="D438" s="321">
        <v>6.8999999999999999E-3</v>
      </c>
      <c r="E438" s="318"/>
      <c r="F438" s="320"/>
      <c r="G438" s="320"/>
      <c r="H438" s="319"/>
      <c r="I438" s="319"/>
      <c r="J438" s="318"/>
      <c r="K438" s="318"/>
      <c r="L438" s="318"/>
      <c r="M438" s="318"/>
      <c r="N438" s="318"/>
      <c r="O438" s="318"/>
      <c r="P438" s="318"/>
      <c r="Q438" s="318"/>
    </row>
    <row r="439" spans="1:17" ht="15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18"/>
      <c r="N439" s="318"/>
      <c r="O439" s="318"/>
      <c r="P439" s="318"/>
      <c r="Q439" s="318"/>
    </row>
    <row r="440" spans="1:17" ht="15">
      <c r="A440" s="318"/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8"/>
      <c r="N440" s="318"/>
      <c r="O440" s="318"/>
      <c r="P440" s="318"/>
      <c r="Q440" s="318"/>
    </row>
    <row r="441" spans="1:17" ht="15">
      <c r="A441" s="318"/>
      <c r="B441" s="318"/>
      <c r="C441" s="318"/>
      <c r="D441" s="318"/>
      <c r="E441" s="318"/>
      <c r="F441" s="318"/>
      <c r="G441" s="318"/>
      <c r="H441" s="318"/>
      <c r="I441" s="318"/>
      <c r="J441" s="318"/>
      <c r="K441" s="318"/>
      <c r="L441" s="318"/>
      <c r="M441" s="318"/>
      <c r="N441" s="318"/>
      <c r="O441" s="318"/>
      <c r="P441" s="318"/>
      <c r="Q441" s="318"/>
    </row>
    <row r="442" spans="1:17" ht="15">
      <c r="A442" s="318"/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18"/>
      <c r="N442" s="318"/>
      <c r="O442" s="318"/>
      <c r="P442" s="318"/>
      <c r="Q442" s="318"/>
    </row>
    <row r="443" spans="1:17" ht="15">
      <c r="A443" s="318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18"/>
      <c r="N443" s="318"/>
      <c r="O443" s="318"/>
      <c r="P443" s="318"/>
      <c r="Q443" s="318"/>
    </row>
    <row r="444" spans="1:17" ht="15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18"/>
      <c r="N444" s="318"/>
      <c r="O444" s="318"/>
      <c r="P444" s="318"/>
      <c r="Q444" s="318"/>
    </row>
    <row r="445" spans="1:17" ht="15">
      <c r="A445" s="318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</row>
    <row r="446" spans="1:17" ht="15">
      <c r="A446" s="318"/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18"/>
      <c r="M446" s="318"/>
      <c r="N446" s="318"/>
      <c r="O446" s="318"/>
      <c r="P446" s="318"/>
      <c r="Q446" s="318"/>
    </row>
    <row r="447" spans="1:17" ht="15">
      <c r="A447" s="318"/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18"/>
      <c r="M447" s="318"/>
      <c r="N447" s="318"/>
      <c r="O447" s="318"/>
      <c r="P447" s="318"/>
      <c r="Q447" s="318"/>
    </row>
    <row r="448" spans="1:17" ht="15">
      <c r="A448" s="318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18"/>
      <c r="N448" s="318"/>
      <c r="O448" s="318"/>
      <c r="P448" s="318"/>
      <c r="Q448" s="318"/>
    </row>
    <row r="449" spans="1:17" ht="15">
      <c r="A449" s="318"/>
      <c r="B449" s="318"/>
      <c r="C449" s="318"/>
      <c r="D449" s="440" t="s">
        <v>2652</v>
      </c>
      <c r="E449" s="318"/>
      <c r="F449" s="318"/>
      <c r="G449" s="318"/>
      <c r="H449" s="318"/>
      <c r="I449" s="318"/>
      <c r="J449" s="318"/>
      <c r="K449" s="318"/>
      <c r="L449" s="318"/>
      <c r="M449" s="318"/>
      <c r="N449" s="318"/>
      <c r="O449" s="318"/>
      <c r="P449" s="318"/>
      <c r="Q449" s="318"/>
    </row>
    <row r="450" spans="1:17" ht="16" thickBot="1">
      <c r="A450" s="318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</row>
    <row r="451" spans="1:17" ht="16">
      <c r="A451" s="379" t="s">
        <v>1044</v>
      </c>
      <c r="B451" s="733">
        <v>44566</v>
      </c>
      <c r="C451" s="734"/>
      <c r="D451" s="734"/>
      <c r="E451" s="734"/>
      <c r="F451" s="734"/>
      <c r="G451" s="735"/>
      <c r="H451" s="352"/>
      <c r="I451" s="352"/>
      <c r="J451" s="352"/>
      <c r="K451" s="352"/>
      <c r="L451" s="352"/>
      <c r="M451" s="352"/>
      <c r="N451" s="352"/>
      <c r="O451" s="352"/>
      <c r="P451" s="352"/>
      <c r="Q451" s="352"/>
    </row>
    <row r="452" spans="1:17" ht="16">
      <c r="A452" s="377" t="s">
        <v>1043</v>
      </c>
      <c r="B452" s="736" t="s">
        <v>1042</v>
      </c>
      <c r="C452" s="737"/>
      <c r="D452" s="737"/>
      <c r="E452" s="737"/>
      <c r="F452" s="737"/>
      <c r="G452" s="738"/>
      <c r="H452" s="352"/>
      <c r="I452" s="352"/>
      <c r="J452" s="352"/>
      <c r="K452" s="352"/>
      <c r="L452" s="352"/>
      <c r="M452" s="352"/>
      <c r="N452" s="352"/>
      <c r="O452" s="352"/>
      <c r="P452" s="352"/>
      <c r="Q452" s="352"/>
    </row>
    <row r="453" spans="1:17" ht="16">
      <c r="A453" s="377" t="s">
        <v>1041</v>
      </c>
      <c r="B453" s="729" t="s">
        <v>1040</v>
      </c>
      <c r="C453" s="730"/>
      <c r="D453" s="730"/>
      <c r="E453" s="731"/>
      <c r="F453" s="729" t="s">
        <v>1039</v>
      </c>
      <c r="G453" s="732"/>
      <c r="H453" s="378"/>
      <c r="I453" s="378"/>
      <c r="J453" s="378"/>
      <c r="K453" s="352"/>
      <c r="L453" s="352"/>
      <c r="M453" s="352"/>
      <c r="N453" s="352"/>
      <c r="O453" s="352"/>
      <c r="P453" s="352"/>
      <c r="Q453" s="352"/>
    </row>
    <row r="454" spans="1:17" ht="16">
      <c r="A454" s="377" t="s">
        <v>1038</v>
      </c>
      <c r="B454" s="739" t="s">
        <v>1037</v>
      </c>
      <c r="C454" s="740"/>
      <c r="D454" s="740"/>
      <c r="E454" s="740"/>
      <c r="F454" s="740"/>
      <c r="G454" s="741"/>
      <c r="H454" s="352"/>
      <c r="I454" s="352"/>
      <c r="J454" s="352"/>
      <c r="K454" s="352"/>
      <c r="L454" s="352"/>
      <c r="M454" s="352"/>
      <c r="N454" s="352"/>
      <c r="O454" s="352"/>
      <c r="P454" s="352"/>
      <c r="Q454" s="352"/>
    </row>
    <row r="455" spans="1:17" ht="16">
      <c r="A455" s="377" t="s">
        <v>1036</v>
      </c>
      <c r="B455" s="742" t="s">
        <v>1035</v>
      </c>
      <c r="C455" s="743"/>
      <c r="D455" s="743"/>
      <c r="E455" s="743"/>
      <c r="F455" s="743"/>
      <c r="G455" s="744"/>
      <c r="H455" s="352"/>
      <c r="I455" s="352"/>
      <c r="J455" s="352"/>
      <c r="K455" s="352"/>
      <c r="L455" s="352"/>
      <c r="M455" s="352"/>
      <c r="N455" s="352"/>
      <c r="O455" s="352"/>
      <c r="P455" s="352"/>
      <c r="Q455" s="352"/>
    </row>
    <row r="456" spans="1:17" ht="16">
      <c r="A456" s="377" t="s">
        <v>1034</v>
      </c>
      <c r="B456" s="736" t="s">
        <v>1033</v>
      </c>
      <c r="C456" s="737"/>
      <c r="D456" s="737"/>
      <c r="E456" s="737"/>
      <c r="F456" s="737"/>
      <c r="G456" s="738"/>
      <c r="H456" s="354"/>
      <c r="I456" s="354"/>
      <c r="J456" s="354"/>
      <c r="K456" s="354"/>
      <c r="L456" s="354"/>
      <c r="M456" s="354"/>
      <c r="N456" s="354"/>
      <c r="O456" s="354"/>
      <c r="P456" s="354"/>
      <c r="Q456" s="354"/>
    </row>
    <row r="457" spans="1:17" ht="16">
      <c r="A457" s="376" t="s">
        <v>1032</v>
      </c>
      <c r="B457" s="726" t="s">
        <v>1031</v>
      </c>
      <c r="C457" s="727"/>
      <c r="D457" s="727"/>
      <c r="E457" s="727"/>
      <c r="F457" s="727"/>
      <c r="G457" s="728"/>
      <c r="H457" s="352"/>
      <c r="I457" s="352"/>
      <c r="J457" s="352"/>
      <c r="K457" s="352"/>
      <c r="L457" s="352"/>
      <c r="M457" s="352"/>
      <c r="N457" s="352"/>
      <c r="O457" s="352"/>
      <c r="P457" s="352"/>
      <c r="Q457" s="352"/>
    </row>
    <row r="458" spans="1:17" ht="18" customHeight="1">
      <c r="A458" s="375" t="s">
        <v>1030</v>
      </c>
      <c r="B458" s="374" t="s">
        <v>1029</v>
      </c>
      <c r="C458" s="373" t="s">
        <v>1028</v>
      </c>
      <c r="D458" s="373" t="s">
        <v>1027</v>
      </c>
      <c r="E458" s="373" t="s">
        <v>1026</v>
      </c>
      <c r="F458" s="372" t="s">
        <v>1025</v>
      </c>
      <c r="G458" s="372" t="s">
        <v>1024</v>
      </c>
      <c r="H458" s="372" t="s">
        <v>1023</v>
      </c>
      <c r="I458" s="373" t="s">
        <v>1022</v>
      </c>
      <c r="J458" s="372" t="s">
        <v>1021</v>
      </c>
      <c r="K458" s="371" t="s">
        <v>1020</v>
      </c>
      <c r="L458" s="371" t="s">
        <v>1019</v>
      </c>
      <c r="M458" s="370" t="s">
        <v>1018</v>
      </c>
      <c r="N458" s="369"/>
      <c r="O458" s="369"/>
      <c r="P458" s="369"/>
      <c r="Q458" s="369"/>
    </row>
    <row r="459" spans="1:17" ht="16">
      <c r="A459" s="368" t="s">
        <v>1017</v>
      </c>
      <c r="B459" s="367">
        <v>89</v>
      </c>
      <c r="C459" s="363">
        <v>0.50661711047161495</v>
      </c>
      <c r="D459" s="363">
        <v>0.30963168919963496</v>
      </c>
      <c r="E459" s="363">
        <v>0.44850217536878184</v>
      </c>
      <c r="F459" s="363">
        <v>0.31430438465801147</v>
      </c>
      <c r="G459" s="363">
        <v>0.45837304136946128</v>
      </c>
      <c r="H459" s="363">
        <v>0.11817623100000001</v>
      </c>
      <c r="I459" s="365">
        <v>0.30591499999999999</v>
      </c>
      <c r="J459" s="366">
        <v>0.34459032899999997</v>
      </c>
      <c r="K459" s="366">
        <v>6.2387959213499988E-2</v>
      </c>
      <c r="L459" s="366">
        <v>0.12049034615195035</v>
      </c>
      <c r="M459" s="365">
        <v>8.1230370226004558E-3</v>
      </c>
      <c r="N459" s="352"/>
      <c r="O459" s="352"/>
      <c r="P459" s="352"/>
      <c r="Q459" s="352"/>
    </row>
    <row r="460" spans="1:17" ht="16">
      <c r="A460" s="362" t="s">
        <v>1016</v>
      </c>
      <c r="B460" s="361">
        <v>57</v>
      </c>
      <c r="C460" s="359">
        <v>0.50966293629413129</v>
      </c>
      <c r="D460" s="359">
        <v>0.20626901790305427</v>
      </c>
      <c r="E460" s="359">
        <v>0.25987270568438103</v>
      </c>
      <c r="F460" s="359">
        <v>0.20627747225944021</v>
      </c>
      <c r="G460" s="359">
        <v>0.25988612525165106</v>
      </c>
      <c r="H460" s="359">
        <v>0.121206328</v>
      </c>
      <c r="I460" s="363">
        <v>0.32225920000000002</v>
      </c>
      <c r="J460" s="364">
        <v>0.273663936</v>
      </c>
      <c r="K460" s="364">
        <v>6.9776810294825811E-2</v>
      </c>
      <c r="L460" s="364">
        <v>0.16885096508590419</v>
      </c>
      <c r="M460" s="363">
        <v>1.7232228838722569E-2</v>
      </c>
      <c r="N460" s="352"/>
      <c r="O460" s="352"/>
      <c r="P460" s="352"/>
      <c r="Q460" s="352"/>
    </row>
    <row r="461" spans="1:17" ht="16">
      <c r="A461" s="362" t="s">
        <v>1015</v>
      </c>
      <c r="B461" s="361">
        <v>40</v>
      </c>
      <c r="C461" s="359">
        <v>0.76510480750159315</v>
      </c>
      <c r="D461" s="359">
        <v>0.54471475258631719</v>
      </c>
      <c r="E461" s="359">
        <v>1.1964252206295998</v>
      </c>
      <c r="F461" s="359">
        <v>0.54482600645238688</v>
      </c>
      <c r="G461" s="359">
        <v>1.1969620720332204</v>
      </c>
      <c r="H461" s="359">
        <v>2.0260614E-2</v>
      </c>
      <c r="I461" s="359">
        <v>0.23413216219999999</v>
      </c>
      <c r="J461" s="360">
        <v>0.36043249300000002</v>
      </c>
      <c r="K461" s="360">
        <v>-2.9829402150378569E-2</v>
      </c>
      <c r="L461" s="360">
        <v>0.5437873143320926</v>
      </c>
      <c r="M461" s="359">
        <v>3.8794804342483252E-2</v>
      </c>
      <c r="N461" s="352"/>
      <c r="O461" s="352"/>
      <c r="P461" s="352"/>
      <c r="Q461" s="352"/>
    </row>
    <row r="462" spans="1:17" ht="16">
      <c r="A462" s="362" t="s">
        <v>1014</v>
      </c>
      <c r="B462" s="361">
        <v>124</v>
      </c>
      <c r="C462" s="359">
        <v>0.42269080466480069</v>
      </c>
      <c r="D462" s="359">
        <v>0.12232502915908085</v>
      </c>
      <c r="E462" s="359">
        <v>0.13937395188776847</v>
      </c>
      <c r="F462" s="359">
        <v>0.12405250789911727</v>
      </c>
      <c r="G462" s="359">
        <v>0.14162094077304596</v>
      </c>
      <c r="H462" s="359">
        <v>0.12764371999999999</v>
      </c>
      <c r="I462" s="359">
        <v>0.21486287500000001</v>
      </c>
      <c r="J462" s="360">
        <v>0.31386334399999999</v>
      </c>
      <c r="K462" s="360">
        <v>5.2725311566372494E-2</v>
      </c>
      <c r="L462" s="360">
        <v>0.24812554415169419</v>
      </c>
      <c r="M462" s="359">
        <v>1.8358566851086004E-2</v>
      </c>
      <c r="N462" s="352"/>
      <c r="O462" s="352"/>
      <c r="P462" s="352"/>
      <c r="Q462" s="352"/>
    </row>
    <row r="463" spans="1:17" ht="16">
      <c r="A463" s="362" t="s">
        <v>1013</v>
      </c>
      <c r="B463" s="361">
        <v>32</v>
      </c>
      <c r="C463" s="359">
        <v>0.59080920932242342</v>
      </c>
      <c r="D463" s="359">
        <v>0.55755422733491666</v>
      </c>
      <c r="E463" s="359">
        <v>1.2601639834334377</v>
      </c>
      <c r="F463" s="359">
        <v>0.55767115376164422</v>
      </c>
      <c r="G463" s="359">
        <v>1.2607614414121533</v>
      </c>
      <c r="H463" s="359">
        <v>0.12446227</v>
      </c>
      <c r="I463" s="359">
        <v>0.13569400000000001</v>
      </c>
      <c r="J463" s="360">
        <v>0.326860174</v>
      </c>
      <c r="K463" s="360">
        <v>0.11836508293949285</v>
      </c>
      <c r="L463" s="360">
        <v>0.14883537479333539</v>
      </c>
      <c r="M463" s="359">
        <v>2.7544005495906493E-2</v>
      </c>
      <c r="N463" s="352"/>
      <c r="O463" s="352"/>
      <c r="P463" s="352"/>
      <c r="Q463" s="352"/>
    </row>
    <row r="464" spans="1:17" ht="16">
      <c r="A464" s="362" t="s">
        <v>1012</v>
      </c>
      <c r="B464" s="361">
        <v>58</v>
      </c>
      <c r="C464" s="359">
        <v>0.48420058369849045</v>
      </c>
      <c r="D464" s="359">
        <v>0.30360985279717967</v>
      </c>
      <c r="E464" s="359">
        <v>0.43597666339290519</v>
      </c>
      <c r="F464" s="359">
        <v>0.3036549964087607</v>
      </c>
      <c r="G464" s="359">
        <v>0.43606975686294841</v>
      </c>
      <c r="H464" s="359">
        <v>0.17851495100000001</v>
      </c>
      <c r="I464" s="359">
        <v>0.317247</v>
      </c>
      <c r="J464" s="360">
        <v>0.31823776300000001</v>
      </c>
      <c r="K464" s="360">
        <v>0.12657595339851166</v>
      </c>
      <c r="L464" s="360">
        <v>0.2912301036636662</v>
      </c>
      <c r="M464" s="359">
        <v>4.0620613114758994E-2</v>
      </c>
      <c r="N464" s="352"/>
      <c r="O464" s="352"/>
      <c r="P464" s="352"/>
      <c r="Q464" s="352"/>
    </row>
    <row r="465" spans="1:17" ht="16">
      <c r="A465" s="362" t="s">
        <v>1011</v>
      </c>
      <c r="B465" s="361">
        <v>115</v>
      </c>
      <c r="C465" s="359">
        <v>0.7917201058858635</v>
      </c>
      <c r="D465" s="359">
        <v>0.85666634630982008</v>
      </c>
      <c r="E465" s="359">
        <v>5.9767285927248475</v>
      </c>
      <c r="F465" s="359">
        <v>0.85666675023494743</v>
      </c>
      <c r="G465" s="359">
        <v>5.9767482537315608</v>
      </c>
      <c r="H465" s="359">
        <v>0.18682100099999999</v>
      </c>
      <c r="I465" s="359">
        <v>0.28826283190000002</v>
      </c>
      <c r="J465" s="360">
        <v>0.22169705100000001</v>
      </c>
      <c r="K465" s="360">
        <v>5.7355908141189636E-7</v>
      </c>
      <c r="L465" s="360">
        <v>8.426840678884287E-3</v>
      </c>
      <c r="M465" s="359">
        <v>2.9948529178186088E-4</v>
      </c>
      <c r="N465" s="352"/>
      <c r="O465" s="352"/>
      <c r="P465" s="352"/>
      <c r="Q465" s="352"/>
    </row>
    <row r="466" spans="1:17" ht="16">
      <c r="A466" s="362" t="s">
        <v>1010</v>
      </c>
      <c r="B466" s="361">
        <v>67</v>
      </c>
      <c r="C466" s="359">
        <v>0.6182330306086059</v>
      </c>
      <c r="D466" s="359">
        <v>0.73526727113395074</v>
      </c>
      <c r="E466" s="359">
        <v>2.7773946738031965</v>
      </c>
      <c r="F466" s="359">
        <v>0.73528228639621085</v>
      </c>
      <c r="G466" s="359">
        <v>2.7776089343863459</v>
      </c>
      <c r="H466" s="359">
        <v>0.18794245300000001</v>
      </c>
      <c r="I466" s="359">
        <v>0.16938841270000002</v>
      </c>
      <c r="J466" s="360">
        <v>0.13461174000000001</v>
      </c>
      <c r="K466" s="360">
        <v>1.7163961849819124E-5</v>
      </c>
      <c r="L466" s="360">
        <v>6.1029632071032958E-3</v>
      </c>
      <c r="M466" s="359">
        <v>4.2317853738558738E-4</v>
      </c>
      <c r="N466" s="352"/>
      <c r="O466" s="352"/>
      <c r="P466" s="352"/>
      <c r="Q466" s="352"/>
    </row>
    <row r="467" spans="1:17" ht="16">
      <c r="A467" s="362" t="s">
        <v>1009</v>
      </c>
      <c r="B467" s="361">
        <v>47</v>
      </c>
      <c r="C467" s="359">
        <v>0.51473979223127664</v>
      </c>
      <c r="D467" s="359">
        <v>0.27576116565634218</v>
      </c>
      <c r="E467" s="359">
        <v>0.38075998217666829</v>
      </c>
      <c r="F467" s="359">
        <v>0.27578085838537503</v>
      </c>
      <c r="G467" s="359">
        <v>0.38079752734860028</v>
      </c>
      <c r="H467" s="359">
        <v>0.18953297299999999</v>
      </c>
      <c r="I467" s="359">
        <v>0.2126802632</v>
      </c>
      <c r="J467" s="360">
        <v>0.16094287400000001</v>
      </c>
      <c r="K467" s="360">
        <v>6.5952392285524797E-2</v>
      </c>
      <c r="L467" s="360">
        <v>0.20643532973272852</v>
      </c>
      <c r="M467" s="359">
        <v>2.336253174512274E-2</v>
      </c>
      <c r="N467" s="352"/>
      <c r="O467" s="352"/>
      <c r="P467" s="352"/>
      <c r="Q467" s="352"/>
    </row>
    <row r="468" spans="1:17" ht="16">
      <c r="A468" s="362" t="s">
        <v>1008</v>
      </c>
      <c r="B468" s="361">
        <v>16</v>
      </c>
      <c r="C468" s="359">
        <v>0.59633148686798065</v>
      </c>
      <c r="D468" s="359">
        <v>0.29832860193267119</v>
      </c>
      <c r="E468" s="359">
        <v>0.42516853723036474</v>
      </c>
      <c r="F468" s="359">
        <v>0.29835856976065434</v>
      </c>
      <c r="G468" s="359">
        <v>0.42522940764612133</v>
      </c>
      <c r="H468" s="359">
        <v>0.20537655499999999</v>
      </c>
      <c r="I468" s="359">
        <v>0.32627272730000001</v>
      </c>
      <c r="J468" s="360">
        <v>0.31590315499999999</v>
      </c>
      <c r="K468" s="360">
        <v>6.3206043840206103E-2</v>
      </c>
      <c r="L468" s="360">
        <v>0.22741473762126962</v>
      </c>
      <c r="M468" s="359">
        <v>2.018486971817314E-2</v>
      </c>
      <c r="N468" s="352"/>
      <c r="O468" s="352"/>
      <c r="P468" s="352"/>
      <c r="Q468" s="352"/>
    </row>
    <row r="469" spans="1:17" ht="16">
      <c r="A469" s="362" t="s">
        <v>1007</v>
      </c>
      <c r="B469" s="361">
        <v>24</v>
      </c>
      <c r="C469" s="359">
        <v>0.27311726944624803</v>
      </c>
      <c r="D469" s="359">
        <v>0.25111521147405297</v>
      </c>
      <c r="E469" s="359">
        <v>0.33531888392115794</v>
      </c>
      <c r="F469" s="359">
        <v>0.25255180876367211</v>
      </c>
      <c r="G469" s="359">
        <v>0.33788537014978254</v>
      </c>
      <c r="H469" s="359">
        <v>0.19509296200000001</v>
      </c>
      <c r="I469" s="359">
        <v>0.2604890909</v>
      </c>
      <c r="J469" s="360">
        <v>0.25847421900000001</v>
      </c>
      <c r="K469" s="360">
        <v>0.14339215504294278</v>
      </c>
      <c r="L469" s="360">
        <v>7.3623065854024422E-2</v>
      </c>
      <c r="M469" s="359">
        <v>1.6966570179288733E-2</v>
      </c>
      <c r="N469" s="352"/>
      <c r="O469" s="352"/>
      <c r="P469" s="352"/>
      <c r="Q469" s="352"/>
    </row>
    <row r="470" spans="1:17" ht="16">
      <c r="A470" s="362" t="s">
        <v>1006</v>
      </c>
      <c r="B470" s="361">
        <v>75</v>
      </c>
      <c r="C470" s="359">
        <v>0.48747862974384609</v>
      </c>
      <c r="D470" s="359">
        <v>0.22493601453629261</v>
      </c>
      <c r="E470" s="359">
        <v>0.29021605797064259</v>
      </c>
      <c r="F470" s="359">
        <v>0.22516319066938734</v>
      </c>
      <c r="G470" s="359">
        <v>0.29059433929566086</v>
      </c>
      <c r="H470" s="359">
        <v>0.17657816600000001</v>
      </c>
      <c r="I470" s="359">
        <v>0.2486288462</v>
      </c>
      <c r="J470" s="360">
        <v>0.33033269999999998</v>
      </c>
      <c r="K470" s="360">
        <v>9.9053483891102037E-3</v>
      </c>
      <c r="L470" s="360">
        <v>6.8811596318388273E-3</v>
      </c>
      <c r="M470" s="359">
        <v>6.9787657913174728E-4</v>
      </c>
      <c r="N470" s="352"/>
      <c r="O470" s="352"/>
      <c r="P470" s="352"/>
      <c r="Q470" s="352"/>
    </row>
    <row r="471" spans="1:17" ht="16">
      <c r="A471" s="362" t="s">
        <v>1005</v>
      </c>
      <c r="B471" s="361">
        <v>85</v>
      </c>
      <c r="C471" s="359">
        <v>0.36399940625740473</v>
      </c>
      <c r="D471" s="359">
        <v>0.12311350233032978</v>
      </c>
      <c r="E471" s="359">
        <v>0.14039844684289751</v>
      </c>
      <c r="F471" s="359">
        <v>0.12418953141201926</v>
      </c>
      <c r="G471" s="359">
        <v>0.1417995512342333</v>
      </c>
      <c r="H471" s="359">
        <v>0.17252551399999999</v>
      </c>
      <c r="I471" s="359">
        <v>0.36806661540000002</v>
      </c>
      <c r="J471" s="360">
        <v>0.27581722600000003</v>
      </c>
      <c r="K471" s="360">
        <v>6.7019970298926312E-2</v>
      </c>
      <c r="L471" s="360">
        <v>0.19769263860160635</v>
      </c>
      <c r="M471" s="359">
        <v>2.1618446508664946E-2</v>
      </c>
      <c r="N471" s="352"/>
      <c r="O471" s="352"/>
      <c r="P471" s="352"/>
      <c r="Q471" s="352"/>
    </row>
    <row r="472" spans="1:17" ht="16">
      <c r="A472" s="362" t="s">
        <v>1004</v>
      </c>
      <c r="B472" s="361">
        <v>219</v>
      </c>
      <c r="C472" s="359">
        <v>0.51243928812612238</v>
      </c>
      <c r="D472" s="359">
        <v>0.17784890973771805</v>
      </c>
      <c r="E472" s="359">
        <v>0.21632144242608842</v>
      </c>
      <c r="F472" s="359">
        <v>0.17840246058535852</v>
      </c>
      <c r="G472" s="359">
        <v>0.21714093826578867</v>
      </c>
      <c r="H472" s="359">
        <v>0.170367937</v>
      </c>
      <c r="I472" s="359">
        <v>0.36496456250000003</v>
      </c>
      <c r="J472" s="360">
        <v>0.31800630099999999</v>
      </c>
      <c r="K472" s="360">
        <v>5.1852739427287985E-2</v>
      </c>
      <c r="L472" s="360">
        <v>0.10458212476393008</v>
      </c>
      <c r="M472" s="359">
        <v>1.4052455249989449E-2</v>
      </c>
      <c r="N472" s="352"/>
      <c r="O472" s="352"/>
      <c r="P472" s="352"/>
      <c r="Q472" s="352"/>
    </row>
    <row r="473" spans="1:17" ht="16">
      <c r="A473" s="362" t="s">
        <v>1003</v>
      </c>
      <c r="B473" s="361">
        <v>4</v>
      </c>
      <c r="C473" s="359">
        <v>0.69406044427495472</v>
      </c>
      <c r="D473" s="359">
        <v>0.37659102356416502</v>
      </c>
      <c r="E473" s="359">
        <v>0.6040834152200022</v>
      </c>
      <c r="F473" s="359">
        <v>0.37659102356416502</v>
      </c>
      <c r="G473" s="359">
        <v>0.6040834152200022</v>
      </c>
      <c r="H473" s="359">
        <v>0.215948631</v>
      </c>
      <c r="I473" s="359">
        <v>0.21212499999999998</v>
      </c>
      <c r="J473" s="360">
        <v>0.142108704</v>
      </c>
      <c r="K473" s="360">
        <v>0.13493277465970704</v>
      </c>
      <c r="L473" s="360">
        <v>0.3547317499659764</v>
      </c>
      <c r="M473" s="359">
        <v>5.4054165515364218E-2</v>
      </c>
      <c r="N473" s="352"/>
      <c r="O473" s="352"/>
      <c r="P473" s="352"/>
      <c r="Q473" s="352"/>
    </row>
    <row r="474" spans="1:17" ht="16">
      <c r="A474" s="362" t="s">
        <v>1002</v>
      </c>
      <c r="B474" s="361">
        <v>60</v>
      </c>
      <c r="C474" s="359">
        <v>0.38502786612334439</v>
      </c>
      <c r="D474" s="359">
        <v>0.24418100677777413</v>
      </c>
      <c r="E474" s="359">
        <v>0.32306810091762278</v>
      </c>
      <c r="F474" s="359">
        <v>0.24636563183428234</v>
      </c>
      <c r="G474" s="359">
        <v>0.32690339273395325</v>
      </c>
      <c r="H474" s="359">
        <v>0.111288154</v>
      </c>
      <c r="I474" s="359">
        <v>0.22016487179999999</v>
      </c>
      <c r="J474" s="360">
        <v>0.34700832300000001</v>
      </c>
      <c r="K474" s="360">
        <v>9.0350206758345639E-2</v>
      </c>
      <c r="L474" s="360">
        <v>0.2347933684858734</v>
      </c>
      <c r="M474" s="359">
        <v>7.3893998568485719E-2</v>
      </c>
      <c r="N474" s="352"/>
      <c r="O474" s="352"/>
      <c r="P474" s="352"/>
      <c r="Q474" s="352"/>
    </row>
    <row r="475" spans="1:17" ht="16">
      <c r="A475" s="362" t="s">
        <v>1001</v>
      </c>
      <c r="B475" s="361">
        <v>7</v>
      </c>
      <c r="C475" s="359">
        <v>0.33479405094077797</v>
      </c>
      <c r="D475" s="359">
        <v>0.27162166763133705</v>
      </c>
      <c r="E475" s="359">
        <v>0.37291288820746782</v>
      </c>
      <c r="F475" s="359">
        <v>0.27162166763133705</v>
      </c>
      <c r="G475" s="359">
        <v>0.37291288820746782</v>
      </c>
      <c r="H475" s="359">
        <v>0.22255374999999999</v>
      </c>
      <c r="I475" s="359">
        <v>0.2690857143</v>
      </c>
      <c r="J475" s="360">
        <v>0.17857751499999999</v>
      </c>
      <c r="K475" s="360">
        <v>0.18061424498007914</v>
      </c>
      <c r="L475" s="360">
        <v>0.25517939332369122</v>
      </c>
      <c r="M475" s="359">
        <v>3.8652381894063649E-2</v>
      </c>
      <c r="N475" s="352"/>
      <c r="O475" s="352"/>
      <c r="P475" s="352"/>
      <c r="Q475" s="352"/>
    </row>
    <row r="476" spans="1:17" ht="16">
      <c r="A476" s="362" t="s">
        <v>1000</v>
      </c>
      <c r="B476" s="361">
        <v>101</v>
      </c>
      <c r="C476" s="359">
        <v>0.35677101902203079</v>
      </c>
      <c r="D476" s="359">
        <v>0.12670006659734362</v>
      </c>
      <c r="E476" s="359">
        <v>0.14508196067722068</v>
      </c>
      <c r="F476" s="359">
        <v>0.12779189923396903</v>
      </c>
      <c r="G476" s="359">
        <v>0.14651537760510788</v>
      </c>
      <c r="H476" s="359">
        <v>0.13032672300000001</v>
      </c>
      <c r="I476" s="359">
        <v>0.30646875000000001</v>
      </c>
      <c r="J476" s="360">
        <v>0.28861243800000003</v>
      </c>
      <c r="K476" s="360">
        <v>6.8841802708906205E-2</v>
      </c>
      <c r="L476" s="360">
        <v>0.35430929380232623</v>
      </c>
      <c r="M476" s="359">
        <v>4.4058725289892964E-2</v>
      </c>
      <c r="N476" s="352"/>
      <c r="O476" s="352"/>
      <c r="P476" s="352"/>
      <c r="Q476" s="352"/>
    </row>
    <row r="477" spans="1:17" ht="16">
      <c r="A477" s="362" t="s">
        <v>999</v>
      </c>
      <c r="B477" s="361">
        <v>17</v>
      </c>
      <c r="C477" s="359">
        <v>0.11549635532235136</v>
      </c>
      <c r="D477" s="359">
        <v>9.136791016413412E-2</v>
      </c>
      <c r="E477" s="359">
        <v>0.10055545163569855</v>
      </c>
      <c r="F477" s="359">
        <v>9.1824850229273114E-2</v>
      </c>
      <c r="G477" s="359">
        <v>0.10110918609967993</v>
      </c>
      <c r="H477" s="359">
        <v>2.7301783999999999E-2</v>
      </c>
      <c r="I477" s="359">
        <v>0.28040846149999998</v>
      </c>
      <c r="J477" s="360">
        <v>0.50623091099999995</v>
      </c>
      <c r="K477" s="360">
        <v>0.10214069876436245</v>
      </c>
      <c r="L477" s="360">
        <v>0.50791108311292477</v>
      </c>
      <c r="M477" s="359">
        <v>5.8016925521221757E-2</v>
      </c>
      <c r="N477" s="352"/>
      <c r="O477" s="352"/>
      <c r="P477" s="352"/>
      <c r="Q477" s="352"/>
    </row>
    <row r="478" spans="1:17" ht="16">
      <c r="A478" s="362" t="s">
        <v>998</v>
      </c>
      <c r="B478" s="361">
        <v>223</v>
      </c>
      <c r="C478" s="359">
        <v>0.34964460086617277</v>
      </c>
      <c r="D478" s="359">
        <v>7.4733315002981096E-2</v>
      </c>
      <c r="E478" s="359">
        <v>8.0769486478616564E-2</v>
      </c>
      <c r="F478" s="359">
        <v>8.0562434180947551E-2</v>
      </c>
      <c r="G478" s="359">
        <v>8.7621429856611324E-2</v>
      </c>
      <c r="H478" s="359">
        <v>0.16938350499999999</v>
      </c>
      <c r="I478" s="359">
        <v>0.23482964910000001</v>
      </c>
      <c r="J478" s="360">
        <v>0.31262218400000003</v>
      </c>
      <c r="K478" s="360">
        <v>5.0121964969764385E-2</v>
      </c>
      <c r="L478" s="360">
        <v>8.9164403685104476E-2</v>
      </c>
      <c r="M478" s="359">
        <v>1.3264343075509317E-2</v>
      </c>
      <c r="N478" s="352"/>
      <c r="O478" s="352"/>
      <c r="P478" s="352"/>
      <c r="Q478" s="352"/>
    </row>
    <row r="479" spans="1:17" ht="16">
      <c r="A479" s="362" t="s">
        <v>997</v>
      </c>
      <c r="B479" s="361">
        <v>40</v>
      </c>
      <c r="C479" s="359">
        <v>0.45016231537646167</v>
      </c>
      <c r="D479" s="359">
        <v>0.1250949351392123</v>
      </c>
      <c r="E479" s="359">
        <v>0.14298115322845573</v>
      </c>
      <c r="F479" s="359">
        <v>0.12590179415650843</v>
      </c>
      <c r="G479" s="359">
        <v>0.14403621162340116</v>
      </c>
      <c r="H479" s="359">
        <v>9.0027052999999996E-2</v>
      </c>
      <c r="I479" s="359">
        <v>0.22910741940000001</v>
      </c>
      <c r="J479" s="360">
        <v>0.30143947500000001</v>
      </c>
      <c r="K479" s="360">
        <v>7.7646383550107029E-2</v>
      </c>
      <c r="L479" s="360">
        <v>0.13945045298500108</v>
      </c>
      <c r="M479" s="359">
        <v>3.4502774081191179E-2</v>
      </c>
      <c r="N479" s="352"/>
      <c r="O479" s="352"/>
      <c r="P479" s="352"/>
      <c r="Q479" s="352"/>
    </row>
    <row r="480" spans="1:17" ht="16">
      <c r="A480" s="362" t="s">
        <v>996</v>
      </c>
      <c r="B480" s="361">
        <v>116</v>
      </c>
      <c r="C480" s="359">
        <v>0.41881245339598205</v>
      </c>
      <c r="D480" s="359">
        <v>0.27244311399879861</v>
      </c>
      <c r="E480" s="359">
        <v>0.37446297223052977</v>
      </c>
      <c r="F480" s="359">
        <v>0.27382636380867864</v>
      </c>
      <c r="G480" s="359">
        <v>0.37708111416005047</v>
      </c>
      <c r="H480" s="359">
        <v>0.15548557299999999</v>
      </c>
      <c r="I480" s="359">
        <v>0.236373587</v>
      </c>
      <c r="J480" s="360">
        <v>0.28546123200000001</v>
      </c>
      <c r="K480" s="360">
        <v>9.4897490213205482E-2</v>
      </c>
      <c r="L480" s="360">
        <v>0.28837066495639446</v>
      </c>
      <c r="M480" s="359">
        <v>2.4878447841599035E-2</v>
      </c>
      <c r="N480" s="352"/>
      <c r="O480" s="352"/>
      <c r="P480" s="352"/>
      <c r="Q480" s="352"/>
    </row>
    <row r="481" spans="1:17" ht="16">
      <c r="A481" s="362" t="s">
        <v>995</v>
      </c>
      <c r="B481" s="361">
        <v>66</v>
      </c>
      <c r="C481" s="359">
        <v>0.37713011396102725</v>
      </c>
      <c r="D481" s="359">
        <v>0.30686989359992922</v>
      </c>
      <c r="E481" s="359">
        <v>0.44273057939111599</v>
      </c>
      <c r="F481" s="359">
        <v>0.30689584391654273</v>
      </c>
      <c r="G481" s="359">
        <v>0.44278459625855882</v>
      </c>
      <c r="H481" s="359">
        <v>0.14184334400000001</v>
      </c>
      <c r="I481" s="359">
        <v>0.19986350000000003</v>
      </c>
      <c r="J481" s="360">
        <v>0.22869024600000001</v>
      </c>
      <c r="K481" s="360">
        <v>0.10423855194043508</v>
      </c>
      <c r="L481" s="360">
        <v>9.8675932970165067E-2</v>
      </c>
      <c r="M481" s="359">
        <v>2.7209899664246143E-2</v>
      </c>
      <c r="N481" s="352"/>
      <c r="O481" s="352"/>
      <c r="P481" s="352"/>
      <c r="Q481" s="352"/>
    </row>
    <row r="482" spans="1:17" ht="16">
      <c r="A482" s="362" t="s">
        <v>994</v>
      </c>
      <c r="B482" s="361">
        <v>238</v>
      </c>
      <c r="C482" s="359">
        <v>0.30981637334740725</v>
      </c>
      <c r="D482" s="359">
        <v>9.537010427822501E-2</v>
      </c>
      <c r="E482" s="359">
        <v>0.1054244445482672</v>
      </c>
      <c r="F482" s="359">
        <v>9.4877500918154001E-2</v>
      </c>
      <c r="G482" s="359">
        <v>0.10482282896999853</v>
      </c>
      <c r="H482" s="359">
        <v>1.7970470999999998E-2</v>
      </c>
      <c r="I482" s="359">
        <v>0.2209471569</v>
      </c>
      <c r="J482" s="360">
        <v>0.39353688399999998</v>
      </c>
      <c r="K482" s="360">
        <v>-3.6230217925786548E-3</v>
      </c>
      <c r="L482" s="360">
        <v>9.9076259011512638E-2</v>
      </c>
      <c r="M482" s="359">
        <v>1.5477772519776872E-2</v>
      </c>
      <c r="N482" s="352"/>
      <c r="O482" s="352"/>
      <c r="P482" s="352"/>
      <c r="Q482" s="352"/>
    </row>
    <row r="483" spans="1:17" ht="16">
      <c r="A483" s="362" t="s">
        <v>993</v>
      </c>
      <c r="B483" s="361">
        <v>137</v>
      </c>
      <c r="C483" s="359">
        <v>0.39624543741610113</v>
      </c>
      <c r="D483" s="359">
        <v>0.13693660107784097</v>
      </c>
      <c r="E483" s="359">
        <v>0.15866343219843979</v>
      </c>
      <c r="F483" s="359">
        <v>0.13700205438064858</v>
      </c>
      <c r="G483" s="359">
        <v>0.15875130998408779</v>
      </c>
      <c r="H483" s="359">
        <v>6.8265404000000002E-2</v>
      </c>
      <c r="I483" s="359">
        <v>0.26066887929999999</v>
      </c>
      <c r="J483" s="360">
        <v>0.325994968</v>
      </c>
      <c r="K483" s="360">
        <v>7.4353314618971766E-2</v>
      </c>
      <c r="L483" s="360">
        <v>0.13797347758346384</v>
      </c>
      <c r="M483" s="359">
        <v>2.0322925905885136E-2</v>
      </c>
      <c r="N483" s="352"/>
      <c r="O483" s="352"/>
      <c r="P483" s="352"/>
      <c r="Q483" s="352"/>
    </row>
    <row r="484" spans="1:17" ht="16">
      <c r="A484" s="362" t="s">
        <v>992</v>
      </c>
      <c r="B484" s="361">
        <v>20</v>
      </c>
      <c r="C484" s="359">
        <v>0.62208485679092351</v>
      </c>
      <c r="D484" s="359">
        <v>0.3456735695145019</v>
      </c>
      <c r="E484" s="359">
        <v>0.52828917404118692</v>
      </c>
      <c r="F484" s="359">
        <v>0.34855616915626891</v>
      </c>
      <c r="G484" s="359">
        <v>0.53505176141560673</v>
      </c>
      <c r="H484" s="359">
        <v>0.14613853600000001</v>
      </c>
      <c r="I484" s="359">
        <v>0.25411818180000001</v>
      </c>
      <c r="J484" s="360">
        <v>0.31888995599999997</v>
      </c>
      <c r="K484" s="360">
        <v>5.6819341007863199E-2</v>
      </c>
      <c r="L484" s="360">
        <v>0.47488154282171641</v>
      </c>
      <c r="M484" s="359">
        <v>1.5082071266200217E-2</v>
      </c>
      <c r="N484" s="352"/>
      <c r="O484" s="352"/>
      <c r="P484" s="352"/>
      <c r="Q484" s="352"/>
    </row>
    <row r="485" spans="1:17" ht="16">
      <c r="A485" s="362" t="s">
        <v>991</v>
      </c>
      <c r="B485" s="361">
        <v>152</v>
      </c>
      <c r="C485" s="359">
        <v>0.33536518360222511</v>
      </c>
      <c r="D485" s="359">
        <v>0.12062780012943625</v>
      </c>
      <c r="E485" s="359">
        <v>0.13717490744782659</v>
      </c>
      <c r="F485" s="359">
        <v>0.12087093977274954</v>
      </c>
      <c r="G485" s="359">
        <v>0.13748941451384283</v>
      </c>
      <c r="H485" s="359">
        <v>0.105620754</v>
      </c>
      <c r="I485" s="359">
        <v>0.24874833330000001</v>
      </c>
      <c r="J485" s="360">
        <v>0.35646340399999998</v>
      </c>
      <c r="K485" s="360">
        <v>4.8268707690650274E-2</v>
      </c>
      <c r="L485" s="360">
        <v>0.12592643705545301</v>
      </c>
      <c r="M485" s="359">
        <v>2.1414444808532895E-2</v>
      </c>
      <c r="N485" s="352"/>
      <c r="O485" s="352"/>
      <c r="P485" s="352"/>
      <c r="Q485" s="352"/>
    </row>
    <row r="486" spans="1:17" ht="16">
      <c r="A486" s="362" t="s">
        <v>990</v>
      </c>
      <c r="B486" s="361">
        <v>20</v>
      </c>
      <c r="C486" s="359">
        <v>0.17588100786600741</v>
      </c>
      <c r="D486" s="359">
        <v>5.040801243723405E-2</v>
      </c>
      <c r="E486" s="359">
        <v>5.3083864541245612E-2</v>
      </c>
      <c r="F486" s="359">
        <v>5.1145919580837695E-2</v>
      </c>
      <c r="G486" s="359">
        <v>5.3902829356273267E-2</v>
      </c>
      <c r="H486" s="359">
        <v>0.12089918600000001</v>
      </c>
      <c r="I486" s="359">
        <v>0.23269222219999999</v>
      </c>
      <c r="J486" s="360">
        <v>0.309660247</v>
      </c>
      <c r="K486" s="360">
        <v>6.186778003898051E-2</v>
      </c>
      <c r="L486" s="360">
        <v>0.13033809835674759</v>
      </c>
      <c r="M486" s="359">
        <v>2.5019996302123298E-2</v>
      </c>
      <c r="N486" s="352"/>
      <c r="O486" s="352"/>
      <c r="P486" s="352"/>
      <c r="Q486" s="352"/>
    </row>
    <row r="487" spans="1:17" ht="16">
      <c r="A487" s="362" t="s">
        <v>989</v>
      </c>
      <c r="B487" s="361">
        <v>162</v>
      </c>
      <c r="C487" s="359">
        <v>0.29535037735068093</v>
      </c>
      <c r="D487" s="359">
        <v>8.0521712679868018E-2</v>
      </c>
      <c r="E487" s="359">
        <v>8.7573261696644075E-2</v>
      </c>
      <c r="F487" s="359">
        <v>8.103108771444982E-2</v>
      </c>
      <c r="G487" s="359">
        <v>8.817609239132905E-2</v>
      </c>
      <c r="H487" s="359">
        <v>9.8558725E-2</v>
      </c>
      <c r="I487" s="359">
        <v>0.26438323530000002</v>
      </c>
      <c r="J487" s="360">
        <v>0.30804161200000002</v>
      </c>
      <c r="K487" s="360">
        <v>4.6715643203754396E-2</v>
      </c>
      <c r="L487" s="360">
        <v>0.16342586587059776</v>
      </c>
      <c r="M487" s="359">
        <v>3.1232468543731469E-2</v>
      </c>
      <c r="N487" s="352"/>
      <c r="O487" s="352"/>
      <c r="P487" s="352"/>
      <c r="Q487" s="352"/>
    </row>
    <row r="488" spans="1:17" ht="16">
      <c r="A488" s="362" t="s">
        <v>988</v>
      </c>
      <c r="B488" s="361">
        <v>153</v>
      </c>
      <c r="C488" s="359">
        <v>0.56806173626333056</v>
      </c>
      <c r="D488" s="359">
        <v>0.40848937881845077</v>
      </c>
      <c r="E488" s="359">
        <v>0.69058671846413944</v>
      </c>
      <c r="F488" s="359">
        <v>0.40867253382941821</v>
      </c>
      <c r="G488" s="359">
        <v>0.69111035290812528</v>
      </c>
      <c r="H488" s="359">
        <v>0.16309108899999999</v>
      </c>
      <c r="I488" s="359">
        <v>0.228324</v>
      </c>
      <c r="J488" s="360">
        <v>0.29260260500000002</v>
      </c>
      <c r="K488" s="360">
        <v>8.9879534012983833E-2</v>
      </c>
      <c r="L488" s="360">
        <v>0.13289774972818391</v>
      </c>
      <c r="M488" s="359">
        <v>1.7957822587223008E-2</v>
      </c>
      <c r="N488" s="352"/>
      <c r="O488" s="352"/>
      <c r="P488" s="352"/>
      <c r="Q488" s="352"/>
    </row>
    <row r="489" spans="1:17" ht="16">
      <c r="A489" s="362" t="s">
        <v>987</v>
      </c>
      <c r="B489" s="361">
        <v>198</v>
      </c>
      <c r="C489" s="359">
        <v>0.42321880582268318</v>
      </c>
      <c r="D489" s="359">
        <v>0.189407947509066</v>
      </c>
      <c r="E489" s="359">
        <v>0.23366617884670715</v>
      </c>
      <c r="F489" s="359">
        <v>0.18978512705578851</v>
      </c>
      <c r="G489" s="359">
        <v>0.23424048779323808</v>
      </c>
      <c r="H489" s="359">
        <v>5.8364812000000002E-2</v>
      </c>
      <c r="I489" s="359">
        <v>0.18213926229999999</v>
      </c>
      <c r="J489" s="360">
        <v>0.38157285099999999</v>
      </c>
      <c r="K489" s="360">
        <v>3.0010937800357278E-2</v>
      </c>
      <c r="L489" s="360">
        <v>0.10743275469814523</v>
      </c>
      <c r="M489" s="359">
        <v>1.1370970858534248E-2</v>
      </c>
      <c r="N489" s="352"/>
      <c r="O489" s="352"/>
      <c r="P489" s="352"/>
      <c r="Q489" s="352"/>
    </row>
    <row r="490" spans="1:17" ht="16">
      <c r="A490" s="362" t="s">
        <v>986</v>
      </c>
      <c r="B490" s="361">
        <v>57</v>
      </c>
      <c r="C490" s="359">
        <v>0.55395688422164635</v>
      </c>
      <c r="D490" s="359">
        <v>0.1948304894402503</v>
      </c>
      <c r="E490" s="359">
        <v>0.24197449963648668</v>
      </c>
      <c r="F490" s="359">
        <v>0.1948304894402503</v>
      </c>
      <c r="G490" s="359">
        <v>0.24197449963648668</v>
      </c>
      <c r="H490" s="359">
        <v>0.13547294800000001</v>
      </c>
      <c r="I490" s="359">
        <v>0.29762102039999999</v>
      </c>
      <c r="J490" s="360">
        <v>0.33591465300000001</v>
      </c>
      <c r="K490" s="360">
        <v>5.1317912232683095E-2</v>
      </c>
      <c r="L490" s="360">
        <v>0.21527117904102402</v>
      </c>
      <c r="M490" s="359">
        <v>2.9933579413431662E-2</v>
      </c>
      <c r="N490" s="352"/>
      <c r="O490" s="352"/>
      <c r="P490" s="352"/>
      <c r="Q490" s="352"/>
    </row>
    <row r="491" spans="1:17" ht="16">
      <c r="A491" s="362" t="s">
        <v>985</v>
      </c>
      <c r="B491" s="361">
        <v>52</v>
      </c>
      <c r="C491" s="359">
        <v>0.59884521958286996</v>
      </c>
      <c r="D491" s="359">
        <v>0.368304534381316</v>
      </c>
      <c r="E491" s="359">
        <v>0.58304128243282183</v>
      </c>
      <c r="F491" s="359">
        <v>0.36868507634822789</v>
      </c>
      <c r="G491" s="359">
        <v>0.58399550293474667</v>
      </c>
      <c r="H491" s="359">
        <v>0.128606422</v>
      </c>
      <c r="I491" s="359">
        <v>0.1830291667</v>
      </c>
      <c r="J491" s="360">
        <v>0.26588256399999999</v>
      </c>
      <c r="K491" s="360">
        <v>9.5599905817589051E-2</v>
      </c>
      <c r="L491" s="360">
        <v>0.18087091269859193</v>
      </c>
      <c r="M491" s="359">
        <v>4.0434752346388561E-2</v>
      </c>
      <c r="N491" s="352"/>
      <c r="O491" s="352"/>
      <c r="P491" s="352"/>
      <c r="Q491" s="352"/>
    </row>
    <row r="492" spans="1:17" ht="16">
      <c r="A492" s="362" t="s">
        <v>984</v>
      </c>
      <c r="B492" s="361">
        <v>127</v>
      </c>
      <c r="C492" s="359">
        <v>0.72544056972037196</v>
      </c>
      <c r="D492" s="359">
        <v>0.83368818474073081</v>
      </c>
      <c r="E492" s="359">
        <v>5.0128019073152768</v>
      </c>
      <c r="F492" s="359">
        <v>0.83372632351865195</v>
      </c>
      <c r="G492" s="359">
        <v>5.0141810848344122</v>
      </c>
      <c r="H492" s="359">
        <v>0.139533084</v>
      </c>
      <c r="I492" s="359">
        <v>0.33265044439999997</v>
      </c>
      <c r="J492" s="360">
        <v>0.31033787899999998</v>
      </c>
      <c r="K492" s="360">
        <v>1.1227245211715611E-2</v>
      </c>
      <c r="L492" s="360">
        <v>5.2234707180462032E-3</v>
      </c>
      <c r="M492" s="359">
        <v>9.5426469606294472E-4</v>
      </c>
      <c r="N492" s="352"/>
      <c r="O492" s="352"/>
      <c r="P492" s="352"/>
      <c r="Q492" s="352"/>
    </row>
    <row r="493" spans="1:17" ht="16">
      <c r="A493" s="362" t="s">
        <v>983</v>
      </c>
      <c r="B493" s="361">
        <v>170</v>
      </c>
      <c r="C493" s="359">
        <v>0.41752673260478906</v>
      </c>
      <c r="D493" s="359">
        <v>0.16158640193745749</v>
      </c>
      <c r="E493" s="359">
        <v>0.19272874666019404</v>
      </c>
      <c r="F493" s="359">
        <v>0.16147919352793286</v>
      </c>
      <c r="G493" s="359">
        <v>0.19257625127673211</v>
      </c>
      <c r="H493" s="359">
        <v>0.136129837</v>
      </c>
      <c r="I493" s="359">
        <v>0.237163719</v>
      </c>
      <c r="J493" s="360">
        <v>0.29218408099999998</v>
      </c>
      <c r="K493" s="360">
        <v>5.7180637399757456E-2</v>
      </c>
      <c r="L493" s="360">
        <v>0.24216925584180871</v>
      </c>
      <c r="M493" s="359">
        <v>3.5223876574243231E-2</v>
      </c>
      <c r="N493" s="352"/>
      <c r="O493" s="352"/>
      <c r="P493" s="352"/>
      <c r="Q493" s="352"/>
    </row>
    <row r="494" spans="1:17" ht="16">
      <c r="A494" s="362" t="s">
        <v>982</v>
      </c>
      <c r="B494" s="361">
        <v>14</v>
      </c>
      <c r="C494" s="359">
        <v>0.76664560273552618</v>
      </c>
      <c r="D494" s="359">
        <v>0.77823484934623821</v>
      </c>
      <c r="E494" s="359">
        <v>3.5092747758248248</v>
      </c>
      <c r="F494" s="359">
        <v>0.77838217717776204</v>
      </c>
      <c r="G494" s="359">
        <v>3.5122724664708533</v>
      </c>
      <c r="H494" s="359">
        <v>0.19208032899999999</v>
      </c>
      <c r="I494" s="359">
        <v>0.23646272730000001</v>
      </c>
      <c r="J494" s="360">
        <v>0.26624489499999998</v>
      </c>
      <c r="K494" s="360">
        <v>0.11798263123252915</v>
      </c>
      <c r="L494" s="360">
        <v>0.32199291318965401</v>
      </c>
      <c r="M494" s="359">
        <v>2.4963249931681662E-2</v>
      </c>
      <c r="N494" s="352"/>
      <c r="O494" s="352"/>
      <c r="P494" s="352"/>
      <c r="Q494" s="352"/>
    </row>
    <row r="495" spans="1:17" ht="16">
      <c r="A495" s="362" t="s">
        <v>981</v>
      </c>
      <c r="B495" s="361">
        <v>50</v>
      </c>
      <c r="C495" s="359">
        <v>0.47484888150405269</v>
      </c>
      <c r="D495" s="359">
        <v>0.24346092320420937</v>
      </c>
      <c r="E495" s="359">
        <v>0.32180878776989563</v>
      </c>
      <c r="F495" s="359">
        <v>0.24456521403569631</v>
      </c>
      <c r="G495" s="359">
        <v>0.32374100131424538</v>
      </c>
      <c r="H495" s="359">
        <v>0.16091108700000001</v>
      </c>
      <c r="I495" s="359">
        <v>0.22059279069999999</v>
      </c>
      <c r="J495" s="360">
        <v>0.26236574600000001</v>
      </c>
      <c r="K495" s="360">
        <v>0.12539369359080699</v>
      </c>
      <c r="L495" s="360">
        <v>0.20006755513045366</v>
      </c>
      <c r="M495" s="359">
        <v>3.2474854111375726E-2</v>
      </c>
      <c r="N495" s="352"/>
      <c r="O495" s="352"/>
      <c r="P495" s="352"/>
      <c r="Q495" s="352"/>
    </row>
    <row r="496" spans="1:17" ht="16">
      <c r="A496" s="362" t="s">
        <v>980</v>
      </c>
      <c r="B496" s="361">
        <v>63</v>
      </c>
      <c r="C496" s="359">
        <v>0.53476635690929319</v>
      </c>
      <c r="D496" s="359">
        <v>0.32453523177911231</v>
      </c>
      <c r="E496" s="359">
        <v>0.4804621159352373</v>
      </c>
      <c r="F496" s="359">
        <v>0.32519890578075705</v>
      </c>
      <c r="G496" s="359">
        <v>0.48191816605901927</v>
      </c>
      <c r="H496" s="359">
        <v>0.123050058</v>
      </c>
      <c r="I496" s="359">
        <v>0.19250119999999998</v>
      </c>
      <c r="J496" s="360">
        <v>0.31431388500000002</v>
      </c>
      <c r="K496" s="360">
        <v>4.9335415168519234E-2</v>
      </c>
      <c r="L496" s="360">
        <v>0.56989371563572255</v>
      </c>
      <c r="M496" s="359">
        <v>6.2209270554348418E-2</v>
      </c>
      <c r="N496" s="352"/>
      <c r="O496" s="352"/>
      <c r="P496" s="352"/>
      <c r="Q496" s="352"/>
    </row>
    <row r="497" spans="1:17" ht="16">
      <c r="A497" s="362" t="s">
        <v>979</v>
      </c>
      <c r="B497" s="361">
        <v>198</v>
      </c>
      <c r="C497" s="359">
        <v>0.35098699531586852</v>
      </c>
      <c r="D497" s="359">
        <v>0.11329246959073805</v>
      </c>
      <c r="E497" s="359">
        <v>0.12776757352951276</v>
      </c>
      <c r="F497" s="359">
        <v>0.1145700685751488</v>
      </c>
      <c r="G497" s="359">
        <v>0.12939484481937535</v>
      </c>
      <c r="H497" s="359">
        <v>5.8882193999999999E-2</v>
      </c>
      <c r="I497" s="359">
        <v>0.27531730770000001</v>
      </c>
      <c r="J497" s="360">
        <v>0.34167916599999998</v>
      </c>
      <c r="K497" s="360">
        <v>4.3211552865369769E-2</v>
      </c>
      <c r="L497" s="360">
        <v>0.1039805351251715</v>
      </c>
      <c r="M497" s="359">
        <v>2.1808086782307484E-2</v>
      </c>
      <c r="N497" s="352"/>
      <c r="O497" s="352"/>
      <c r="P497" s="352"/>
      <c r="Q497" s="352"/>
    </row>
    <row r="498" spans="1:17" ht="16">
      <c r="A498" s="362" t="s">
        <v>978</v>
      </c>
      <c r="B498" s="361">
        <v>44</v>
      </c>
      <c r="C498" s="359">
        <v>0.49016888544985265</v>
      </c>
      <c r="D498" s="359">
        <v>0.39127635326035848</v>
      </c>
      <c r="E498" s="359">
        <v>0.64278158957033604</v>
      </c>
      <c r="F498" s="359">
        <v>0.39132334362140636</v>
      </c>
      <c r="G498" s="359">
        <v>0.64290841372106977</v>
      </c>
      <c r="H498" s="359">
        <v>0.18083149900000001</v>
      </c>
      <c r="I498" s="359">
        <v>0.26919189190000004</v>
      </c>
      <c r="J498" s="360">
        <v>0.249574557</v>
      </c>
      <c r="K498" s="360">
        <v>9.9930496436815203E-2</v>
      </c>
      <c r="L498" s="360">
        <v>0.2407118871802206</v>
      </c>
      <c r="M498" s="359">
        <v>2.9084573642266159E-2</v>
      </c>
      <c r="N498" s="352"/>
      <c r="O498" s="352"/>
      <c r="P498" s="352"/>
      <c r="Q498" s="352"/>
    </row>
    <row r="499" spans="1:17" ht="16">
      <c r="A499" s="362" t="s">
        <v>977</v>
      </c>
      <c r="B499" s="361">
        <v>107</v>
      </c>
      <c r="C499" s="359">
        <v>0.36257355678778658</v>
      </c>
      <c r="D499" s="359">
        <v>7.6463096681763695E-2</v>
      </c>
      <c r="E499" s="359">
        <v>8.2793764284929391E-2</v>
      </c>
      <c r="F499" s="359">
        <v>7.6681747207603582E-2</v>
      </c>
      <c r="G499" s="359">
        <v>8.3050180125535875E-2</v>
      </c>
      <c r="H499" s="359">
        <v>8.0362211000000003E-2</v>
      </c>
      <c r="I499" s="359">
        <v>0.33400822220000004</v>
      </c>
      <c r="J499" s="360">
        <v>0.33513913400000001</v>
      </c>
      <c r="K499" s="360">
        <v>2.9130690569247553E-2</v>
      </c>
      <c r="L499" s="360">
        <v>0.11060190944999088</v>
      </c>
      <c r="M499" s="359">
        <v>3.8967718473818545E-2</v>
      </c>
      <c r="N499" s="352"/>
      <c r="O499" s="352"/>
      <c r="P499" s="352"/>
      <c r="Q499" s="352"/>
    </row>
    <row r="500" spans="1:17" ht="16">
      <c r="A500" s="362" t="s">
        <v>976</v>
      </c>
      <c r="B500" s="361">
        <v>42</v>
      </c>
      <c r="C500" s="359">
        <v>0.13176779754519186</v>
      </c>
      <c r="D500" s="359">
        <v>8.8206318841136028E-2</v>
      </c>
      <c r="E500" s="359">
        <v>9.6739339900917376E-2</v>
      </c>
      <c r="F500" s="359">
        <v>8.8231391034792994E-2</v>
      </c>
      <c r="G500" s="359">
        <v>9.6769498496915116E-2</v>
      </c>
      <c r="H500" s="359">
        <v>0.177482695</v>
      </c>
      <c r="I500" s="359">
        <v>0.442025</v>
      </c>
      <c r="J500" s="360">
        <v>0.27939319299999998</v>
      </c>
      <c r="K500" s="360">
        <v>0.12013544179740059</v>
      </c>
      <c r="L500" s="360">
        <v>2.1272265493979748E-2</v>
      </c>
      <c r="M500" s="359">
        <v>5.5887635793199367E-3</v>
      </c>
      <c r="N500" s="352"/>
      <c r="O500" s="352"/>
      <c r="P500" s="352"/>
      <c r="Q500" s="352"/>
    </row>
    <row r="501" spans="1:17" ht="16">
      <c r="A501" s="362" t="s">
        <v>975</v>
      </c>
      <c r="B501" s="361">
        <v>31</v>
      </c>
      <c r="C501" s="359">
        <v>0.6957197735495162</v>
      </c>
      <c r="D501" s="359">
        <v>0.60501110222534427</v>
      </c>
      <c r="E501" s="359">
        <v>1.5317167283281661</v>
      </c>
      <c r="F501" s="359">
        <v>0.61442398588670932</v>
      </c>
      <c r="G501" s="359">
        <v>1.5935223234767346</v>
      </c>
      <c r="H501" s="359">
        <v>0.154084323</v>
      </c>
      <c r="I501" s="359">
        <v>0.27546583330000002</v>
      </c>
      <c r="J501" s="360">
        <v>0.22070656299999999</v>
      </c>
      <c r="K501" s="360">
        <v>5.0541694404604917E-2</v>
      </c>
      <c r="L501" s="360">
        <v>0.51653686879579674</v>
      </c>
      <c r="M501" s="359">
        <v>3.1973288129643791E-2</v>
      </c>
      <c r="N501" s="352"/>
      <c r="O501" s="352"/>
      <c r="P501" s="352"/>
      <c r="Q501" s="352"/>
    </row>
    <row r="502" spans="1:17" ht="16">
      <c r="A502" s="362" t="s">
        <v>974</v>
      </c>
      <c r="B502" s="361">
        <v>102</v>
      </c>
      <c r="C502" s="359">
        <v>0.58329239817643441</v>
      </c>
      <c r="D502" s="359">
        <v>0.29564640954273391</v>
      </c>
      <c r="E502" s="359">
        <v>0.41974146728037603</v>
      </c>
      <c r="F502" s="359">
        <v>0.29762528773017105</v>
      </c>
      <c r="G502" s="359">
        <v>0.42374146240024846</v>
      </c>
      <c r="H502" s="359">
        <v>8.8399587000000002E-2</v>
      </c>
      <c r="I502" s="359">
        <v>0.25958464790000002</v>
      </c>
      <c r="J502" s="360">
        <v>0.35835703499999999</v>
      </c>
      <c r="K502" s="360">
        <v>1.772081288474029E-2</v>
      </c>
      <c r="L502" s="360">
        <v>0.29149444821568449</v>
      </c>
      <c r="M502" s="359">
        <v>1.6260523633875562E-2</v>
      </c>
      <c r="N502" s="352"/>
      <c r="O502" s="352"/>
      <c r="P502" s="352"/>
      <c r="Q502" s="352"/>
    </row>
    <row r="503" spans="1:17" ht="16">
      <c r="A503" s="362" t="s">
        <v>973</v>
      </c>
      <c r="B503" s="361">
        <v>73</v>
      </c>
      <c r="C503" s="359">
        <v>0.40616646063501721</v>
      </c>
      <c r="D503" s="359">
        <v>0.10530262762486806</v>
      </c>
      <c r="E503" s="359">
        <v>0.11769636401783952</v>
      </c>
      <c r="F503" s="359">
        <v>0.10598683397571543</v>
      </c>
      <c r="G503" s="359">
        <v>0.1185517596424709</v>
      </c>
      <c r="H503" s="359">
        <v>0.126677709</v>
      </c>
      <c r="I503" s="359">
        <v>0.30237732140000001</v>
      </c>
      <c r="J503" s="360">
        <v>0.304742177</v>
      </c>
      <c r="K503" s="360">
        <v>5.289573093303257E-2</v>
      </c>
      <c r="L503" s="360">
        <v>0.14817621223610222</v>
      </c>
      <c r="M503" s="359">
        <v>2.0188204194451418E-2</v>
      </c>
      <c r="N503" s="352"/>
      <c r="O503" s="352"/>
      <c r="P503" s="352"/>
      <c r="Q503" s="352"/>
    </row>
    <row r="504" spans="1:17" ht="16">
      <c r="A504" s="362" t="s">
        <v>972</v>
      </c>
      <c r="B504" s="361">
        <v>37</v>
      </c>
      <c r="C504" s="359">
        <v>0.56678186291653121</v>
      </c>
      <c r="D504" s="359">
        <v>0.13584861817388214</v>
      </c>
      <c r="E504" s="359">
        <v>0.15720465306299447</v>
      </c>
      <c r="F504" s="359">
        <v>0.13599944044885506</v>
      </c>
      <c r="G504" s="359">
        <v>0.15740665783770769</v>
      </c>
      <c r="H504" s="359">
        <v>0.120055834</v>
      </c>
      <c r="I504" s="359">
        <v>0.31017899999999998</v>
      </c>
      <c r="J504" s="360">
        <v>0.402459118</v>
      </c>
      <c r="K504" s="360">
        <v>2.1482677964905765E-2</v>
      </c>
      <c r="L504" s="360">
        <v>3.2373149022073326E-2</v>
      </c>
      <c r="M504" s="359">
        <v>7.0646309007136405E-3</v>
      </c>
      <c r="N504" s="352"/>
      <c r="O504" s="352"/>
      <c r="P504" s="352"/>
      <c r="Q504" s="352"/>
    </row>
    <row r="505" spans="1:17" ht="16">
      <c r="A505" s="362" t="s">
        <v>971</v>
      </c>
      <c r="B505" s="361">
        <v>41</v>
      </c>
      <c r="C505" s="359">
        <v>0.34028448649392734</v>
      </c>
      <c r="D505" s="359">
        <v>0.31385404474908019</v>
      </c>
      <c r="E505" s="359">
        <v>0.45741586370542031</v>
      </c>
      <c r="F505" s="359">
        <v>0.31425069003501516</v>
      </c>
      <c r="G505" s="359">
        <v>0.45825884979900472</v>
      </c>
      <c r="H505" s="359">
        <v>0.20140851800000001</v>
      </c>
      <c r="I505" s="359">
        <v>0.3004324324</v>
      </c>
      <c r="J505" s="360">
        <v>0.19509343200000001</v>
      </c>
      <c r="K505" s="360">
        <v>0.12636059382149856</v>
      </c>
      <c r="L505" s="360">
        <v>5.3745342797931585E-3</v>
      </c>
      <c r="M505" s="359">
        <v>6.5953220929384126E-4</v>
      </c>
      <c r="N505" s="352"/>
      <c r="O505" s="352"/>
      <c r="P505" s="352"/>
      <c r="Q505" s="352"/>
    </row>
    <row r="506" spans="1:17" ht="16">
      <c r="A506" s="362" t="s">
        <v>970</v>
      </c>
      <c r="B506" s="361">
        <v>21</v>
      </c>
      <c r="C506" s="359">
        <v>0.58926014600547583</v>
      </c>
      <c r="D506" s="359">
        <v>0.61415092542858818</v>
      </c>
      <c r="E506" s="359">
        <v>1.5916869208790154</v>
      </c>
      <c r="F506" s="359">
        <v>0.61419684240993855</v>
      </c>
      <c r="G506" s="359">
        <v>1.5919953746530993</v>
      </c>
      <c r="H506" s="359">
        <v>0.20904909099999999</v>
      </c>
      <c r="I506" s="359">
        <v>0.40697777780000005</v>
      </c>
      <c r="J506" s="360">
        <v>0.224267824</v>
      </c>
      <c r="K506" s="360">
        <v>6.9647274992549899E-2</v>
      </c>
      <c r="L506" s="360">
        <v>2.0955476730185768E-3</v>
      </c>
      <c r="M506" s="359">
        <v>3.1043967791375961E-4</v>
      </c>
      <c r="N506" s="352"/>
      <c r="O506" s="352"/>
      <c r="P506" s="352"/>
      <c r="Q506" s="352"/>
    </row>
    <row r="507" spans="1:17" ht="16">
      <c r="A507" s="362" t="s">
        <v>969</v>
      </c>
      <c r="B507" s="361">
        <v>16</v>
      </c>
      <c r="C507" s="359">
        <v>0.24939431877269339</v>
      </c>
      <c r="D507" s="359">
        <v>0.16959182441393644</v>
      </c>
      <c r="E507" s="359">
        <v>0.20422706495422735</v>
      </c>
      <c r="F507" s="359">
        <v>0.16981169571577429</v>
      </c>
      <c r="G507" s="359">
        <v>0.20454599858785416</v>
      </c>
      <c r="H507" s="359">
        <v>0.177368581</v>
      </c>
      <c r="I507" s="359">
        <v>0.50341428570000002</v>
      </c>
      <c r="J507" s="360">
        <v>0.221317135</v>
      </c>
      <c r="K507" s="360">
        <v>8.2310382531521134E-2</v>
      </c>
      <c r="L507" s="360">
        <v>4.968307160253543E-3</v>
      </c>
      <c r="M507" s="359">
        <v>5.4200156137827326E-4</v>
      </c>
      <c r="N507" s="352"/>
      <c r="O507" s="352"/>
      <c r="P507" s="352"/>
      <c r="Q507" s="352"/>
    </row>
    <row r="508" spans="1:17" ht="16">
      <c r="A508" s="362" t="s">
        <v>968</v>
      </c>
      <c r="B508" s="361">
        <v>382</v>
      </c>
      <c r="C508" s="359">
        <v>0.3407760939596437</v>
      </c>
      <c r="D508" s="359">
        <v>0.18098772602683072</v>
      </c>
      <c r="E508" s="359">
        <v>0.22098292269641839</v>
      </c>
      <c r="F508" s="359">
        <v>0.18129593026125285</v>
      </c>
      <c r="G508" s="359">
        <v>0.22144256632204767</v>
      </c>
      <c r="H508" s="359">
        <v>6.0795412E-2</v>
      </c>
      <c r="I508" s="359">
        <v>0.30431419930000003</v>
      </c>
      <c r="J508" s="360">
        <v>0.295342196</v>
      </c>
      <c r="K508" s="360">
        <v>5.9423920601345492E-2</v>
      </c>
      <c r="L508" s="360">
        <v>1.2007226149290102E-2</v>
      </c>
      <c r="M508" s="359">
        <v>1.293395160830264E-3</v>
      </c>
      <c r="N508" s="352"/>
      <c r="O508" s="352"/>
      <c r="P508" s="352"/>
      <c r="Q508" s="352"/>
    </row>
    <row r="509" spans="1:17" ht="16">
      <c r="A509" s="362" t="s">
        <v>967</v>
      </c>
      <c r="B509" s="361">
        <v>222</v>
      </c>
      <c r="C509" s="359">
        <v>0.29922240278909051</v>
      </c>
      <c r="D509" s="359">
        <v>8.3009735768234283E-2</v>
      </c>
      <c r="E509" s="359">
        <v>9.0524118964096109E-2</v>
      </c>
      <c r="F509" s="359">
        <v>8.3799060088420418E-2</v>
      </c>
      <c r="G509" s="359">
        <v>9.1463625977624155E-2</v>
      </c>
      <c r="H509" s="359">
        <v>0.139570474</v>
      </c>
      <c r="I509" s="359">
        <v>0.28610573859999999</v>
      </c>
      <c r="J509" s="360">
        <v>0.27834479499999998</v>
      </c>
      <c r="K509" s="360">
        <v>5.6038966989094746E-2</v>
      </c>
      <c r="L509" s="360">
        <v>0.16215735631276351</v>
      </c>
      <c r="M509" s="359">
        <v>1.8943472795323862E-2</v>
      </c>
      <c r="N509" s="352"/>
      <c r="O509" s="352"/>
      <c r="P509" s="352"/>
      <c r="Q509" s="352"/>
    </row>
    <row r="510" spans="1:17" ht="16">
      <c r="A510" s="362" t="s">
        <v>966</v>
      </c>
      <c r="B510" s="361">
        <v>114</v>
      </c>
      <c r="C510" s="359">
        <v>0.32384495585290024</v>
      </c>
      <c r="D510" s="359">
        <v>0.22117140506246175</v>
      </c>
      <c r="E510" s="359">
        <v>0.28397956430991034</v>
      </c>
      <c r="F510" s="359">
        <v>0.22121618979834679</v>
      </c>
      <c r="G510" s="359">
        <v>0.28405340082900093</v>
      </c>
      <c r="H510" s="359">
        <v>6.7564133999999998E-2</v>
      </c>
      <c r="I510" s="359">
        <v>0.27705364580000003</v>
      </c>
      <c r="J510" s="360">
        <v>0.41395871699999998</v>
      </c>
      <c r="K510" s="360">
        <v>0.22741200720775687</v>
      </c>
      <c r="L510" s="360">
        <v>0.47966369486393778</v>
      </c>
      <c r="M510" s="359">
        <v>5.3495887570610995E-2</v>
      </c>
      <c r="N510" s="352"/>
      <c r="O510" s="352"/>
      <c r="P510" s="352"/>
      <c r="Q510" s="352"/>
    </row>
    <row r="511" spans="1:17" ht="16">
      <c r="A511" s="362" t="s">
        <v>965</v>
      </c>
      <c r="B511" s="361">
        <v>26</v>
      </c>
      <c r="C511" s="359">
        <v>0.38746297849080524</v>
      </c>
      <c r="D511" s="359">
        <v>0.29786943924615172</v>
      </c>
      <c r="E511" s="359">
        <v>0.42423653932160671</v>
      </c>
      <c r="F511" s="359">
        <v>0.29839247333160224</v>
      </c>
      <c r="G511" s="359">
        <v>0.42529827858108493</v>
      </c>
      <c r="H511" s="359">
        <v>0.11964525099999999</v>
      </c>
      <c r="I511" s="359">
        <v>0.13958066669999999</v>
      </c>
      <c r="J511" s="360">
        <v>0.303387242</v>
      </c>
      <c r="K511" s="360">
        <v>0.19194724961980961</v>
      </c>
      <c r="L511" s="360">
        <v>0.11404638009342195</v>
      </c>
      <c r="M511" s="359">
        <v>1.1939604029500036E-2</v>
      </c>
      <c r="N511" s="352"/>
      <c r="O511" s="352"/>
      <c r="P511" s="352"/>
      <c r="Q511" s="352"/>
    </row>
    <row r="512" spans="1:17" ht="16">
      <c r="A512" s="362" t="s">
        <v>964</v>
      </c>
      <c r="B512" s="361">
        <v>14</v>
      </c>
      <c r="C512" s="359">
        <v>0.3960927114950713</v>
      </c>
      <c r="D512" s="359">
        <v>0.37800912786558216</v>
      </c>
      <c r="E512" s="359">
        <v>0.60774063543474477</v>
      </c>
      <c r="F512" s="359">
        <v>0.37909161978056133</v>
      </c>
      <c r="G512" s="359">
        <v>0.61054357109270208</v>
      </c>
      <c r="H512" s="359">
        <v>0.27973389500000001</v>
      </c>
      <c r="I512" s="359">
        <v>0.40556153849999999</v>
      </c>
      <c r="J512" s="360">
        <v>0.24666192300000001</v>
      </c>
      <c r="K512" s="360">
        <v>0.18117141934746273</v>
      </c>
      <c r="L512" s="360">
        <v>0.42585566146034287</v>
      </c>
      <c r="M512" s="359">
        <v>4.2717624811252901E-2</v>
      </c>
      <c r="N512" s="352"/>
      <c r="O512" s="352"/>
      <c r="P512" s="352"/>
      <c r="Q512" s="352"/>
    </row>
    <row r="513" spans="1:17" ht="16">
      <c r="A513" s="362" t="s">
        <v>963</v>
      </c>
      <c r="B513" s="361">
        <v>107</v>
      </c>
      <c r="C513" s="359">
        <v>0.56850672711515615</v>
      </c>
      <c r="D513" s="359">
        <v>0.41199924910199287</v>
      </c>
      <c r="E513" s="359">
        <v>0.70067810027925803</v>
      </c>
      <c r="F513" s="359">
        <v>0.41292949954896851</v>
      </c>
      <c r="G513" s="359">
        <v>0.70337293260643352</v>
      </c>
      <c r="H513" s="359">
        <v>6.5302420999999999E-2</v>
      </c>
      <c r="I513" s="359">
        <v>0.32146556699999995</v>
      </c>
      <c r="J513" s="360">
        <v>0.44158197599999999</v>
      </c>
      <c r="K513" s="360">
        <v>0.1921523572845811</v>
      </c>
      <c r="L513" s="360">
        <v>0.62412115558596204</v>
      </c>
      <c r="M513" s="359">
        <v>4.985900393974619E-2</v>
      </c>
      <c r="N513" s="352"/>
      <c r="O513" s="352"/>
      <c r="P513" s="352"/>
      <c r="Q513" s="352"/>
    </row>
    <row r="514" spans="1:17" ht="16">
      <c r="A514" s="362" t="s">
        <v>962</v>
      </c>
      <c r="B514" s="361">
        <v>27</v>
      </c>
      <c r="C514" s="359">
        <v>0.53031133361168381</v>
      </c>
      <c r="D514" s="359">
        <v>0.49731015623605784</v>
      </c>
      <c r="E514" s="359">
        <v>0.98929819729874913</v>
      </c>
      <c r="F514" s="359">
        <v>0.49849747331192984</v>
      </c>
      <c r="G514" s="359">
        <v>0.99400789982856974</v>
      </c>
      <c r="H514" s="359">
        <v>8.1992464000000001E-2</v>
      </c>
      <c r="I514" s="359">
        <v>0.2637086957</v>
      </c>
      <c r="J514" s="360">
        <v>0.306475997</v>
      </c>
      <c r="K514" s="360">
        <v>7.0774937470276245E-2</v>
      </c>
      <c r="L514" s="360">
        <v>0.8107353175328158</v>
      </c>
      <c r="M514" s="359">
        <v>4.3231197095957567E-2</v>
      </c>
      <c r="N514" s="352"/>
      <c r="O514" s="352"/>
      <c r="P514" s="352"/>
      <c r="Q514" s="352"/>
    </row>
    <row r="515" spans="1:17" ht="16">
      <c r="A515" s="362" t="s">
        <v>961</v>
      </c>
      <c r="B515" s="361">
        <v>65</v>
      </c>
      <c r="C515" s="359">
        <v>0.41791852396205753</v>
      </c>
      <c r="D515" s="359">
        <v>0.34048516911747878</v>
      </c>
      <c r="E515" s="359">
        <v>0.51626612954535522</v>
      </c>
      <c r="F515" s="359">
        <v>0.34217557759516931</v>
      </c>
      <c r="G515" s="359">
        <v>0.52016247184053555</v>
      </c>
      <c r="H515" s="359">
        <v>7.4910428000000001E-2</v>
      </c>
      <c r="I515" s="359">
        <v>0.29645983329999998</v>
      </c>
      <c r="J515" s="360">
        <v>0.35702624399999999</v>
      </c>
      <c r="K515" s="360">
        <v>0.12704718872963633</v>
      </c>
      <c r="L515" s="360">
        <v>0.35732551645965377</v>
      </c>
      <c r="M515" s="359">
        <v>3.4489957405716046E-2</v>
      </c>
      <c r="N515" s="352"/>
      <c r="O515" s="352"/>
      <c r="P515" s="352"/>
      <c r="Q515" s="352"/>
    </row>
    <row r="516" spans="1:17" ht="16">
      <c r="A516" s="362" t="s">
        <v>960</v>
      </c>
      <c r="B516" s="361">
        <v>45</v>
      </c>
      <c r="C516" s="359">
        <v>0.45777378381427414</v>
      </c>
      <c r="D516" s="359">
        <v>0.24137532136081369</v>
      </c>
      <c r="E516" s="359">
        <v>0.31817488694645474</v>
      </c>
      <c r="F516" s="359">
        <v>0.24137994911023775</v>
      </c>
      <c r="G516" s="359">
        <v>0.31818292810364107</v>
      </c>
      <c r="H516" s="359">
        <v>0.17288171499999999</v>
      </c>
      <c r="I516" s="359">
        <v>0.22590516130000002</v>
      </c>
      <c r="J516" s="360">
        <v>0.271660289</v>
      </c>
      <c r="K516" s="360">
        <v>9.1483739560233437E-2</v>
      </c>
      <c r="L516" s="360">
        <v>0.3771607562858677</v>
      </c>
      <c r="M516" s="359">
        <v>5.3986751434783216E-2</v>
      </c>
      <c r="N516" s="352"/>
      <c r="O516" s="352"/>
      <c r="P516" s="352"/>
      <c r="Q516" s="352"/>
    </row>
    <row r="517" spans="1:17" ht="16">
      <c r="A517" s="362" t="s">
        <v>959</v>
      </c>
      <c r="B517" s="361">
        <v>37</v>
      </c>
      <c r="C517" s="359">
        <v>0.26378762865425476</v>
      </c>
      <c r="D517" s="359">
        <v>0.18862735221374649</v>
      </c>
      <c r="E517" s="359">
        <v>0.23247930864861754</v>
      </c>
      <c r="F517" s="359">
        <v>0.18866908334128735</v>
      </c>
      <c r="G517" s="359">
        <v>0.23254270171076349</v>
      </c>
      <c r="H517" s="359">
        <v>0.124426339</v>
      </c>
      <c r="I517" s="359">
        <v>0.24864814809999999</v>
      </c>
      <c r="J517" s="360">
        <v>0.23267544200000001</v>
      </c>
      <c r="K517" s="360">
        <v>9.2798532320324312E-2</v>
      </c>
      <c r="L517" s="360">
        <v>0.61140595442215528</v>
      </c>
      <c r="M517" s="359">
        <v>4.926004809283932E-2</v>
      </c>
      <c r="N517" s="352"/>
      <c r="O517" s="352"/>
      <c r="P517" s="352"/>
      <c r="Q517" s="352"/>
    </row>
    <row r="518" spans="1:17" ht="16">
      <c r="A518" s="362" t="s">
        <v>958</v>
      </c>
      <c r="B518" s="361">
        <v>72</v>
      </c>
      <c r="C518" s="359">
        <v>0.52822779326896563</v>
      </c>
      <c r="D518" s="359">
        <v>0.41445363357367754</v>
      </c>
      <c r="E518" s="359">
        <v>0.70780668677555014</v>
      </c>
      <c r="F518" s="359">
        <v>0.41485264917832326</v>
      </c>
      <c r="G518" s="359">
        <v>0.70897125073843037</v>
      </c>
      <c r="H518" s="359">
        <v>0.12779412500000001</v>
      </c>
      <c r="I518" s="359">
        <v>0.1640107576</v>
      </c>
      <c r="J518" s="360">
        <v>0.21807774499999999</v>
      </c>
      <c r="K518" s="360">
        <v>9.6706751628312437E-2</v>
      </c>
      <c r="L518" s="360">
        <v>0.4186162625212046</v>
      </c>
      <c r="M518" s="359">
        <v>3.710427725966596E-2</v>
      </c>
      <c r="N518" s="352"/>
      <c r="O518" s="352"/>
      <c r="P518" s="352"/>
      <c r="Q518" s="352"/>
    </row>
    <row r="519" spans="1:17" ht="16">
      <c r="A519" s="362" t="s">
        <v>957</v>
      </c>
      <c r="B519" s="361">
        <v>53</v>
      </c>
      <c r="C519" s="359">
        <v>0.16930833061385528</v>
      </c>
      <c r="D519" s="359">
        <v>0.13452802244084458</v>
      </c>
      <c r="E519" s="359">
        <v>0.1554389118643065</v>
      </c>
      <c r="F519" s="359">
        <v>0.14363666287531579</v>
      </c>
      <c r="G519" s="359">
        <v>0.16772864583108918</v>
      </c>
      <c r="H519" s="359">
        <v>0.10947088000000001</v>
      </c>
      <c r="I519" s="359">
        <v>0.3039014894</v>
      </c>
      <c r="J519" s="360">
        <v>0.38142588300000002</v>
      </c>
      <c r="K519" s="360">
        <v>0.24219901814558784</v>
      </c>
      <c r="L519" s="360">
        <v>0.60043560593132383</v>
      </c>
      <c r="M519" s="359">
        <v>7.5153366534976368E-2</v>
      </c>
      <c r="N519" s="352"/>
      <c r="O519" s="352"/>
      <c r="P519" s="352"/>
      <c r="Q519" s="352"/>
    </row>
    <row r="520" spans="1:17" ht="16">
      <c r="A520" s="362" t="s">
        <v>956</v>
      </c>
      <c r="B520" s="361">
        <v>79</v>
      </c>
      <c r="C520" s="359">
        <v>0.36213186633654332</v>
      </c>
      <c r="D520" s="359">
        <v>0.27267367326766295</v>
      </c>
      <c r="E520" s="359">
        <v>0.37489867098954799</v>
      </c>
      <c r="F520" s="359">
        <v>0.27350947466155828</v>
      </c>
      <c r="G520" s="359">
        <v>0.37648044278917692</v>
      </c>
      <c r="H520" s="359">
        <v>0.12698018899999999</v>
      </c>
      <c r="I520" s="359">
        <v>0.29837537040000001</v>
      </c>
      <c r="J520" s="360">
        <v>0.28708626999999998</v>
      </c>
      <c r="K520" s="360">
        <v>6.0846053234354242E-2</v>
      </c>
      <c r="L520" s="360">
        <v>0.12409972959595614</v>
      </c>
      <c r="M520" s="359">
        <v>1.0810404022942723E-2</v>
      </c>
      <c r="N520" s="352"/>
      <c r="O520" s="352"/>
      <c r="P520" s="352"/>
      <c r="Q520" s="352"/>
    </row>
    <row r="521" spans="1:17" ht="16">
      <c r="A521" s="362" t="s">
        <v>955</v>
      </c>
      <c r="B521" s="361">
        <v>178</v>
      </c>
      <c r="C521" s="359">
        <v>0.42508870275232291</v>
      </c>
      <c r="D521" s="359">
        <v>0.45106372780736875</v>
      </c>
      <c r="E521" s="359">
        <v>0.82170508792518393</v>
      </c>
      <c r="F521" s="359">
        <v>0.45120036848321221</v>
      </c>
      <c r="G521" s="359">
        <v>0.82215865786238229</v>
      </c>
      <c r="H521" s="359">
        <v>1.6759787000000002E-2</v>
      </c>
      <c r="I521" s="359">
        <v>0.39814993379999997</v>
      </c>
      <c r="J521" s="360">
        <v>0.22380704500000001</v>
      </c>
      <c r="K521" s="360">
        <v>2.8964465743223797E-2</v>
      </c>
      <c r="L521" s="360">
        <v>0.71235428717944238</v>
      </c>
      <c r="M521" s="359">
        <v>4.7688284711632813E-3</v>
      </c>
      <c r="N521" s="352"/>
      <c r="O521" s="352"/>
      <c r="P521" s="352"/>
      <c r="Q521" s="352"/>
    </row>
    <row r="522" spans="1:17" ht="16">
      <c r="A522" s="362" t="s">
        <v>954</v>
      </c>
      <c r="B522" s="361">
        <v>66</v>
      </c>
      <c r="C522" s="359">
        <v>0.48990502526604479</v>
      </c>
      <c r="D522" s="359">
        <v>0.45069341085519132</v>
      </c>
      <c r="E522" s="359">
        <v>0.82047697908895667</v>
      </c>
      <c r="F522" s="359">
        <v>0.45072565931390063</v>
      </c>
      <c r="G522" s="359">
        <v>0.82058386115560844</v>
      </c>
      <c r="H522" s="359">
        <v>0.10872422700000001</v>
      </c>
      <c r="I522" s="359">
        <v>0.22065619049999999</v>
      </c>
      <c r="J522" s="360">
        <v>0.279810854</v>
      </c>
      <c r="K522" s="360">
        <v>6.4597721447582288E-2</v>
      </c>
      <c r="L522" s="360">
        <v>6.7682475987718288E-2</v>
      </c>
      <c r="M522" s="359">
        <v>3.3374688245613035E-3</v>
      </c>
      <c r="N522" s="352"/>
      <c r="O522" s="352"/>
      <c r="P522" s="352"/>
      <c r="Q522" s="352"/>
    </row>
    <row r="523" spans="1:17" ht="16">
      <c r="A523" s="362" t="s">
        <v>953</v>
      </c>
      <c r="B523" s="361">
        <v>54</v>
      </c>
      <c r="C523" s="359">
        <v>0.56987491382263189</v>
      </c>
      <c r="D523" s="359">
        <v>0.53713751739439364</v>
      </c>
      <c r="E523" s="359">
        <v>1.1604689029248356</v>
      </c>
      <c r="F523" s="359">
        <v>0.53754706947185216</v>
      </c>
      <c r="G523" s="359">
        <v>1.1623822317612786</v>
      </c>
      <c r="H523" s="359">
        <v>0.109531244</v>
      </c>
      <c r="I523" s="359">
        <v>0.22788088240000001</v>
      </c>
      <c r="J523" s="360">
        <v>0.267151044</v>
      </c>
      <c r="K523" s="360">
        <v>2.2516448260896157E-2</v>
      </c>
      <c r="L523" s="360">
        <v>0.26204561949486638</v>
      </c>
      <c r="M523" s="359">
        <v>4.4580037949389622E-3</v>
      </c>
      <c r="N523" s="352"/>
      <c r="O523" s="352"/>
      <c r="P523" s="352"/>
      <c r="Q523" s="352"/>
    </row>
    <row r="524" spans="1:17" ht="16">
      <c r="A524" s="362" t="s">
        <v>952</v>
      </c>
      <c r="B524" s="361">
        <v>243</v>
      </c>
      <c r="C524" s="359">
        <v>0.51369780800518494</v>
      </c>
      <c r="D524" s="359">
        <v>0.47654038106630736</v>
      </c>
      <c r="E524" s="359">
        <v>0.91036703468557589</v>
      </c>
      <c r="F524" s="359">
        <v>0.47707883553773978</v>
      </c>
      <c r="G524" s="359">
        <v>0.91233414893110731</v>
      </c>
      <c r="H524" s="359">
        <v>0.13318329700000001</v>
      </c>
      <c r="I524" s="359">
        <v>0.27414176470000001</v>
      </c>
      <c r="J524" s="360">
        <v>0.215505223</v>
      </c>
      <c r="K524" s="360">
        <v>2.976377265693456E-2</v>
      </c>
      <c r="L524" s="360">
        <v>0.57221514585931987</v>
      </c>
      <c r="M524" s="359">
        <v>1.2313086778692841E-3</v>
      </c>
      <c r="N524" s="352"/>
      <c r="O524" s="352"/>
      <c r="P524" s="352"/>
      <c r="Q524" s="352"/>
    </row>
    <row r="525" spans="1:17" ht="16">
      <c r="A525" s="362" t="s">
        <v>951</v>
      </c>
      <c r="B525" s="361">
        <v>61</v>
      </c>
      <c r="C525" s="359">
        <v>0.54357433384402254</v>
      </c>
      <c r="D525" s="359">
        <v>0.16957804944694355</v>
      </c>
      <c r="E525" s="359">
        <v>0.20420708934055212</v>
      </c>
      <c r="F525" s="359">
        <v>0.1753094173983826</v>
      </c>
      <c r="G525" s="359">
        <v>0.2125759904343047</v>
      </c>
      <c r="H525" s="359">
        <v>9.7804652000000006E-2</v>
      </c>
      <c r="I525" s="359">
        <v>0.2989095745</v>
      </c>
      <c r="J525" s="360">
        <v>0.28307946899999997</v>
      </c>
      <c r="K525" s="360">
        <v>3.142539790132938E-2</v>
      </c>
      <c r="L525" s="360">
        <v>0.42726394293590564</v>
      </c>
      <c r="M525" s="359">
        <v>4.7499026556494357E-2</v>
      </c>
      <c r="N525" s="352"/>
      <c r="O525" s="352"/>
      <c r="P525" s="352"/>
      <c r="Q525" s="352"/>
    </row>
    <row r="526" spans="1:17" ht="16">
      <c r="A526" s="362" t="s">
        <v>950</v>
      </c>
      <c r="B526" s="361">
        <v>4</v>
      </c>
      <c r="C526" s="359">
        <v>0.25539604373591518</v>
      </c>
      <c r="D526" s="359">
        <v>0.21860297497096706</v>
      </c>
      <c r="E526" s="359">
        <v>0.27975915951669361</v>
      </c>
      <c r="F526" s="359">
        <v>0.22183541625838002</v>
      </c>
      <c r="G526" s="359">
        <v>0.28507518961057954</v>
      </c>
      <c r="H526" s="359">
        <v>0.227006076</v>
      </c>
      <c r="I526" s="359">
        <v>0.33722499999999994</v>
      </c>
      <c r="J526" s="360">
        <v>0.20917112199999999</v>
      </c>
      <c r="K526" s="360">
        <v>8.8999811854496805E-2</v>
      </c>
      <c r="L526" s="360">
        <v>0</v>
      </c>
      <c r="M526" s="359">
        <v>1.7638552335550998E-4</v>
      </c>
      <c r="N526" s="352"/>
      <c r="O526" s="352"/>
      <c r="P526" s="352"/>
      <c r="Q526" s="352"/>
    </row>
    <row r="527" spans="1:17" ht="16">
      <c r="A527" s="362" t="s">
        <v>949</v>
      </c>
      <c r="B527" s="361">
        <v>41</v>
      </c>
      <c r="C527" s="359">
        <v>0.64350614900797709</v>
      </c>
      <c r="D527" s="359">
        <v>0.32233370971985403</v>
      </c>
      <c r="E527" s="359">
        <v>0.47565256578809884</v>
      </c>
      <c r="F527" s="359">
        <v>0.32268459340348843</v>
      </c>
      <c r="G527" s="359">
        <v>0.47641702855242624</v>
      </c>
      <c r="H527" s="359">
        <v>5.9649635999999999E-2</v>
      </c>
      <c r="I527" s="359">
        <v>0.4025548571</v>
      </c>
      <c r="J527" s="360">
        <v>0.35181824900000003</v>
      </c>
      <c r="K527" s="360">
        <v>2.3231933451234598E-2</v>
      </c>
      <c r="L527" s="360">
        <v>0.34166731530410971</v>
      </c>
      <c r="M527" s="359">
        <v>1.8597526049588975E-2</v>
      </c>
      <c r="N527" s="352"/>
      <c r="O527" s="352"/>
      <c r="P527" s="352"/>
      <c r="Q527" s="352"/>
    </row>
    <row r="528" spans="1:17" ht="16">
      <c r="A528" s="362" t="s">
        <v>948</v>
      </c>
      <c r="B528" s="361">
        <v>24</v>
      </c>
      <c r="C528" s="359">
        <v>0.42368806086249983</v>
      </c>
      <c r="D528" s="359">
        <v>0.26446563791134148</v>
      </c>
      <c r="E528" s="359">
        <v>0.35955578901895524</v>
      </c>
      <c r="F528" s="359">
        <v>0.26446563791134148</v>
      </c>
      <c r="G528" s="359">
        <v>0.35955578901895524</v>
      </c>
      <c r="H528" s="359">
        <v>0.18474449600000001</v>
      </c>
      <c r="I528" s="359">
        <v>0.38411850000000003</v>
      </c>
      <c r="J528" s="360">
        <v>0.28528620599999999</v>
      </c>
      <c r="K528" s="360">
        <v>0.10081596097914049</v>
      </c>
      <c r="L528" s="360">
        <v>0.29406126005690625</v>
      </c>
      <c r="M528" s="359">
        <v>3.3622647712442638E-2</v>
      </c>
      <c r="N528" s="352"/>
      <c r="O528" s="352"/>
      <c r="P528" s="352"/>
      <c r="Q528" s="352"/>
    </row>
    <row r="529" spans="1:17" ht="16">
      <c r="A529" s="362" t="s">
        <v>947</v>
      </c>
      <c r="B529" s="361">
        <v>22</v>
      </c>
      <c r="C529" s="359">
        <v>0.41439999393632243</v>
      </c>
      <c r="D529" s="359">
        <v>0.33530861540597356</v>
      </c>
      <c r="E529" s="359">
        <v>0.50445759216628028</v>
      </c>
      <c r="F529" s="359">
        <v>0.33672271941669363</v>
      </c>
      <c r="G529" s="359">
        <v>0.50766508860452642</v>
      </c>
      <c r="H529" s="359">
        <v>0.180027572</v>
      </c>
      <c r="I529" s="359">
        <v>0.42721666669999997</v>
      </c>
      <c r="J529" s="360">
        <v>0.26791303399999999</v>
      </c>
      <c r="K529" s="360">
        <v>0.13133432069891859</v>
      </c>
      <c r="L529" s="360">
        <v>0.43460316593436488</v>
      </c>
      <c r="M529" s="359">
        <v>2.7283205008779381E-2</v>
      </c>
      <c r="N529" s="352"/>
      <c r="O529" s="352"/>
      <c r="P529" s="352"/>
      <c r="Q529" s="352"/>
    </row>
    <row r="530" spans="1:17" ht="16">
      <c r="A530" s="362" t="s">
        <v>946</v>
      </c>
      <c r="B530" s="361">
        <v>120</v>
      </c>
      <c r="C530" s="359">
        <v>0.53904195410997546</v>
      </c>
      <c r="D530" s="359">
        <v>0.23812576408433889</v>
      </c>
      <c r="E530" s="359">
        <v>0.31255258789286477</v>
      </c>
      <c r="F530" s="359">
        <v>0.23850123840787332</v>
      </c>
      <c r="G530" s="359">
        <v>0.31319977186728393</v>
      </c>
      <c r="H530" s="359">
        <v>0.181119524</v>
      </c>
      <c r="I530" s="359">
        <v>0.34044445779999999</v>
      </c>
      <c r="J530" s="360">
        <v>0.29425285000000001</v>
      </c>
      <c r="K530" s="360">
        <v>6.4134226147452469E-2</v>
      </c>
      <c r="L530" s="360">
        <v>0.12583151977746504</v>
      </c>
      <c r="M530" s="359">
        <v>1.7051306457957768E-2</v>
      </c>
      <c r="N530" s="352"/>
      <c r="O530" s="352"/>
      <c r="P530" s="352"/>
      <c r="Q530" s="352"/>
    </row>
    <row r="531" spans="1:17" ht="16">
      <c r="A531" s="362" t="s">
        <v>945</v>
      </c>
      <c r="B531" s="361">
        <v>19</v>
      </c>
      <c r="C531" s="359">
        <v>0.70256471992546521</v>
      </c>
      <c r="D531" s="359">
        <v>0.51469921875000002</v>
      </c>
      <c r="E531" s="359">
        <v>1.0605777666878626</v>
      </c>
      <c r="F531" s="359">
        <v>0.51593711805244225</v>
      </c>
      <c r="G531" s="359">
        <v>1.0658473047481829</v>
      </c>
      <c r="H531" s="359">
        <v>0.17346794300000001</v>
      </c>
      <c r="I531" s="359">
        <v>0.32200764710000002</v>
      </c>
      <c r="J531" s="360">
        <v>0.26608281700000003</v>
      </c>
      <c r="K531" s="360">
        <v>9.5572582691182809E-2</v>
      </c>
      <c r="L531" s="360">
        <v>0.34184588040240543</v>
      </c>
      <c r="M531" s="359">
        <v>3.0969802419178578E-2</v>
      </c>
      <c r="N531" s="352"/>
      <c r="O531" s="352"/>
      <c r="P531" s="352"/>
      <c r="Q531" s="352"/>
    </row>
    <row r="532" spans="1:17" ht="16">
      <c r="A532" s="362" t="s">
        <v>944</v>
      </c>
      <c r="B532" s="361">
        <v>34</v>
      </c>
      <c r="C532" s="359">
        <v>0.58531523954650955</v>
      </c>
      <c r="D532" s="359">
        <v>0.38684837351716594</v>
      </c>
      <c r="E532" s="359">
        <v>0.63091796027062519</v>
      </c>
      <c r="F532" s="359">
        <v>0.38707520569938481</v>
      </c>
      <c r="G532" s="359">
        <v>0.63152153298197278</v>
      </c>
      <c r="H532" s="359">
        <v>0.18673609599999999</v>
      </c>
      <c r="I532" s="359">
        <v>0.2984871429</v>
      </c>
      <c r="J532" s="360">
        <v>0.21275919200000001</v>
      </c>
      <c r="K532" s="360">
        <v>9.4063273195638175E-2</v>
      </c>
      <c r="L532" s="360">
        <v>0.41850150693688687</v>
      </c>
      <c r="M532" s="359">
        <v>3.5890689610604723E-2</v>
      </c>
      <c r="N532" s="352"/>
      <c r="O532" s="352"/>
      <c r="P532" s="352"/>
      <c r="Q532" s="352"/>
    </row>
    <row r="533" spans="1:17" ht="16">
      <c r="A533" s="362" t="s">
        <v>943</v>
      </c>
      <c r="B533" s="361">
        <v>100</v>
      </c>
      <c r="C533" s="359">
        <v>0.22913498297633983</v>
      </c>
      <c r="D533" s="359">
        <v>7.8664659125164085E-2</v>
      </c>
      <c r="E533" s="359">
        <v>8.5381137176904126E-2</v>
      </c>
      <c r="F533" s="359">
        <v>7.8843503659204811E-2</v>
      </c>
      <c r="G533" s="359">
        <v>8.559186628157428E-2</v>
      </c>
      <c r="H533" s="359">
        <v>9.1002612999999996E-2</v>
      </c>
      <c r="I533" s="359">
        <v>0.29104650599999998</v>
      </c>
      <c r="J533" s="360">
        <v>0.41700695300000001</v>
      </c>
      <c r="K533" s="360">
        <v>-2.2560676582465619E-3</v>
      </c>
      <c r="L533" s="360">
        <v>5.3473631287252854E-2</v>
      </c>
      <c r="M533" s="359">
        <v>1.1208385618440647E-2</v>
      </c>
      <c r="N533" s="352"/>
      <c r="O533" s="352"/>
      <c r="P533" s="352"/>
      <c r="Q533" s="352"/>
    </row>
    <row r="534" spans="1:17" ht="16">
      <c r="A534" s="362" t="s">
        <v>942</v>
      </c>
      <c r="B534" s="361">
        <v>71</v>
      </c>
      <c r="C534" s="359">
        <v>0.49954291970054576</v>
      </c>
      <c r="D534" s="359">
        <v>0.19149078309613349</v>
      </c>
      <c r="E534" s="359">
        <v>0.23684427968481919</v>
      </c>
      <c r="F534" s="359">
        <v>0.19199828026046745</v>
      </c>
      <c r="G534" s="359">
        <v>0.23762112823517259</v>
      </c>
      <c r="H534" s="359">
        <v>0.13735593099999999</v>
      </c>
      <c r="I534" s="359">
        <v>0.30982351850000001</v>
      </c>
      <c r="J534" s="360">
        <v>0.34086833</v>
      </c>
      <c r="K534" s="360">
        <v>5.8993800314273141E-2</v>
      </c>
      <c r="L534" s="360">
        <v>0.3430795157095517</v>
      </c>
      <c r="M534" s="359">
        <v>1.5005478854618571E-2</v>
      </c>
      <c r="N534" s="352"/>
      <c r="O534" s="352"/>
      <c r="P534" s="352"/>
      <c r="Q534" s="352"/>
    </row>
    <row r="535" spans="1:17" ht="16">
      <c r="A535" s="362" t="s">
        <v>941</v>
      </c>
      <c r="B535" s="361">
        <v>8</v>
      </c>
      <c r="C535" s="359">
        <v>0.39617178261212999</v>
      </c>
      <c r="D535" s="359">
        <v>0.27668900357021775</v>
      </c>
      <c r="E535" s="359">
        <v>0.3825311725328901</v>
      </c>
      <c r="F535" s="359">
        <v>0.27668900357021775</v>
      </c>
      <c r="G535" s="359">
        <v>0.3825311725328901</v>
      </c>
      <c r="H535" s="359">
        <v>0.194154047</v>
      </c>
      <c r="I535" s="359">
        <v>0.19278625000000002</v>
      </c>
      <c r="J535" s="360">
        <v>0.217345809</v>
      </c>
      <c r="K535" s="360">
        <v>0.13462644064113846</v>
      </c>
      <c r="L535" s="360">
        <v>0.33444995857314691</v>
      </c>
      <c r="M535" s="359">
        <v>2.9712666068940408E-2</v>
      </c>
      <c r="N535" s="352"/>
      <c r="O535" s="352"/>
      <c r="P535" s="352"/>
      <c r="Q535" s="352"/>
    </row>
    <row r="536" spans="1:17" ht="16">
      <c r="A536" s="362" t="s">
        <v>940</v>
      </c>
      <c r="B536" s="361">
        <v>36</v>
      </c>
      <c r="C536" s="359">
        <v>0.40787525753587744</v>
      </c>
      <c r="D536" s="359">
        <v>0.11411704553227761</v>
      </c>
      <c r="E536" s="359">
        <v>0.1288172946061979</v>
      </c>
      <c r="F536" s="359">
        <v>0.11515893606674341</v>
      </c>
      <c r="G536" s="359">
        <v>0.13014646444508798</v>
      </c>
      <c r="H536" s="359">
        <v>4.6590118999999999E-2</v>
      </c>
      <c r="I536" s="359">
        <v>0.27680033329999998</v>
      </c>
      <c r="J536" s="360">
        <v>0.36822043199999999</v>
      </c>
      <c r="K536" s="360">
        <v>5.9292735039280217E-2</v>
      </c>
      <c r="L536" s="360">
        <v>0.20137030835939446</v>
      </c>
      <c r="M536" s="359">
        <v>5.5591427643662206E-2</v>
      </c>
      <c r="N536" s="352"/>
      <c r="O536" s="352"/>
      <c r="P536" s="352"/>
      <c r="Q536" s="352"/>
    </row>
    <row r="537" spans="1:17" ht="16">
      <c r="A537" s="362" t="s">
        <v>939</v>
      </c>
      <c r="B537" s="361">
        <v>21</v>
      </c>
      <c r="C537" s="359">
        <v>0.23714860185791181</v>
      </c>
      <c r="D537" s="359">
        <v>1.7059931091977183E-2</v>
      </c>
      <c r="E537" s="359">
        <v>1.7356023659641392E-2</v>
      </c>
      <c r="F537" s="359">
        <v>1.7632607366955461E-2</v>
      </c>
      <c r="G537" s="359">
        <v>1.7949096742405801E-2</v>
      </c>
      <c r="H537" s="359">
        <v>7.8966366999999996E-2</v>
      </c>
      <c r="I537" s="359">
        <v>0.31864999999999999</v>
      </c>
      <c r="J537" s="360">
        <v>0.32684689700000003</v>
      </c>
      <c r="K537" s="360">
        <v>2.508287576199375E-2</v>
      </c>
      <c r="L537" s="360">
        <v>0.14404223523097559</v>
      </c>
      <c r="M537" s="359">
        <v>3.8630456860020805E-2</v>
      </c>
      <c r="N537" s="352"/>
      <c r="O537" s="352"/>
      <c r="P537" s="352"/>
      <c r="Q537" s="352"/>
    </row>
    <row r="538" spans="1:17" ht="16">
      <c r="A538" s="362" t="s">
        <v>938</v>
      </c>
      <c r="B538" s="361">
        <v>62</v>
      </c>
      <c r="C538" s="359">
        <v>0.40349254689809178</v>
      </c>
      <c r="D538" s="359">
        <v>0.23580549684878149</v>
      </c>
      <c r="E538" s="359">
        <v>0.30856738157160024</v>
      </c>
      <c r="F538" s="359">
        <v>0.23725134721483515</v>
      </c>
      <c r="G538" s="359">
        <v>0.31104787448462284</v>
      </c>
      <c r="H538" s="359">
        <v>4.795754E-2</v>
      </c>
      <c r="I538" s="359">
        <v>0.21304018180000001</v>
      </c>
      <c r="J538" s="360">
        <v>0.30683651899999997</v>
      </c>
      <c r="K538" s="360">
        <v>0.15149462760167157</v>
      </c>
      <c r="L538" s="360">
        <v>0.56985766266038118</v>
      </c>
      <c r="M538" s="359">
        <v>4.8064503081720514E-2</v>
      </c>
      <c r="N538" s="352"/>
      <c r="O538" s="352"/>
      <c r="P538" s="352"/>
      <c r="Q538" s="352"/>
    </row>
    <row r="539" spans="1:17" ht="16">
      <c r="A539" s="362" t="s">
        <v>937</v>
      </c>
      <c r="B539" s="361">
        <v>9</v>
      </c>
      <c r="C539" s="359">
        <v>0.46414364162046728</v>
      </c>
      <c r="D539" s="359">
        <v>0.105842519324836</v>
      </c>
      <c r="E539" s="359">
        <v>0.11837122834885418</v>
      </c>
      <c r="F539" s="359">
        <v>0.10898675586407386</v>
      </c>
      <c r="G539" s="359">
        <v>0.12231777314350187</v>
      </c>
      <c r="H539" s="359">
        <v>0.17338730199999999</v>
      </c>
      <c r="I539" s="359">
        <v>0.23019999999999999</v>
      </c>
      <c r="J539" s="360">
        <v>0.28479222799999998</v>
      </c>
      <c r="K539" s="360">
        <v>2.6090529243157416E-2</v>
      </c>
      <c r="L539" s="360">
        <v>0.2190319636649018</v>
      </c>
      <c r="M539" s="359">
        <v>9.6626077322168619E-3</v>
      </c>
      <c r="N539" s="352"/>
      <c r="O539" s="352"/>
      <c r="P539" s="352"/>
      <c r="Q539" s="352"/>
    </row>
    <row r="540" spans="1:17" ht="16">
      <c r="A540" s="362" t="s">
        <v>936</v>
      </c>
      <c r="B540" s="361">
        <v>60</v>
      </c>
      <c r="C540" s="359">
        <v>0.22761177391536747</v>
      </c>
      <c r="D540" s="359">
        <v>7.4202035480417178E-2</v>
      </c>
      <c r="E540" s="359">
        <v>8.0149274813886923E-2</v>
      </c>
      <c r="F540" s="359">
        <v>7.2415752894521679E-2</v>
      </c>
      <c r="G540" s="359">
        <v>7.8069192227546602E-2</v>
      </c>
      <c r="H540" s="359">
        <v>8.0433129000000006E-2</v>
      </c>
      <c r="I540" s="359">
        <v>0.26000777780000001</v>
      </c>
      <c r="J540" s="360">
        <v>0.362203424</v>
      </c>
      <c r="K540" s="360">
        <v>1.6027638255852565E-2</v>
      </c>
      <c r="L540" s="360">
        <v>6.8105353973101773E-2</v>
      </c>
      <c r="M540" s="359">
        <v>1.835491321410564E-2</v>
      </c>
      <c r="N540" s="352"/>
      <c r="O540" s="352"/>
      <c r="P540" s="352"/>
      <c r="Q540" s="352"/>
    </row>
    <row r="541" spans="1:17" ht="16">
      <c r="A541" s="362" t="s">
        <v>935</v>
      </c>
      <c r="B541" s="361">
        <v>30</v>
      </c>
      <c r="C541" s="359">
        <v>0.60534377802138484</v>
      </c>
      <c r="D541" s="359">
        <v>0.14193342055647593</v>
      </c>
      <c r="E541" s="359">
        <v>0.16541073147088775</v>
      </c>
      <c r="F541" s="359">
        <v>0.1421910320031439</v>
      </c>
      <c r="G541" s="359">
        <v>0.16576071981992269</v>
      </c>
      <c r="H541" s="359">
        <v>6.3738003000000001E-2</v>
      </c>
      <c r="I541" s="359">
        <v>0.17813090909999998</v>
      </c>
      <c r="J541" s="360">
        <v>0.29282437500000003</v>
      </c>
      <c r="K541" s="360">
        <v>4.3158143276906202E-2</v>
      </c>
      <c r="L541" s="360">
        <v>0.39174414990936607</v>
      </c>
      <c r="M541" s="359">
        <v>0.13843047912033696</v>
      </c>
      <c r="N541" s="352"/>
      <c r="O541" s="352"/>
      <c r="P541" s="352"/>
      <c r="Q541" s="352"/>
    </row>
    <row r="542" spans="1:17" ht="16">
      <c r="A542" s="362" t="s">
        <v>934</v>
      </c>
      <c r="B542" s="361">
        <v>366</v>
      </c>
      <c r="C542" s="359">
        <v>0.31810426297274924</v>
      </c>
      <c r="D542" s="359">
        <v>8.5032034218906913E-2</v>
      </c>
      <c r="E542" s="359">
        <v>9.2934438580389495E-2</v>
      </c>
      <c r="F542" s="359">
        <v>8.5309415341271039E-2</v>
      </c>
      <c r="G542" s="359">
        <v>9.3265872385796977E-2</v>
      </c>
      <c r="H542" s="359">
        <v>8.3346354999999997E-2</v>
      </c>
      <c r="I542" s="359">
        <v>0.27630796299999999</v>
      </c>
      <c r="J542" s="360">
        <v>0.34481715600000001</v>
      </c>
      <c r="K542" s="360">
        <v>3.1966069620663215E-2</v>
      </c>
      <c r="L542" s="360">
        <v>6.0863978418546787E-2</v>
      </c>
      <c r="M542" s="359">
        <v>1.1324088148439167E-2</v>
      </c>
      <c r="N542" s="352"/>
      <c r="O542" s="352"/>
      <c r="P542" s="352"/>
      <c r="Q542" s="352"/>
    </row>
    <row r="543" spans="1:17" ht="16">
      <c r="A543" s="362" t="s">
        <v>933</v>
      </c>
      <c r="B543" s="361">
        <v>56</v>
      </c>
      <c r="C543" s="359">
        <v>0.25788784599140413</v>
      </c>
      <c r="D543" s="359">
        <v>0.28131061137130958</v>
      </c>
      <c r="E543" s="359">
        <v>0.39142168483671352</v>
      </c>
      <c r="F543" s="359">
        <v>0.2830370162387873</v>
      </c>
      <c r="G543" s="359">
        <v>0.3947721467487279</v>
      </c>
      <c r="H543" s="359">
        <v>0.15205645500000001</v>
      </c>
      <c r="I543" s="359">
        <v>0.23203199999999999</v>
      </c>
      <c r="J543" s="360">
        <v>0.30711533699999999</v>
      </c>
      <c r="K543" s="360">
        <v>0.31707356283221111</v>
      </c>
      <c r="L543" s="360">
        <v>0.31070601489165561</v>
      </c>
      <c r="M543" s="359">
        <v>3.5326430045081743E-2</v>
      </c>
      <c r="N543" s="352"/>
      <c r="O543" s="352"/>
      <c r="P543" s="352"/>
      <c r="Q543" s="352"/>
    </row>
    <row r="544" spans="1:17" ht="16">
      <c r="A544" s="362" t="s">
        <v>932</v>
      </c>
      <c r="B544" s="361">
        <v>13</v>
      </c>
      <c r="C544" s="359">
        <v>0.54073888338078302</v>
      </c>
      <c r="D544" s="359">
        <v>0.58493711406439808</v>
      </c>
      <c r="E544" s="359">
        <v>1.4092734712858732</v>
      </c>
      <c r="F544" s="359">
        <v>0.58493711406439808</v>
      </c>
      <c r="G544" s="359">
        <v>1.4092734712858732</v>
      </c>
      <c r="H544" s="359">
        <v>0.15072074699999999</v>
      </c>
      <c r="I544" s="359">
        <v>0.2640583333</v>
      </c>
      <c r="J544" s="360">
        <v>0.227026437</v>
      </c>
      <c r="K544" s="360">
        <v>0.12460107781475176</v>
      </c>
      <c r="L544" s="360">
        <v>0.25413895726840252</v>
      </c>
      <c r="M544" s="359">
        <v>3.8983696831017836E-2</v>
      </c>
      <c r="N544" s="352"/>
      <c r="O544" s="352"/>
      <c r="P544" s="352"/>
      <c r="Q544" s="352"/>
    </row>
    <row r="545" spans="1:17" ht="16">
      <c r="A545" s="362" t="s">
        <v>931</v>
      </c>
      <c r="B545" s="361">
        <v>53</v>
      </c>
      <c r="C545" s="359">
        <v>0.28417682858139581</v>
      </c>
      <c r="D545" s="359">
        <v>0.13452047518672688</v>
      </c>
      <c r="E545" s="359">
        <v>0.15542883607298466</v>
      </c>
      <c r="F545" s="359">
        <v>0.13461587781504486</v>
      </c>
      <c r="G545" s="359">
        <v>0.15555621412969944</v>
      </c>
      <c r="H545" s="359">
        <v>0.101451559</v>
      </c>
      <c r="I545" s="359">
        <v>0.22661934779999998</v>
      </c>
      <c r="J545" s="360">
        <v>0.314476792</v>
      </c>
      <c r="K545" s="360">
        <v>0.10316092429654296</v>
      </c>
      <c r="L545" s="360">
        <v>7.3098299208052511E-2</v>
      </c>
      <c r="M545" s="359">
        <v>1.428427200728552E-2</v>
      </c>
      <c r="N545" s="352"/>
      <c r="O545" s="352"/>
      <c r="P545" s="352"/>
      <c r="Q545" s="352"/>
    </row>
    <row r="546" spans="1:17" ht="16">
      <c r="A546" s="362" t="s">
        <v>930</v>
      </c>
      <c r="B546" s="361">
        <v>71</v>
      </c>
      <c r="C546" s="359">
        <v>0.59244549016607917</v>
      </c>
      <c r="D546" s="359">
        <v>0.53889625732992186</v>
      </c>
      <c r="E546" s="359">
        <v>1.1687093542320359</v>
      </c>
      <c r="F546" s="359">
        <v>0.53942314898579147</v>
      </c>
      <c r="G546" s="359">
        <v>1.1711903188316137</v>
      </c>
      <c r="H546" s="359">
        <v>0.12576504399999999</v>
      </c>
      <c r="I546" s="359">
        <v>0.2333670175</v>
      </c>
      <c r="J546" s="360">
        <v>0.26292416699999999</v>
      </c>
      <c r="K546" s="360">
        <v>0.14276757541662385</v>
      </c>
      <c r="L546" s="360">
        <v>0.35056220611167166</v>
      </c>
      <c r="M546" s="359">
        <v>6.1760718884353902E-2</v>
      </c>
      <c r="N546" s="352"/>
      <c r="O546" s="352"/>
      <c r="P546" s="352"/>
      <c r="Q546" s="352"/>
    </row>
    <row r="547" spans="1:17" ht="16">
      <c r="A547" s="362" t="s">
        <v>929</v>
      </c>
      <c r="B547" s="361">
        <v>6</v>
      </c>
      <c r="C547" s="359">
        <v>0.44634127828454734</v>
      </c>
      <c r="D547" s="359">
        <v>0.38896936000648341</v>
      </c>
      <c r="E547" s="359">
        <v>0.63657914112230218</v>
      </c>
      <c r="F547" s="359">
        <v>0.38896936000648341</v>
      </c>
      <c r="G547" s="359">
        <v>0.63657914112230218</v>
      </c>
      <c r="H547" s="359">
        <v>0.209325967</v>
      </c>
      <c r="I547" s="359">
        <v>0.44668333330000004</v>
      </c>
      <c r="J547" s="360">
        <v>0.13440439400000001</v>
      </c>
      <c r="K547" s="360">
        <v>0.11981831248892211</v>
      </c>
      <c r="L547" s="360">
        <v>4.418573941969145E-2</v>
      </c>
      <c r="M547" s="359">
        <v>5.0873257661971146E-3</v>
      </c>
      <c r="N547" s="352"/>
      <c r="O547" s="352"/>
      <c r="P547" s="352"/>
      <c r="Q547" s="352"/>
    </row>
    <row r="548" spans="1:17" ht="16">
      <c r="A548" s="362" t="s">
        <v>928</v>
      </c>
      <c r="B548" s="361">
        <v>36</v>
      </c>
      <c r="C548" s="359">
        <v>0.51560375796640634</v>
      </c>
      <c r="D548" s="359">
        <v>0.35048682053402969</v>
      </c>
      <c r="E548" s="359">
        <v>0.53961464003270865</v>
      </c>
      <c r="F548" s="359">
        <v>0.35049037266946959</v>
      </c>
      <c r="G548" s="359">
        <v>0.53962306010763383</v>
      </c>
      <c r="H548" s="359">
        <v>0.18226540099999999</v>
      </c>
      <c r="I548" s="359">
        <v>0.29453517239999999</v>
      </c>
      <c r="J548" s="360">
        <v>0.25470088299999999</v>
      </c>
      <c r="K548" s="360">
        <v>9.1431735501906808E-2</v>
      </c>
      <c r="L548" s="360">
        <v>0.17346212003422187</v>
      </c>
      <c r="M548" s="359">
        <v>2.0280451590049337E-2</v>
      </c>
      <c r="N548" s="352"/>
      <c r="O548" s="352"/>
      <c r="P548" s="352"/>
      <c r="Q548" s="352"/>
    </row>
    <row r="549" spans="1:17" ht="16">
      <c r="A549" s="362" t="s">
        <v>927</v>
      </c>
      <c r="B549" s="361">
        <v>6</v>
      </c>
      <c r="C549" s="359">
        <v>0.32877655111295473</v>
      </c>
      <c r="D549" s="359">
        <v>0.35688847043412403</v>
      </c>
      <c r="E549" s="359">
        <v>0.55494024601772729</v>
      </c>
      <c r="F549" s="359">
        <v>0.46222506329422347</v>
      </c>
      <c r="G549" s="359">
        <v>0.8595139560159768</v>
      </c>
      <c r="H549" s="359">
        <v>6.3648079999999996E-2</v>
      </c>
      <c r="I549" s="359">
        <v>0.28058499999999997</v>
      </c>
      <c r="J549" s="360">
        <v>0.21932290400000001</v>
      </c>
      <c r="K549" s="360">
        <v>0.19829481629982595</v>
      </c>
      <c r="L549" s="360">
        <v>0.35683807481138563</v>
      </c>
      <c r="M549" s="359">
        <v>4.3556146299834612E-2</v>
      </c>
      <c r="N549" s="352"/>
      <c r="O549" s="352"/>
      <c r="P549" s="352"/>
      <c r="Q549" s="352"/>
    </row>
    <row r="550" spans="1:17" ht="16">
      <c r="A550" s="362" t="s">
        <v>926</v>
      </c>
      <c r="B550" s="361">
        <v>31</v>
      </c>
      <c r="C550" s="359">
        <v>0.70274222814955967</v>
      </c>
      <c r="D550" s="359">
        <v>0.58646114884973521</v>
      </c>
      <c r="E550" s="359">
        <v>1.4181524836626218</v>
      </c>
      <c r="F550" s="359">
        <v>0.59937938271019431</v>
      </c>
      <c r="G550" s="359">
        <v>1.4961271508316012</v>
      </c>
      <c r="H550" s="359">
        <v>0.14250302500000001</v>
      </c>
      <c r="I550" s="359">
        <v>0.35028826090000004</v>
      </c>
      <c r="J550" s="360">
        <v>0.31364915100000001</v>
      </c>
      <c r="K550" s="360">
        <v>6.098281580464493E-2</v>
      </c>
      <c r="L550" s="360">
        <v>0.26355226413778637</v>
      </c>
      <c r="M550" s="359">
        <v>3.8876146644644442E-2</v>
      </c>
      <c r="N550" s="352"/>
      <c r="O550" s="352"/>
      <c r="P550" s="352"/>
      <c r="Q550" s="352"/>
    </row>
    <row r="551" spans="1:17" ht="16">
      <c r="A551" s="362" t="s">
        <v>925</v>
      </c>
      <c r="B551" s="361">
        <v>19</v>
      </c>
      <c r="C551" s="359">
        <v>0.59713694532243511</v>
      </c>
      <c r="D551" s="359">
        <v>0.49947683893276779</v>
      </c>
      <c r="E551" s="359">
        <v>0.99790954302247781</v>
      </c>
      <c r="F551" s="359">
        <v>0.49947683893276779</v>
      </c>
      <c r="G551" s="359">
        <v>0.99790954302247781</v>
      </c>
      <c r="H551" s="359">
        <v>0.19588902499999999</v>
      </c>
      <c r="I551" s="359">
        <v>0.39985333330000006</v>
      </c>
      <c r="J551" s="360">
        <v>0.15645207899999999</v>
      </c>
      <c r="K551" s="360">
        <v>0.1211992417837605</v>
      </c>
      <c r="L551" s="360">
        <v>0.30022181294750411</v>
      </c>
      <c r="M551" s="359">
        <v>3.4465527199020234E-2</v>
      </c>
      <c r="N551" s="352"/>
      <c r="O551" s="352"/>
      <c r="P551" s="352"/>
      <c r="Q551" s="352"/>
    </row>
    <row r="552" spans="1:17" ht="16">
      <c r="A552" s="362" t="s">
        <v>924</v>
      </c>
      <c r="B552" s="361">
        <v>10</v>
      </c>
      <c r="C552" s="359">
        <v>0.74985646684837459</v>
      </c>
      <c r="D552" s="359">
        <v>0.49160419911878805</v>
      </c>
      <c r="E552" s="359">
        <v>0.96697139958017231</v>
      </c>
      <c r="F552" s="359">
        <v>0.49160419911878805</v>
      </c>
      <c r="G552" s="359">
        <v>0.96697139958017231</v>
      </c>
      <c r="H552" s="359">
        <v>0.25428120500000001</v>
      </c>
      <c r="I552" s="359">
        <v>0.39132714290000004</v>
      </c>
      <c r="J552" s="360">
        <v>0.147924632</v>
      </c>
      <c r="K552" s="360">
        <v>6.2186613330368352E-2</v>
      </c>
      <c r="L552" s="360">
        <v>0.82178568093287385</v>
      </c>
      <c r="M552" s="359">
        <v>4.2213779392511364E-2</v>
      </c>
      <c r="N552" s="354"/>
      <c r="O552" s="354"/>
      <c r="P552" s="354"/>
      <c r="Q552" s="354"/>
    </row>
    <row r="553" spans="1:17" ht="16">
      <c r="A553" s="362" t="s">
        <v>923</v>
      </c>
      <c r="B553" s="361">
        <v>7180</v>
      </c>
      <c r="C553" s="359">
        <v>0.59430055696171269</v>
      </c>
      <c r="D553" s="359">
        <v>0.42544119384767382</v>
      </c>
      <c r="E553" s="359">
        <v>0.74046588319957196</v>
      </c>
      <c r="F553" s="359">
        <v>0.42588500847622646</v>
      </c>
      <c r="G553" s="359">
        <v>0.74181133529691312</v>
      </c>
      <c r="H553" s="359">
        <v>0.114638453</v>
      </c>
      <c r="I553" s="359">
        <v>0.27590948360000001</v>
      </c>
      <c r="J553" s="360">
        <v>0.304698093</v>
      </c>
      <c r="K553" s="360">
        <v>6.4244434494569208E-2</v>
      </c>
      <c r="L553" s="360">
        <v>8.6719015093140478E-2</v>
      </c>
      <c r="M553" s="359">
        <v>8.6061049356958071E-3</v>
      </c>
      <c r="N553" s="354"/>
      <c r="O553" s="354"/>
      <c r="P553" s="354"/>
      <c r="Q553" s="354"/>
    </row>
    <row r="554" spans="1:17" ht="16">
      <c r="A554" s="358" t="s">
        <v>922</v>
      </c>
      <c r="B554" s="357">
        <v>6336</v>
      </c>
      <c r="C554" s="355">
        <v>0.46495704308159641</v>
      </c>
      <c r="D554" s="355">
        <v>0.25605588039596255</v>
      </c>
      <c r="E554" s="355">
        <v>0.34418698078055604</v>
      </c>
      <c r="F554" s="355">
        <v>0.25687817001171015</v>
      </c>
      <c r="G554" s="355">
        <v>0.34567436945804442</v>
      </c>
      <c r="H554" s="355">
        <v>0.11353439774731691</v>
      </c>
      <c r="I554" s="355">
        <v>0.27311713340574489</v>
      </c>
      <c r="J554" s="356">
        <v>0.30933712896369958</v>
      </c>
      <c r="K554" s="356">
        <v>7.7806388494421383E-2</v>
      </c>
      <c r="L554" s="356">
        <v>0.28198155989400298</v>
      </c>
      <c r="M554" s="355">
        <v>2.8625376829192337E-2</v>
      </c>
      <c r="N554" s="354"/>
      <c r="O554" s="354"/>
      <c r="P554" s="354"/>
      <c r="Q554" s="354"/>
    </row>
    <row r="555" spans="1:17" ht="16">
      <c r="A555" s="353"/>
      <c r="B555" s="352"/>
      <c r="C555" s="352"/>
      <c r="D555" s="352"/>
      <c r="E555" s="352"/>
      <c r="F555" s="352"/>
      <c r="G555" s="352"/>
      <c r="H555" s="352"/>
      <c r="I555" s="352"/>
      <c r="J555" s="352"/>
      <c r="K555" s="352"/>
      <c r="L555" s="352"/>
      <c r="M555" s="352"/>
      <c r="N555" s="352"/>
      <c r="O555" s="352"/>
      <c r="P555" s="352"/>
      <c r="Q555" s="352"/>
    </row>
    <row r="564" spans="1:5" ht="16">
      <c r="A564" s="678" t="s">
        <v>2738</v>
      </c>
      <c r="B564" s="678"/>
      <c r="C564" s="678"/>
      <c r="D564" s="678"/>
      <c r="E564" s="678"/>
    </row>
    <row r="565" spans="1:5" ht="16">
      <c r="A565" s="678"/>
      <c r="B565" s="678"/>
      <c r="C565" s="678"/>
      <c r="D565" s="678"/>
      <c r="E565" s="678"/>
    </row>
    <row r="566" spans="1:5" ht="16">
      <c r="A566" s="678" t="s">
        <v>2737</v>
      </c>
      <c r="B566" s="678"/>
      <c r="C566" s="678"/>
      <c r="D566" s="678"/>
      <c r="E566" s="678"/>
    </row>
    <row r="567" spans="1:5" ht="16">
      <c r="A567" s="678"/>
      <c r="B567" s="678"/>
      <c r="C567" s="678"/>
      <c r="D567" s="678"/>
      <c r="E567" s="678"/>
    </row>
    <row r="568" spans="1:5" ht="16">
      <c r="A568" s="678"/>
      <c r="B568" s="678"/>
      <c r="C568" s="678"/>
      <c r="D568" s="678"/>
      <c r="E568" s="678"/>
    </row>
    <row r="569" spans="1:5" ht="16">
      <c r="A569" s="678" t="s">
        <v>2736</v>
      </c>
      <c r="B569" s="678"/>
      <c r="C569" s="678"/>
      <c r="D569" s="678"/>
      <c r="E569" s="678"/>
    </row>
    <row r="570" spans="1:5" ht="16">
      <c r="A570" s="678" t="s">
        <v>2735</v>
      </c>
      <c r="B570" s="678"/>
      <c r="C570" s="678"/>
      <c r="D570" s="678"/>
      <c r="E570" s="678"/>
    </row>
    <row r="571" spans="1:5" ht="16">
      <c r="A571" s="678" t="s">
        <v>2734</v>
      </c>
      <c r="B571" s="678"/>
      <c r="C571" s="678"/>
      <c r="D571" s="678"/>
      <c r="E571" s="678"/>
    </row>
    <row r="572" spans="1:5" ht="16">
      <c r="A572" s="678" t="s">
        <v>2733</v>
      </c>
      <c r="B572" s="678"/>
      <c r="C572" s="678"/>
      <c r="D572" s="678"/>
      <c r="E572" s="678"/>
    </row>
    <row r="573" spans="1:5" ht="16">
      <c r="A573" s="678"/>
      <c r="B573" s="678"/>
      <c r="C573" s="678"/>
      <c r="D573" s="678"/>
      <c r="E573" s="678"/>
    </row>
    <row r="574" spans="1:5" ht="16">
      <c r="A574" s="678"/>
      <c r="B574" s="678"/>
      <c r="C574" s="678"/>
      <c r="D574" s="678"/>
      <c r="E574" s="678"/>
    </row>
    <row r="575" spans="1:5" ht="16">
      <c r="A575" s="678" t="s">
        <v>2732</v>
      </c>
      <c r="B575" s="678"/>
      <c r="C575" s="678"/>
      <c r="D575" s="678"/>
      <c r="E575" s="678"/>
    </row>
    <row r="576" spans="1:5" ht="16">
      <c r="A576" s="678" t="s">
        <v>2731</v>
      </c>
      <c r="B576" s="678"/>
      <c r="C576" s="678"/>
      <c r="D576" s="678"/>
      <c r="E576" s="678"/>
    </row>
    <row r="577" spans="1:5" ht="16">
      <c r="A577" s="678"/>
      <c r="B577" s="678"/>
      <c r="C577" s="678"/>
      <c r="D577" s="678"/>
      <c r="E577" s="678"/>
    </row>
    <row r="578" spans="1:5" ht="16">
      <c r="A578" s="678"/>
      <c r="B578" s="678"/>
      <c r="C578" s="678"/>
      <c r="D578" s="678"/>
      <c r="E578" s="678"/>
    </row>
    <row r="579" spans="1:5" ht="16">
      <c r="A579" s="678"/>
      <c r="B579" s="678" t="s">
        <v>2696</v>
      </c>
      <c r="C579" s="678" t="s">
        <v>2696</v>
      </c>
      <c r="D579" s="678" t="s">
        <v>2696</v>
      </c>
      <c r="E579" s="678"/>
    </row>
    <row r="580" spans="1:5" ht="16">
      <c r="A580" s="706" t="s">
        <v>2730</v>
      </c>
      <c r="B580" s="706" t="s">
        <v>2729</v>
      </c>
      <c r="C580" s="706" t="s">
        <v>2728</v>
      </c>
      <c r="D580" s="678" t="s">
        <v>2696</v>
      </c>
      <c r="E580" s="678"/>
    </row>
    <row r="581" spans="1:5" ht="16">
      <c r="A581" s="707">
        <v>22646</v>
      </c>
      <c r="B581" s="706">
        <v>2.6770999999999998</v>
      </c>
      <c r="C581" s="706"/>
      <c r="D581" s="678"/>
      <c r="E581" s="678"/>
    </row>
    <row r="582" spans="1:5" ht="16">
      <c r="A582" s="707">
        <v>23011</v>
      </c>
      <c r="B582" s="706">
        <v>1.1029</v>
      </c>
      <c r="C582" s="706">
        <v>-1.57</v>
      </c>
      <c r="D582" s="678"/>
      <c r="E582" s="678"/>
    </row>
    <row r="583" spans="1:5" ht="16">
      <c r="A583" s="707">
        <v>23376</v>
      </c>
      <c r="B583" s="706">
        <v>4.8743999999999996</v>
      </c>
      <c r="C583" s="706">
        <v>3.77</v>
      </c>
      <c r="D583" s="678"/>
      <c r="E583" s="678"/>
    </row>
    <row r="584" spans="1:5" ht="16">
      <c r="A584" s="707">
        <v>23742</v>
      </c>
      <c r="B584" s="706">
        <v>5.5336999999999996</v>
      </c>
      <c r="C584" s="706">
        <v>0.66</v>
      </c>
      <c r="D584" s="678"/>
      <c r="E584" s="678"/>
    </row>
    <row r="585" spans="1:5" ht="16">
      <c r="A585" s="707">
        <v>24107</v>
      </c>
      <c r="B585" s="706">
        <v>2.1421999999999999</v>
      </c>
      <c r="C585" s="706">
        <v>-3.39</v>
      </c>
      <c r="D585" s="678"/>
      <c r="E585" s="678"/>
    </row>
    <row r="586" spans="1:5" ht="16">
      <c r="A586" s="707">
        <v>24472</v>
      </c>
      <c r="B586" s="706">
        <v>1.5730999999999999</v>
      </c>
      <c r="C586" s="706">
        <v>-0.56999999999999995</v>
      </c>
      <c r="D586" s="678"/>
      <c r="E586" s="678"/>
    </row>
    <row r="587" spans="1:5" ht="16">
      <c r="A587" s="707">
        <v>24837</v>
      </c>
      <c r="B587" s="706">
        <v>2.7865000000000002</v>
      </c>
      <c r="C587" s="706">
        <v>1.21</v>
      </c>
      <c r="D587" s="678"/>
      <c r="E587" s="678"/>
    </row>
    <row r="588" spans="1:5" ht="16">
      <c r="A588" s="707">
        <v>25203</v>
      </c>
      <c r="B588" s="706">
        <v>5.4410999999999996</v>
      </c>
      <c r="C588" s="706">
        <v>2.65</v>
      </c>
      <c r="D588" s="678"/>
      <c r="E588" s="678"/>
    </row>
    <row r="589" spans="1:5" ht="16">
      <c r="A589" s="707">
        <v>25568</v>
      </c>
      <c r="B589" s="706">
        <v>1.9240999999999999</v>
      </c>
      <c r="C589" s="706">
        <v>-3.52</v>
      </c>
      <c r="D589" s="678"/>
      <c r="E589" s="678"/>
    </row>
    <row r="590" spans="1:5" ht="16">
      <c r="A590" s="707">
        <v>25933</v>
      </c>
      <c r="B590" s="706">
        <v>6.3178999999999998</v>
      </c>
      <c r="C590" s="706">
        <v>4.3899999999999997</v>
      </c>
      <c r="D590" s="678"/>
      <c r="E590" s="678"/>
    </row>
    <row r="591" spans="1:5" ht="16">
      <c r="A591" s="707">
        <v>26298</v>
      </c>
      <c r="B591" s="706">
        <v>3.5047000000000001</v>
      </c>
      <c r="C591" s="706">
        <v>-2.81</v>
      </c>
      <c r="D591" s="678"/>
      <c r="E591" s="678"/>
    </row>
    <row r="592" spans="1:5" ht="16">
      <c r="A592" s="707">
        <v>26664</v>
      </c>
      <c r="B592" s="706">
        <v>4.3216999999999999</v>
      </c>
      <c r="C592" s="706">
        <v>0.82</v>
      </c>
      <c r="D592" s="678"/>
      <c r="E592" s="678"/>
    </row>
    <row r="593" spans="1:5" ht="16">
      <c r="A593" s="707">
        <v>27029</v>
      </c>
      <c r="B593" s="706">
        <v>6.5237999999999996</v>
      </c>
      <c r="C593" s="706">
        <v>2.2000000000000002</v>
      </c>
      <c r="D593" s="678"/>
      <c r="E593" s="678"/>
    </row>
    <row r="594" spans="1:5" ht="16">
      <c r="A594" s="707">
        <v>27394</v>
      </c>
      <c r="B594" s="706">
        <v>-2.4843999999999999</v>
      </c>
      <c r="C594" s="706">
        <v>-9.01</v>
      </c>
      <c r="D594" s="678"/>
      <c r="E594" s="678"/>
    </row>
    <row r="595" spans="1:5" ht="16">
      <c r="A595" s="707">
        <v>27759</v>
      </c>
      <c r="B595" s="706">
        <v>-1.4736</v>
      </c>
      <c r="C595" s="706">
        <v>1.01</v>
      </c>
      <c r="D595" s="678"/>
      <c r="E595" s="678"/>
    </row>
    <row r="596" spans="1:5" ht="16">
      <c r="A596" s="707">
        <v>28125</v>
      </c>
      <c r="B596" s="706">
        <v>2.9102999999999999</v>
      </c>
      <c r="C596" s="706">
        <v>4.38</v>
      </c>
      <c r="D596" s="678"/>
      <c r="E596" s="678"/>
    </row>
    <row r="597" spans="1:5" ht="16">
      <c r="A597" s="707">
        <v>28490</v>
      </c>
      <c r="B597" s="706">
        <v>2.4578000000000002</v>
      </c>
      <c r="C597" s="706">
        <v>-0.45</v>
      </c>
      <c r="D597" s="678"/>
      <c r="E597" s="678"/>
    </row>
    <row r="598" spans="1:5" ht="16">
      <c r="A598" s="707">
        <v>28855</v>
      </c>
      <c r="B598" s="706">
        <v>4.2042999999999999</v>
      </c>
      <c r="C598" s="706">
        <v>1.75</v>
      </c>
      <c r="D598" s="678"/>
      <c r="E598" s="678"/>
    </row>
    <row r="599" spans="1:5" ht="16">
      <c r="A599" s="707">
        <v>29220</v>
      </c>
      <c r="B599" s="706">
        <v>3.7490000000000001</v>
      </c>
      <c r="C599" s="706">
        <v>-0.46</v>
      </c>
      <c r="D599" s="678"/>
      <c r="E599" s="678"/>
    </row>
    <row r="600" spans="1:5" ht="16">
      <c r="A600" s="707">
        <v>29586</v>
      </c>
      <c r="B600" s="706">
        <v>-2.0314000000000001</v>
      </c>
      <c r="C600" s="706">
        <v>-5.78</v>
      </c>
      <c r="D600" s="678"/>
      <c r="E600" s="678"/>
    </row>
    <row r="601" spans="1:5" ht="16">
      <c r="A601" s="707">
        <v>29951</v>
      </c>
      <c r="B601" s="706">
        <v>-0.78769999999999996</v>
      </c>
      <c r="C601" s="706">
        <v>1.24</v>
      </c>
      <c r="D601" s="678"/>
      <c r="E601" s="678"/>
    </row>
    <row r="602" spans="1:5" ht="16">
      <c r="A602" s="707">
        <v>30316</v>
      </c>
      <c r="B602" s="706">
        <v>1.9948999999999999</v>
      </c>
      <c r="C602" s="706">
        <v>2.78</v>
      </c>
      <c r="D602" s="678"/>
      <c r="E602" s="678"/>
    </row>
    <row r="603" spans="1:5" ht="16">
      <c r="A603" s="707">
        <v>30681</v>
      </c>
      <c r="B603" s="706">
        <v>4.2218999999999998</v>
      </c>
      <c r="C603" s="706">
        <v>2.23</v>
      </c>
      <c r="D603" s="678"/>
      <c r="E603" s="678"/>
    </row>
    <row r="604" spans="1:5" ht="16">
      <c r="A604" s="707">
        <v>31047</v>
      </c>
      <c r="B604" s="706">
        <v>2.2690999999999999</v>
      </c>
      <c r="C604" s="706">
        <v>-1.95</v>
      </c>
      <c r="D604" s="678"/>
      <c r="E604" s="678"/>
    </row>
    <row r="605" spans="1:5" ht="16">
      <c r="A605" s="707">
        <v>31412</v>
      </c>
      <c r="B605" s="706">
        <v>4.1474000000000002</v>
      </c>
      <c r="C605" s="706">
        <v>1.88</v>
      </c>
      <c r="D605" s="678"/>
      <c r="E605" s="678"/>
    </row>
    <row r="606" spans="1:5" ht="16">
      <c r="A606" s="707">
        <v>31777</v>
      </c>
      <c r="B606" s="706">
        <v>3.1503000000000001</v>
      </c>
      <c r="C606" s="706">
        <v>-1</v>
      </c>
      <c r="D606" s="678"/>
      <c r="E606" s="678"/>
    </row>
    <row r="607" spans="1:5" ht="16">
      <c r="A607" s="707">
        <v>32142</v>
      </c>
      <c r="B607" s="706">
        <v>5.3926999999999996</v>
      </c>
      <c r="C607" s="706">
        <v>2.2400000000000002</v>
      </c>
      <c r="D607" s="678"/>
      <c r="E607" s="678"/>
    </row>
    <row r="608" spans="1:5" ht="16">
      <c r="A608" s="707">
        <v>32508</v>
      </c>
      <c r="B608" s="706">
        <v>5.7324000000000002</v>
      </c>
      <c r="C608" s="706">
        <v>0.34</v>
      </c>
      <c r="D608" s="678"/>
      <c r="E608" s="678"/>
    </row>
    <row r="609" spans="1:5" ht="16">
      <c r="A609" s="707">
        <v>32873</v>
      </c>
      <c r="B609" s="706">
        <v>2.5775999999999999</v>
      </c>
      <c r="C609" s="706">
        <v>-3.15</v>
      </c>
      <c r="D609" s="678"/>
      <c r="E609" s="678"/>
    </row>
    <row r="610" spans="1:5" ht="16">
      <c r="A610" s="707">
        <v>33238</v>
      </c>
      <c r="B610" s="706">
        <v>0.73380000000000001</v>
      </c>
      <c r="C610" s="706">
        <v>-1.84</v>
      </c>
      <c r="D610" s="678"/>
      <c r="E610" s="678"/>
    </row>
    <row r="611" spans="1:5" ht="16">
      <c r="A611" s="707">
        <v>33603</v>
      </c>
      <c r="B611" s="706">
        <v>-1.1031</v>
      </c>
      <c r="C611" s="706">
        <v>-1.84</v>
      </c>
      <c r="D611" s="678"/>
      <c r="E611" s="678"/>
    </row>
    <row r="612" spans="1:5" ht="16">
      <c r="A612" s="707">
        <v>33969</v>
      </c>
      <c r="B612" s="706">
        <v>0.40110000000000001</v>
      </c>
      <c r="C612" s="706">
        <v>1.5</v>
      </c>
      <c r="D612" s="678"/>
      <c r="E612" s="678"/>
    </row>
    <row r="613" spans="1:5" ht="16">
      <c r="A613" s="707">
        <v>34334</v>
      </c>
      <c r="B613" s="706">
        <v>2.4897999999999998</v>
      </c>
      <c r="C613" s="706">
        <v>2.09</v>
      </c>
      <c r="D613" s="678"/>
      <c r="E613" s="678"/>
    </row>
    <row r="614" spans="1:5" ht="16">
      <c r="A614" s="707">
        <v>34699</v>
      </c>
      <c r="B614" s="706">
        <v>3.8460000000000001</v>
      </c>
      <c r="C614" s="706">
        <v>1.36</v>
      </c>
      <c r="D614" s="678"/>
      <c r="E614" s="678"/>
    </row>
    <row r="615" spans="1:5" ht="16">
      <c r="A615" s="707">
        <v>35064</v>
      </c>
      <c r="B615" s="706">
        <v>2.5316999999999998</v>
      </c>
      <c r="C615" s="706">
        <v>-1.31</v>
      </c>
      <c r="D615" s="678"/>
      <c r="E615" s="678"/>
    </row>
    <row r="616" spans="1:5" ht="16">
      <c r="A616" s="707">
        <v>35430</v>
      </c>
      <c r="B616" s="706">
        <v>2.4285000000000001</v>
      </c>
      <c r="C616" s="706">
        <v>-0.1</v>
      </c>
      <c r="D616" s="678"/>
      <c r="E616" s="678"/>
    </row>
    <row r="617" spans="1:5" ht="16">
      <c r="A617" s="707">
        <v>35795</v>
      </c>
      <c r="B617" s="706">
        <v>4.9089999999999998</v>
      </c>
      <c r="C617" s="706">
        <v>2.48</v>
      </c>
      <c r="D617" s="678"/>
      <c r="E617" s="678"/>
    </row>
    <row r="618" spans="1:5" ht="16">
      <c r="A618" s="707">
        <v>36160</v>
      </c>
      <c r="B618" s="706">
        <v>3.1539999999999999</v>
      </c>
      <c r="C618" s="706">
        <v>-1.76</v>
      </c>
      <c r="D618" s="678"/>
      <c r="E618" s="678"/>
    </row>
    <row r="619" spans="1:5" ht="16">
      <c r="A619" s="707">
        <v>36525</v>
      </c>
      <c r="B619" s="706">
        <v>2.9901</v>
      </c>
      <c r="C619" s="706">
        <v>-0.16</v>
      </c>
      <c r="D619" s="678"/>
      <c r="E619" s="678"/>
    </row>
    <row r="620" spans="1:5" ht="16">
      <c r="A620" s="707">
        <v>36891</v>
      </c>
      <c r="B620" s="706">
        <v>3.6724000000000001</v>
      </c>
      <c r="C620" s="706">
        <v>0.68</v>
      </c>
      <c r="D620" s="678"/>
      <c r="E620" s="678"/>
    </row>
    <row r="621" spans="1:5" ht="16">
      <c r="A621" s="707">
        <v>37256</v>
      </c>
      <c r="B621" s="706">
        <v>2.0727000000000002</v>
      </c>
      <c r="C621" s="706">
        <v>-1.6</v>
      </c>
      <c r="D621" s="678"/>
      <c r="E621" s="678"/>
    </row>
    <row r="622" spans="1:5" ht="16">
      <c r="A622" s="707">
        <v>37621</v>
      </c>
      <c r="B622" s="706">
        <v>2.1232000000000002</v>
      </c>
      <c r="C622" s="706">
        <v>0.05</v>
      </c>
      <c r="D622" s="678"/>
      <c r="E622" s="678"/>
    </row>
    <row r="623" spans="1:5" ht="16">
      <c r="A623" s="707">
        <v>37986</v>
      </c>
      <c r="B623" s="706">
        <v>3.0299</v>
      </c>
      <c r="C623" s="706">
        <v>0.91</v>
      </c>
      <c r="D623" s="678"/>
      <c r="E623" s="678"/>
    </row>
    <row r="624" spans="1:5" ht="16">
      <c r="A624" s="707">
        <v>38352</v>
      </c>
      <c r="B624" s="706">
        <v>2.3555999999999999</v>
      </c>
      <c r="C624" s="706">
        <v>-0.67</v>
      </c>
      <c r="D624" s="678"/>
      <c r="E624" s="678"/>
    </row>
    <row r="625" spans="1:5" ht="16">
      <c r="A625" s="707">
        <v>38717</v>
      </c>
      <c r="B625" s="706">
        <v>2.5933000000000002</v>
      </c>
      <c r="C625" s="706">
        <v>0.24</v>
      </c>
      <c r="D625" s="678"/>
      <c r="E625" s="678"/>
    </row>
    <row r="626" spans="1:5" ht="16">
      <c r="A626" s="707">
        <v>39082</v>
      </c>
      <c r="B626" s="706">
        <v>2.5840999999999998</v>
      </c>
      <c r="C626" s="706">
        <v>-0.01</v>
      </c>
      <c r="D626" s="678"/>
      <c r="E626" s="678"/>
    </row>
    <row r="627" spans="1:5" ht="16">
      <c r="A627" s="707">
        <v>39447</v>
      </c>
      <c r="B627" s="706">
        <v>2.2694999999999999</v>
      </c>
      <c r="C627" s="706">
        <v>-0.31</v>
      </c>
      <c r="D627" s="678"/>
      <c r="E627" s="678"/>
    </row>
    <row r="628" spans="1:5" ht="16">
      <c r="A628" s="707">
        <v>39813</v>
      </c>
      <c r="B628" s="706">
        <v>-0.23960000000000001</v>
      </c>
      <c r="C628" s="706">
        <v>-2.5099999999999998</v>
      </c>
      <c r="D628" s="678"/>
      <c r="E628" s="678"/>
    </row>
    <row r="629" spans="1:5" ht="16">
      <c r="A629" s="707">
        <v>40178</v>
      </c>
      <c r="B629" s="706">
        <v>-4.2473999999999998</v>
      </c>
      <c r="C629" s="706">
        <v>-4.01</v>
      </c>
      <c r="D629" s="678"/>
      <c r="E629" s="678"/>
    </row>
    <row r="630" spans="1:5" ht="16">
      <c r="A630" s="707">
        <v>40543</v>
      </c>
      <c r="B630" s="706">
        <v>2.1314000000000002</v>
      </c>
      <c r="C630" s="706">
        <v>6.38</v>
      </c>
      <c r="D630" s="678"/>
      <c r="E630" s="678"/>
    </row>
    <row r="631" spans="1:5" ht="16">
      <c r="A631" s="707">
        <v>40908</v>
      </c>
      <c r="B631" s="706">
        <v>1.4576</v>
      </c>
      <c r="C631" s="706">
        <v>-0.67</v>
      </c>
      <c r="D631" s="678"/>
      <c r="E631" s="678"/>
    </row>
    <row r="632" spans="1:5" ht="16">
      <c r="A632" s="707">
        <v>41274</v>
      </c>
      <c r="B632" s="706">
        <v>1.4699</v>
      </c>
      <c r="C632" s="706">
        <v>0.01</v>
      </c>
      <c r="D632" s="678"/>
      <c r="E632" s="678"/>
    </row>
    <row r="633" spans="1:5" ht="16">
      <c r="A633" s="707">
        <v>41639</v>
      </c>
      <c r="B633" s="706">
        <v>1.89</v>
      </c>
      <c r="C633" s="706">
        <v>0.42</v>
      </c>
      <c r="D633" s="678"/>
      <c r="E633" s="678"/>
    </row>
    <row r="634" spans="1:5" ht="16">
      <c r="A634" s="707">
        <v>42004</v>
      </c>
      <c r="B634" s="706">
        <v>2.9912000000000001</v>
      </c>
      <c r="C634" s="706">
        <v>1.1000000000000001</v>
      </c>
      <c r="D634" s="678"/>
      <c r="E634" s="678"/>
    </row>
    <row r="635" spans="1:5" ht="16">
      <c r="A635" s="707">
        <v>42369</v>
      </c>
      <c r="B635" s="706">
        <v>2.6225999999999998</v>
      </c>
      <c r="C635" s="706">
        <v>-0.37</v>
      </c>
      <c r="D635" s="678"/>
      <c r="E635" s="678"/>
    </row>
    <row r="636" spans="1:5" ht="16">
      <c r="A636" s="707">
        <v>42735</v>
      </c>
      <c r="B636" s="706">
        <v>2.2635000000000001</v>
      </c>
      <c r="C636" s="706">
        <v>-0.36</v>
      </c>
      <c r="D636" s="678"/>
      <c r="E636" s="678"/>
    </row>
    <row r="637" spans="1:5" ht="16">
      <c r="A637" s="707">
        <v>43100</v>
      </c>
      <c r="B637" s="706">
        <v>2.1345000000000001</v>
      </c>
      <c r="C637" s="706">
        <v>-0.13</v>
      </c>
      <c r="D637" s="678"/>
      <c r="E637" s="678"/>
    </row>
    <row r="638" spans="1:5" ht="16">
      <c r="A638" s="707">
        <v>43465</v>
      </c>
      <c r="B638" s="706">
        <v>1.6509</v>
      </c>
      <c r="C638" s="706">
        <v>-0.48</v>
      </c>
      <c r="D638" s="678"/>
      <c r="E638" s="678"/>
    </row>
    <row r="639" spans="1:5" ht="16">
      <c r="A639" s="707">
        <v>43830</v>
      </c>
      <c r="B639" s="706">
        <v>1.6718999999999999</v>
      </c>
      <c r="C639" s="706">
        <v>0.02</v>
      </c>
      <c r="D639" s="678"/>
      <c r="E639" s="678"/>
    </row>
    <row r="640" spans="1:5" ht="16">
      <c r="A640" s="707">
        <v>44196</v>
      </c>
      <c r="B640" s="706">
        <v>-9.2704000000000004</v>
      </c>
      <c r="C640" s="706">
        <v>-10.94</v>
      </c>
      <c r="D640" s="678"/>
      <c r="E640" s="678"/>
    </row>
    <row r="641" spans="1:5" ht="16">
      <c r="A641" s="707">
        <v>44561</v>
      </c>
      <c r="B641" s="706">
        <v>7.4413</v>
      </c>
      <c r="C641" s="706">
        <v>16.71</v>
      </c>
      <c r="D641" s="678"/>
      <c r="E641" s="678"/>
    </row>
  </sheetData>
  <mergeCells count="9">
    <mergeCell ref="A422:B422"/>
    <mergeCell ref="B457:G457"/>
    <mergeCell ref="B453:E453"/>
    <mergeCell ref="F453:G453"/>
    <mergeCell ref="B451:G451"/>
    <mergeCell ref="B452:G452"/>
    <mergeCell ref="B454:G454"/>
    <mergeCell ref="B455:G455"/>
    <mergeCell ref="B456:G456"/>
  </mergeCells>
  <dataValidations count="2">
    <dataValidation type="list" allowBlank="1" showInputMessage="1" showErrorMessage="1" sqref="C390" xr:uid="{323CF162-95AE-4043-ABF8-1C88767E3A26}">
      <formula1>$P$1:$P$3</formula1>
    </dataValidation>
    <dataValidation type="list" allowBlank="1" showInputMessage="1" showErrorMessage="1" sqref="F391" xr:uid="{C5A1E304-45E0-452F-BF85-1C62D1419CE6}">
      <formula1>$O$1:$O$2</formula1>
    </dataValidation>
  </dataValidations>
  <hyperlinks>
    <hyperlink ref="B452" r:id="rId1" xr:uid="{D7F79943-1F0C-49A8-AA69-F2DAE0791572}"/>
    <hyperlink ref="B454" r:id="rId2" xr:uid="{3CD41FE2-16FD-496B-A4CF-22993A5060AE}"/>
    <hyperlink ref="B455" r:id="rId3" display="http://www.stern.nyu.edu/~adamodar/New_Home_Page/data.html" xr:uid="{E1C95FBB-D9E3-4550-9720-F3727F9EB6C4}"/>
    <hyperlink ref="B456" r:id="rId4" display="http://www.stern.nyu.edu/~adamodar/pc/datasets/indname.xls" xr:uid="{2B11DDC4-8308-443C-86FC-78338921C7E7}"/>
    <hyperlink ref="B457" r:id="rId5" display="http://www.stern.nyu.edu/~adamodar/New_Home_Page/datafile/variable.htm" xr:uid="{2E6CFB09-EB29-48F3-8886-BE4961D881D0}"/>
  </hyperlinks>
  <pageMargins left="0.7" right="0.7" top="0.75" bottom="0.75" header="0.3" footer="0.3"/>
  <pageSetup paperSize="9" orientation="portrait" horizontalDpi="300" r:id="rId6"/>
  <ignoredErrors>
    <ignoredError sqref="D17:H19" formula="1"/>
  </ignoredErrors>
  <drawing r:id="rId7"/>
  <legacyDrawing r:id="rId8"/>
  <tableParts count="1"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6663-75E7-4646-8B58-84F5EDDC5409}">
  <dimension ref="B2:AW1575"/>
  <sheetViews>
    <sheetView showGridLines="0" workbookViewId="0">
      <selection activeCell="F24" sqref="F24"/>
    </sheetView>
  </sheetViews>
  <sheetFormatPr baseColWidth="10" defaultColWidth="9.1640625" defaultRowHeight="14"/>
  <cols>
    <col min="1" max="1" width="1.5" style="4" customWidth="1"/>
    <col min="2" max="2" width="20.5" style="4" bestFit="1" customWidth="1"/>
    <col min="3" max="3" width="16" style="4" customWidth="1"/>
    <col min="4" max="4" width="20" style="4" customWidth="1"/>
    <col min="5" max="8" width="9.1640625" style="4"/>
    <col min="9" max="9" width="13.6640625" style="4" customWidth="1"/>
    <col min="10" max="10" width="11.1640625" style="4" customWidth="1"/>
    <col min="11" max="11" width="10.5" style="4" bestFit="1" customWidth="1"/>
    <col min="12" max="14" width="9.1640625" style="4"/>
    <col min="15" max="15" width="11.1640625" style="4" customWidth="1"/>
    <col min="16" max="16" width="9.1640625" style="4"/>
    <col min="17" max="17" width="12.33203125" style="4" customWidth="1"/>
    <col min="18" max="18" width="11.83203125" style="4" customWidth="1"/>
    <col min="19" max="21" width="9.1640625" style="4"/>
    <col min="22" max="22" width="9.1640625" style="4" bestFit="1" customWidth="1"/>
    <col min="23" max="23" width="12" style="4" customWidth="1"/>
    <col min="24" max="24" width="11.83203125" style="4" customWidth="1"/>
    <col min="25" max="25" width="11.6640625" style="4" customWidth="1"/>
    <col min="26" max="28" width="9.1640625" style="4"/>
    <col min="29" max="29" width="37.33203125" style="4" bestFit="1" customWidth="1"/>
    <col min="30" max="30" width="11.1640625" style="4" customWidth="1"/>
    <col min="31" max="31" width="9.1640625" style="4" customWidth="1"/>
    <col min="32" max="34" width="9.1640625" style="4"/>
    <col min="35" max="35" width="5.5" style="4" bestFit="1" customWidth="1"/>
    <col min="36" max="36" width="11.83203125" style="4" bestFit="1" customWidth="1"/>
    <col min="37" max="37" width="10.1640625" style="4" bestFit="1" customWidth="1"/>
    <col min="38" max="43" width="9.1640625" style="4"/>
    <col min="44" max="44" width="6.1640625" style="4" customWidth="1"/>
    <col min="45" max="45" width="16.5" style="4" customWidth="1"/>
    <col min="46" max="16384" width="9.1640625" style="4"/>
  </cols>
  <sheetData>
    <row r="2" spans="2:24" ht="17" thickBot="1">
      <c r="B2" s="530" t="s">
        <v>845</v>
      </c>
      <c r="C2" s="25" t="s">
        <v>839</v>
      </c>
      <c r="D2" s="25" t="s">
        <v>840</v>
      </c>
      <c r="I2" s="531" t="s">
        <v>872</v>
      </c>
      <c r="J2" s="306"/>
    </row>
    <row r="3" spans="2:24">
      <c r="B3" s="446" t="s">
        <v>841</v>
      </c>
      <c r="C3" s="381">
        <f>D22</f>
        <v>1.1270000000000001E-2</v>
      </c>
      <c r="D3" s="381">
        <f>C3</f>
        <v>1.1270000000000001E-2</v>
      </c>
      <c r="I3" s="317" t="str">
        <f>B3</f>
        <v>Risk-free rate</v>
      </c>
      <c r="J3" s="381">
        <f>D3</f>
        <v>1.1270000000000001E-2</v>
      </c>
    </row>
    <row r="4" spans="2:24">
      <c r="B4" s="446" t="s">
        <v>842</v>
      </c>
      <c r="C4" s="441">
        <f>SLOPE(O22:O81,N22:N81)</f>
        <v>0.99649689814115705</v>
      </c>
      <c r="D4" s="18">
        <v>1</v>
      </c>
      <c r="I4" s="4" t="s">
        <v>871</v>
      </c>
      <c r="J4" s="56">
        <f>'Ratios Tables'!D437</f>
        <v>8.5000000000000006E-3</v>
      </c>
    </row>
    <row r="5" spans="2:24">
      <c r="B5" s="446" t="s">
        <v>843</v>
      </c>
      <c r="C5" s="441">
        <f>(C4*(2/3))+(1/3)</f>
        <v>0.99766459876077129</v>
      </c>
      <c r="D5" s="18">
        <f>(D4*(2/3))+(1/3)</f>
        <v>1</v>
      </c>
      <c r="I5" s="4" t="s">
        <v>873</v>
      </c>
      <c r="J5" s="221">
        <f>J3+J4</f>
        <v>1.9770000000000003E-2</v>
      </c>
    </row>
    <row r="6" spans="2:24">
      <c r="B6" s="47" t="s">
        <v>844</v>
      </c>
      <c r="C6" s="16">
        <f>AE41</f>
        <v>4.0636629259220541E-2</v>
      </c>
      <c r="D6" s="16">
        <f>C6</f>
        <v>4.0636629259220541E-2</v>
      </c>
      <c r="I6" s="4" t="s">
        <v>740</v>
      </c>
      <c r="J6" s="66">
        <v>0.25</v>
      </c>
      <c r="L6" s="385"/>
    </row>
    <row r="7" spans="2:24" ht="15" thickBot="1">
      <c r="B7" s="13" t="s">
        <v>845</v>
      </c>
      <c r="C7" s="442">
        <f>C3+C5*(C6)</f>
        <v>5.1811726424890479E-2</v>
      </c>
      <c r="D7" s="442">
        <f>D3+D5*(D6)</f>
        <v>5.1906629259220544E-2</v>
      </c>
      <c r="I7" s="351" t="s">
        <v>872</v>
      </c>
      <c r="J7" s="386">
        <f>J5*(1-J6)</f>
        <v>1.4827500000000002E-2</v>
      </c>
    </row>
    <row r="8" spans="2:24" ht="15" thickTop="1"/>
    <row r="10" spans="2:24" ht="15" thickBot="1">
      <c r="B10" s="187"/>
      <c r="C10" s="25" t="s">
        <v>839</v>
      </c>
      <c r="D10" s="187"/>
      <c r="E10" s="187"/>
      <c r="F10" s="187"/>
      <c r="G10" s="187"/>
      <c r="H10" s="187"/>
      <c r="M10" s="25" t="s">
        <v>840</v>
      </c>
      <c r="N10" s="447" t="s">
        <v>846</v>
      </c>
    </row>
    <row r="11" spans="2:24">
      <c r="C11" s="448">
        <v>2023</v>
      </c>
      <c r="D11" s="448">
        <f>C11+1</f>
        <v>2024</v>
      </c>
      <c r="E11" s="448">
        <f t="shared" ref="E11:L11" si="0">D11+1</f>
        <v>2025</v>
      </c>
      <c r="F11" s="448">
        <f t="shared" si="0"/>
        <v>2026</v>
      </c>
      <c r="G11" s="448">
        <f t="shared" si="0"/>
        <v>2027</v>
      </c>
      <c r="H11" s="448">
        <f t="shared" si="0"/>
        <v>2028</v>
      </c>
      <c r="I11" s="448">
        <f t="shared" si="0"/>
        <v>2029</v>
      </c>
      <c r="J11" s="448">
        <f t="shared" si="0"/>
        <v>2030</v>
      </c>
      <c r="K11" s="448">
        <f t="shared" si="0"/>
        <v>2031</v>
      </c>
      <c r="L11" s="448">
        <f t="shared" si="0"/>
        <v>2032</v>
      </c>
      <c r="M11" s="448"/>
      <c r="N11" s="448"/>
    </row>
    <row r="12" spans="2:24">
      <c r="B12" s="4" t="s">
        <v>845</v>
      </c>
      <c r="C12" s="56">
        <f>C7</f>
        <v>5.1811726424890479E-2</v>
      </c>
      <c r="D12" s="16">
        <f>C12</f>
        <v>5.1811726424890479E-2</v>
      </c>
      <c r="E12" s="16">
        <f t="shared" ref="E12:L12" si="1">D12</f>
        <v>5.1811726424890479E-2</v>
      </c>
      <c r="F12" s="16">
        <f t="shared" si="1"/>
        <v>5.1811726424890479E-2</v>
      </c>
      <c r="G12" s="16">
        <f t="shared" si="1"/>
        <v>5.1811726424890479E-2</v>
      </c>
      <c r="H12" s="16">
        <f t="shared" si="1"/>
        <v>5.1811726424890479E-2</v>
      </c>
      <c r="I12" s="16">
        <f t="shared" si="1"/>
        <v>5.1811726424890479E-2</v>
      </c>
      <c r="J12" s="16">
        <f t="shared" si="1"/>
        <v>5.1811726424890479E-2</v>
      </c>
      <c r="K12" s="16">
        <f t="shared" si="1"/>
        <v>5.1811726424890479E-2</v>
      </c>
      <c r="L12" s="16">
        <f t="shared" si="1"/>
        <v>5.1811726424890479E-2</v>
      </c>
      <c r="M12" s="16">
        <f>D7</f>
        <v>5.1906629259220544E-2</v>
      </c>
      <c r="N12" s="66">
        <f>1-N13</f>
        <v>0.9</v>
      </c>
    </row>
    <row r="13" spans="2:24">
      <c r="B13" s="449" t="s">
        <v>847</v>
      </c>
      <c r="C13" s="450">
        <f>J7</f>
        <v>1.4827500000000002E-2</v>
      </c>
      <c r="D13" s="451">
        <f>C13</f>
        <v>1.4827500000000002E-2</v>
      </c>
      <c r="E13" s="451">
        <f t="shared" ref="E13:L13" si="2">D13</f>
        <v>1.4827500000000002E-2</v>
      </c>
      <c r="F13" s="451">
        <f t="shared" si="2"/>
        <v>1.4827500000000002E-2</v>
      </c>
      <c r="G13" s="451">
        <f t="shared" si="2"/>
        <v>1.4827500000000002E-2</v>
      </c>
      <c r="H13" s="451">
        <f t="shared" si="2"/>
        <v>1.4827500000000002E-2</v>
      </c>
      <c r="I13" s="451">
        <f t="shared" si="2"/>
        <v>1.4827500000000002E-2</v>
      </c>
      <c r="J13" s="451">
        <f t="shared" si="2"/>
        <v>1.4827500000000002E-2</v>
      </c>
      <c r="K13" s="451">
        <f t="shared" si="2"/>
        <v>1.4827500000000002E-2</v>
      </c>
      <c r="L13" s="451">
        <f t="shared" si="2"/>
        <v>1.4827500000000002E-2</v>
      </c>
      <c r="M13" s="16">
        <f>J7</f>
        <v>1.4827500000000002E-2</v>
      </c>
      <c r="N13" s="66">
        <v>0.1</v>
      </c>
    </row>
    <row r="14" spans="2:24" ht="15" thickBot="1">
      <c r="B14" s="452" t="s">
        <v>767</v>
      </c>
      <c r="C14" s="453">
        <f>(C$12*$N$12)+(C$13*$N$13)</f>
        <v>4.8113303782401431E-2</v>
      </c>
      <c r="D14" s="454">
        <f t="shared" ref="D14:M14" si="3">(D$12*$N$12)+(D$13*$N$13)</f>
        <v>4.8113303782401431E-2</v>
      </c>
      <c r="E14" s="454">
        <f t="shared" si="3"/>
        <v>4.8113303782401431E-2</v>
      </c>
      <c r="F14" s="454">
        <f t="shared" si="3"/>
        <v>4.8113303782401431E-2</v>
      </c>
      <c r="G14" s="454">
        <f t="shared" si="3"/>
        <v>4.8113303782401431E-2</v>
      </c>
      <c r="H14" s="454">
        <f t="shared" si="3"/>
        <v>4.8113303782401431E-2</v>
      </c>
      <c r="I14" s="454">
        <f t="shared" si="3"/>
        <v>4.8113303782401431E-2</v>
      </c>
      <c r="J14" s="454">
        <f t="shared" si="3"/>
        <v>4.8113303782401431E-2</v>
      </c>
      <c r="K14" s="454">
        <f t="shared" si="3"/>
        <v>4.8113303782401431E-2</v>
      </c>
      <c r="L14" s="454">
        <f t="shared" si="3"/>
        <v>4.8113303782401431E-2</v>
      </c>
      <c r="M14" s="454">
        <f t="shared" si="3"/>
        <v>4.8198716333298489E-2</v>
      </c>
      <c r="N14" s="455"/>
    </row>
    <row r="15" spans="2:24" ht="15" thickTop="1">
      <c r="X15" s="16"/>
    </row>
    <row r="19" spans="2:49" ht="15" thickBot="1">
      <c r="B19" s="456" t="s">
        <v>848</v>
      </c>
      <c r="C19" s="457"/>
      <c r="J19" s="458" t="s">
        <v>842</v>
      </c>
      <c r="K19" s="459"/>
      <c r="L19" s="459"/>
      <c r="R19" s="458" t="s">
        <v>851</v>
      </c>
      <c r="S19" s="459"/>
      <c r="T19" s="459"/>
      <c r="U19" s="460"/>
      <c r="V19" s="460"/>
      <c r="W19" s="461">
        <v>100</v>
      </c>
      <c r="AC19" s="462" t="s">
        <v>1064</v>
      </c>
      <c r="AD19" s="463"/>
      <c r="AE19" s="463"/>
      <c r="AJ19" s="458" t="s">
        <v>2661</v>
      </c>
      <c r="AK19" s="502"/>
      <c r="AL19" s="502"/>
      <c r="AM19" s="502"/>
      <c r="AN19" s="464"/>
      <c r="AS19" s="458" t="s">
        <v>2662</v>
      </c>
      <c r="AT19" s="502"/>
      <c r="AU19" s="502"/>
    </row>
    <row r="20" spans="2:49" ht="15" thickBot="1">
      <c r="B20" s="315" t="s">
        <v>700</v>
      </c>
      <c r="C20" s="447" t="str">
        <f>T20</f>
        <v>UK GY10</v>
      </c>
      <c r="D20" s="554" t="s">
        <v>2656</v>
      </c>
      <c r="E20" s="5" t="s">
        <v>869</v>
      </c>
      <c r="J20" s="466" t="s">
        <v>700</v>
      </c>
      <c r="K20" s="467" t="s">
        <v>849</v>
      </c>
      <c r="L20" s="468" t="s">
        <v>850</v>
      </c>
      <c r="R20" s="469" t="s">
        <v>700</v>
      </c>
      <c r="S20" s="469" t="str">
        <f>K20</f>
        <v>FTSE 250</v>
      </c>
      <c r="T20" s="469" t="s">
        <v>2655</v>
      </c>
      <c r="U20" s="6"/>
      <c r="V20" s="5" t="s">
        <v>863</v>
      </c>
      <c r="W20" s="470"/>
      <c r="X20" s="290" t="s">
        <v>870</v>
      </c>
      <c r="AC20" s="471" t="s">
        <v>1065</v>
      </c>
      <c r="AD20" s="472"/>
      <c r="AE20" s="472"/>
      <c r="AI20" s="464"/>
      <c r="AJ20" s="503" t="s">
        <v>700</v>
      </c>
      <c r="AK20" s="503" t="s">
        <v>849</v>
      </c>
      <c r="AL20" s="503" t="s">
        <v>2638</v>
      </c>
      <c r="AM20" s="503"/>
      <c r="AN20" s="506">
        <f>_xlfn.STDEV.S(AM22:AM1286)*SQRT(365)</f>
        <v>0.21422768817979829</v>
      </c>
      <c r="AR20" s="464"/>
      <c r="AS20" s="503" t="s">
        <v>700</v>
      </c>
      <c r="AT20" s="503" t="str">
        <f>T20</f>
        <v>UK GY10</v>
      </c>
      <c r="AU20" s="503"/>
      <c r="AV20" s="505">
        <f>_xlfn.STDEV.S(AT21:AT1573)/AVERAGE(AT21:AT1573)</f>
        <v>0.50790186001030324</v>
      </c>
    </row>
    <row r="21" spans="2:49" ht="15">
      <c r="B21" s="311">
        <v>44713</v>
      </c>
      <c r="C21" s="381">
        <v>2.2400000000000003E-2</v>
      </c>
      <c r="D21" s="384">
        <v>1.3680000000000001E-2</v>
      </c>
      <c r="E21" s="5" t="s">
        <v>2742</v>
      </c>
      <c r="J21" s="312">
        <v>42887</v>
      </c>
      <c r="K21" s="313">
        <v>19340.150000000001</v>
      </c>
      <c r="L21" s="18">
        <v>143.52354399999999</v>
      </c>
      <c r="N21" s="8" t="s">
        <v>852</v>
      </c>
      <c r="O21" s="8" t="s">
        <v>853</v>
      </c>
      <c r="R21" s="312">
        <v>42887</v>
      </c>
      <c r="S21" s="314">
        <v>19340.150000000001</v>
      </c>
      <c r="T21" s="381">
        <v>1.2589999999999999E-2</v>
      </c>
      <c r="U21" s="16"/>
      <c r="W21" s="69"/>
      <c r="X21" s="381">
        <v>4.6500000000000005E-3</v>
      </c>
      <c r="AC21" s="476" t="s">
        <v>1066</v>
      </c>
      <c r="AD21" s="477"/>
      <c r="AE21" s="477" t="s">
        <v>1082</v>
      </c>
      <c r="AI21" s="464">
        <f t="shared" ref="AI21:AI84" si="4">AI20+1</f>
        <v>1</v>
      </c>
      <c r="AJ21" s="473">
        <v>42887</v>
      </c>
      <c r="AK21" s="474">
        <v>20010.62</v>
      </c>
      <c r="AL21" s="475">
        <v>1.9E-3</v>
      </c>
      <c r="AM21" s="464"/>
      <c r="AN21" s="464"/>
      <c r="AO21" s="464"/>
      <c r="AR21" s="464">
        <f t="shared" ref="AR21:AR84" si="5">AR20+1</f>
        <v>1</v>
      </c>
      <c r="AS21" s="464" t="s">
        <v>2637</v>
      </c>
      <c r="AT21" s="381">
        <v>1.076E-2</v>
      </c>
      <c r="AV21" s="464"/>
      <c r="AW21" s="465"/>
    </row>
    <row r="22" spans="2:49" ht="15">
      <c r="B22" s="311">
        <v>44682</v>
      </c>
      <c r="C22" s="381">
        <v>2.1000000000000001E-2</v>
      </c>
      <c r="D22" s="384">
        <v>1.1270000000000001E-2</v>
      </c>
      <c r="E22" s="381">
        <f>D22+1.7%</f>
        <v>2.8270000000000003E-2</v>
      </c>
      <c r="J22" s="312">
        <v>42917</v>
      </c>
      <c r="K22" s="313">
        <v>19781.14</v>
      </c>
      <c r="L22" s="18">
        <v>170.03707900000001</v>
      </c>
      <c r="N22" s="4">
        <f>K22/K21-1</f>
        <v>2.2801787990268885E-2</v>
      </c>
      <c r="O22" s="4">
        <f>L22/L21-1</f>
        <v>0.18473300101898271</v>
      </c>
      <c r="R22" s="312">
        <v>42917</v>
      </c>
      <c r="S22" s="314">
        <v>19781.14</v>
      </c>
      <c r="T22" s="381">
        <v>1.2310000000000001E-2</v>
      </c>
      <c r="U22" s="56">
        <f t="shared" ref="U22:U53" si="6">S22/S21-1</f>
        <v>2.2801787990268885E-2</v>
      </c>
      <c r="V22" s="381">
        <f t="shared" ref="V22:V53" si="7">U22-T22</f>
        <v>1.0491787990268883E-2</v>
      </c>
      <c r="X22" s="381">
        <v>5.3300000000000005E-3</v>
      </c>
      <c r="Y22" s="382">
        <f t="shared" ref="Y22:Y53" si="8">U22-X22</f>
        <v>1.7471787990268883E-2</v>
      </c>
      <c r="AC22" s="476" t="s">
        <v>1067</v>
      </c>
      <c r="AD22" s="477"/>
      <c r="AE22" s="477" t="s">
        <v>1084</v>
      </c>
      <c r="AI22" s="464">
        <f t="shared" si="4"/>
        <v>2</v>
      </c>
      <c r="AJ22" s="473">
        <v>42888</v>
      </c>
      <c r="AK22" s="474">
        <v>20002.75</v>
      </c>
      <c r="AL22" s="475">
        <v>-4.0000000000000002E-4</v>
      </c>
      <c r="AM22" s="475">
        <f t="shared" ref="AM22:AM85" si="9">AK22/AK21-1</f>
        <v>-3.9329116239272821E-4</v>
      </c>
      <c r="AN22" s="464"/>
      <c r="AO22" s="464"/>
      <c r="AR22" s="464">
        <f t="shared" si="5"/>
        <v>2</v>
      </c>
      <c r="AS22" s="464" t="s">
        <v>2636</v>
      </c>
      <c r="AT22" s="381">
        <v>1.0369999999999999E-2</v>
      </c>
      <c r="AV22" s="464"/>
      <c r="AW22" s="465"/>
    </row>
    <row r="23" spans="2:49" ht="15">
      <c r="B23" s="311">
        <v>44652</v>
      </c>
      <c r="C23" s="381">
        <v>1.9089999999999999E-2</v>
      </c>
      <c r="D23" s="384">
        <v>9.3500000000000007E-3</v>
      </c>
      <c r="J23" s="312">
        <v>42948</v>
      </c>
      <c r="K23" s="313">
        <v>19803.59</v>
      </c>
      <c r="L23" s="18">
        <v>163.02522300000001</v>
      </c>
      <c r="N23" s="4">
        <f t="shared" ref="N23:N54" si="10">K23/K22-1</f>
        <v>1.1349194232486148E-3</v>
      </c>
      <c r="O23" s="4">
        <f t="shared" ref="O23:O81" si="11">L23/L22-1</f>
        <v>-4.1237217442437912E-2</v>
      </c>
      <c r="R23" s="312">
        <v>42948</v>
      </c>
      <c r="S23" s="314">
        <v>19803.59</v>
      </c>
      <c r="T23" s="381">
        <v>1.0360000000000001E-2</v>
      </c>
      <c r="U23" s="56">
        <f t="shared" si="6"/>
        <v>1.1349194232486148E-3</v>
      </c>
      <c r="V23" s="381">
        <f t="shared" si="7"/>
        <v>-9.2250805767513863E-3</v>
      </c>
      <c r="X23" s="381">
        <v>3.5899999999999999E-3</v>
      </c>
      <c r="Y23" s="382">
        <f t="shared" si="8"/>
        <v>-2.455080576751385E-3</v>
      </c>
      <c r="AC23" s="476" t="s">
        <v>1068</v>
      </c>
      <c r="AD23" s="477"/>
      <c r="AE23" s="477" t="s">
        <v>1083</v>
      </c>
      <c r="AI23" s="464">
        <f t="shared" si="4"/>
        <v>3</v>
      </c>
      <c r="AJ23" s="473">
        <v>42891</v>
      </c>
      <c r="AK23" s="474">
        <v>19868.669999999998</v>
      </c>
      <c r="AL23" s="475">
        <v>-6.7000000000000002E-3</v>
      </c>
      <c r="AM23" s="475">
        <f t="shared" si="9"/>
        <v>-6.7030783267301164E-3</v>
      </c>
      <c r="AN23" s="464"/>
      <c r="AO23" s="464"/>
      <c r="AR23" s="464">
        <f t="shared" si="5"/>
        <v>3</v>
      </c>
      <c r="AS23" s="464" t="s">
        <v>2635</v>
      </c>
      <c r="AT23" s="381">
        <v>1.042E-2</v>
      </c>
      <c r="AV23" s="464"/>
      <c r="AW23" s="465"/>
    </row>
    <row r="24" spans="2:49" ht="15">
      <c r="B24" s="311">
        <v>44621</v>
      </c>
      <c r="C24" s="381">
        <v>1.6070000000000001E-2</v>
      </c>
      <c r="D24" s="384">
        <v>5.47E-3</v>
      </c>
      <c r="J24" s="312">
        <v>42979</v>
      </c>
      <c r="K24" s="313">
        <v>19874.82</v>
      </c>
      <c r="L24" s="18">
        <v>192.93983499999999</v>
      </c>
      <c r="N24" s="4">
        <f t="shared" si="10"/>
        <v>3.5968225963070033E-3</v>
      </c>
      <c r="O24" s="4">
        <f t="shared" si="11"/>
        <v>0.18349683226625602</v>
      </c>
      <c r="R24" s="312">
        <v>42979</v>
      </c>
      <c r="S24" s="314">
        <v>19874.82</v>
      </c>
      <c r="T24" s="381">
        <v>1.366E-2</v>
      </c>
      <c r="U24" s="56">
        <f t="shared" si="6"/>
        <v>3.5968225963070033E-3</v>
      </c>
      <c r="V24" s="381">
        <f t="shared" si="7"/>
        <v>-1.0063177403692997E-2</v>
      </c>
      <c r="X24" s="381">
        <v>4.64E-3</v>
      </c>
      <c r="Y24" s="382">
        <f t="shared" si="8"/>
        <v>-1.0431774036929967E-3</v>
      </c>
      <c r="AC24" s="478" t="s">
        <v>1069</v>
      </c>
      <c r="AD24" s="477"/>
      <c r="AE24" s="479">
        <v>5.0700000000000002E-2</v>
      </c>
      <c r="AI24" s="464">
        <f t="shared" si="4"/>
        <v>4</v>
      </c>
      <c r="AJ24" s="473">
        <v>42892</v>
      </c>
      <c r="AK24" s="474">
        <v>19654.84</v>
      </c>
      <c r="AL24" s="475">
        <v>-1.0800000000000001E-2</v>
      </c>
      <c r="AM24" s="475">
        <f t="shared" si="9"/>
        <v>-1.0762169787912224E-2</v>
      </c>
      <c r="AN24" s="464"/>
      <c r="AO24" s="464"/>
      <c r="AR24" s="464">
        <f t="shared" si="5"/>
        <v>4</v>
      </c>
      <c r="AS24" s="464" t="s">
        <v>2634</v>
      </c>
      <c r="AT24" s="381">
        <v>9.8300000000000002E-3</v>
      </c>
      <c r="AV24" s="464"/>
      <c r="AW24" s="465"/>
    </row>
    <row r="25" spans="2:49" ht="15">
      <c r="B25" s="311">
        <v>44593</v>
      </c>
      <c r="C25" s="381">
        <v>1.4150000000000001E-2</v>
      </c>
      <c r="D25" s="384">
        <v>1.5900000000000001E-3</v>
      </c>
      <c r="J25" s="312">
        <v>43009</v>
      </c>
      <c r="K25" s="313">
        <v>20227.86</v>
      </c>
      <c r="L25" s="18">
        <v>204.97073399999999</v>
      </c>
      <c r="N25" s="4">
        <f t="shared" si="10"/>
        <v>1.7763179742005253E-2</v>
      </c>
      <c r="O25" s="4">
        <f t="shared" si="11"/>
        <v>6.2355702750549247E-2</v>
      </c>
      <c r="R25" s="312">
        <v>43009</v>
      </c>
      <c r="S25" s="314">
        <v>20227.86</v>
      </c>
      <c r="T25" s="381">
        <v>1.333E-2</v>
      </c>
      <c r="U25" s="56">
        <f t="shared" si="6"/>
        <v>1.7763179742005253E-2</v>
      </c>
      <c r="V25" s="381">
        <f t="shared" si="7"/>
        <v>4.433179742005253E-3</v>
      </c>
      <c r="X25" s="381">
        <v>3.64E-3</v>
      </c>
      <c r="Y25" s="382">
        <f t="shared" si="8"/>
        <v>1.4123179742005252E-2</v>
      </c>
      <c r="AC25" s="480" t="s">
        <v>1070</v>
      </c>
      <c r="AD25" s="481"/>
      <c r="AE25" s="481">
        <f>AE27*AE28</f>
        <v>2.1131655587144672E-3</v>
      </c>
      <c r="AI25" s="464">
        <f t="shared" si="4"/>
        <v>5</v>
      </c>
      <c r="AJ25" s="473">
        <v>42893</v>
      </c>
      <c r="AK25" s="474">
        <v>19695.919999999998</v>
      </c>
      <c r="AL25" s="475">
        <v>2.0999999999999999E-3</v>
      </c>
      <c r="AM25" s="475">
        <f t="shared" si="9"/>
        <v>2.0900704355770738E-3</v>
      </c>
      <c r="AN25" s="464"/>
      <c r="AO25" s="464"/>
      <c r="AR25" s="464">
        <f t="shared" si="5"/>
        <v>5</v>
      </c>
      <c r="AS25" s="464" t="s">
        <v>2633</v>
      </c>
      <c r="AT25" s="381">
        <v>1.0029999999999999E-2</v>
      </c>
      <c r="AV25" s="464"/>
      <c r="AW25" s="465"/>
    </row>
    <row r="26" spans="2:49" ht="15">
      <c r="B26" s="311">
        <v>44562</v>
      </c>
      <c r="C26" s="381">
        <v>1.3089999999999999E-2</v>
      </c>
      <c r="D26" s="384">
        <v>1.4000000000000001E-4</v>
      </c>
      <c r="J26" s="312">
        <v>43040</v>
      </c>
      <c r="K26" s="313">
        <v>19952.89</v>
      </c>
      <c r="L26" s="18">
        <v>197.39570599999999</v>
      </c>
      <c r="N26" s="4">
        <f t="shared" si="10"/>
        <v>-1.3593627798491825E-2</v>
      </c>
      <c r="O26" s="4">
        <f t="shared" si="11"/>
        <v>-3.6956632062409511E-2</v>
      </c>
      <c r="R26" s="312">
        <v>43040</v>
      </c>
      <c r="S26" s="314">
        <v>19952.89</v>
      </c>
      <c r="T26" s="381">
        <v>1.3309999999999999E-2</v>
      </c>
      <c r="U26" s="56">
        <f t="shared" si="6"/>
        <v>-1.3593627798491825E-2</v>
      </c>
      <c r="V26" s="381">
        <f t="shared" si="7"/>
        <v>-2.6903627798491824E-2</v>
      </c>
      <c r="X26" s="381">
        <v>3.6700000000000001E-3</v>
      </c>
      <c r="Y26" s="382">
        <f t="shared" si="8"/>
        <v>-1.7263627798491825E-2</v>
      </c>
      <c r="AC26" s="476" t="s">
        <v>1071</v>
      </c>
      <c r="AD26" s="477"/>
      <c r="AE26" s="482">
        <v>50.1</v>
      </c>
      <c r="AI26" s="464">
        <f t="shared" si="4"/>
        <v>6</v>
      </c>
      <c r="AJ26" s="473">
        <v>42894</v>
      </c>
      <c r="AK26" s="474">
        <v>19743.41</v>
      </c>
      <c r="AL26" s="475">
        <v>2.3999999999999998E-3</v>
      </c>
      <c r="AM26" s="475">
        <f t="shared" si="9"/>
        <v>2.4111592654723069E-3</v>
      </c>
      <c r="AN26" s="464"/>
      <c r="AO26" s="464"/>
      <c r="AR26" s="464">
        <f t="shared" si="5"/>
        <v>6</v>
      </c>
      <c r="AS26" s="464" t="s">
        <v>2632</v>
      </c>
      <c r="AT26" s="381">
        <v>1.0329999999999999E-2</v>
      </c>
      <c r="AV26" s="464"/>
      <c r="AW26" s="465"/>
    </row>
    <row r="27" spans="2:49" ht="15">
      <c r="B27" s="311">
        <v>44531</v>
      </c>
      <c r="C27" s="381">
        <v>9.7199999999999995E-3</v>
      </c>
      <c r="D27" s="384">
        <v>-1.7899999999999999E-3</v>
      </c>
      <c r="J27" s="312">
        <v>43070</v>
      </c>
      <c r="K27" s="313">
        <v>20726.259999999998</v>
      </c>
      <c r="L27" s="18">
        <v>208.53543099999999</v>
      </c>
      <c r="N27" s="4">
        <f t="shared" si="10"/>
        <v>3.8759798705851667E-2</v>
      </c>
      <c r="O27" s="4">
        <f t="shared" si="11"/>
        <v>5.6433471759512299E-2</v>
      </c>
      <c r="R27" s="312">
        <v>43070</v>
      </c>
      <c r="S27" s="314">
        <v>20726.259999999998</v>
      </c>
      <c r="T27" s="381">
        <v>1.188E-2</v>
      </c>
      <c r="U27" s="56">
        <f t="shared" si="6"/>
        <v>3.8759798705851667E-2</v>
      </c>
      <c r="V27" s="381">
        <f t="shared" si="7"/>
        <v>2.6879798705851665E-2</v>
      </c>
      <c r="X27" s="381">
        <v>4.2699999999999995E-3</v>
      </c>
      <c r="Y27" s="382">
        <f t="shared" si="8"/>
        <v>3.4489798705851671E-2</v>
      </c>
      <c r="AC27" s="476" t="s">
        <v>1072</v>
      </c>
      <c r="AD27" s="477"/>
      <c r="AE27" s="483">
        <f>AE26/10000</f>
        <v>5.0100000000000006E-3</v>
      </c>
      <c r="AI27" s="464">
        <f t="shared" si="4"/>
        <v>7</v>
      </c>
      <c r="AJ27" s="473">
        <v>42895</v>
      </c>
      <c r="AK27" s="474">
        <v>19769.96</v>
      </c>
      <c r="AL27" s="475">
        <v>1.2999999999999999E-3</v>
      </c>
      <c r="AM27" s="475">
        <f t="shared" si="9"/>
        <v>1.3447525022272089E-3</v>
      </c>
      <c r="AN27" s="464"/>
      <c r="AO27" s="464"/>
      <c r="AR27" s="464">
        <f t="shared" si="5"/>
        <v>7</v>
      </c>
      <c r="AS27" s="464" t="s">
        <v>2631</v>
      </c>
      <c r="AT27" s="381">
        <v>1.0049999999999998E-2</v>
      </c>
      <c r="AV27" s="464"/>
      <c r="AW27" s="465"/>
    </row>
    <row r="28" spans="2:49" ht="15">
      <c r="B28" s="311">
        <v>44501</v>
      </c>
      <c r="C28" s="381">
        <v>8.1100000000000009E-3</v>
      </c>
      <c r="D28" s="384">
        <v>-3.4300000000000003E-3</v>
      </c>
      <c r="J28" s="312">
        <v>43101</v>
      </c>
      <c r="K28" s="313">
        <v>20243.599999999999</v>
      </c>
      <c r="L28" s="18">
        <v>179.12660199999999</v>
      </c>
      <c r="N28" s="4">
        <f t="shared" si="10"/>
        <v>-2.3287365882701416E-2</v>
      </c>
      <c r="O28" s="4">
        <f t="shared" si="11"/>
        <v>-0.14102557468999122</v>
      </c>
      <c r="R28" s="312">
        <v>43101</v>
      </c>
      <c r="S28" s="314">
        <v>20243.599999999999</v>
      </c>
      <c r="T28" s="381">
        <v>1.512E-2</v>
      </c>
      <c r="U28" s="56">
        <f t="shared" si="6"/>
        <v>-2.3287365882701416E-2</v>
      </c>
      <c r="V28" s="381">
        <f t="shared" si="7"/>
        <v>-3.8407365882701418E-2</v>
      </c>
      <c r="X28" s="381">
        <v>6.9699999999999996E-3</v>
      </c>
      <c r="Y28" s="382">
        <f t="shared" si="8"/>
        <v>-3.0257365882701417E-2</v>
      </c>
      <c r="AC28" s="476" t="s">
        <v>1073</v>
      </c>
      <c r="AD28" s="484"/>
      <c r="AE28" s="484">
        <f>AD31</f>
        <v>0.42178953267753833</v>
      </c>
      <c r="AI28" s="464">
        <f t="shared" si="4"/>
        <v>8</v>
      </c>
      <c r="AJ28" s="473">
        <v>42898</v>
      </c>
      <c r="AK28" s="474">
        <v>19682.7</v>
      </c>
      <c r="AL28" s="475">
        <v>-4.4000000000000003E-3</v>
      </c>
      <c r="AM28" s="475">
        <f t="shared" si="9"/>
        <v>-4.4137671497563868E-3</v>
      </c>
      <c r="AN28" s="464"/>
      <c r="AO28" s="464"/>
      <c r="AR28" s="464">
        <f t="shared" si="5"/>
        <v>8</v>
      </c>
      <c r="AS28" s="464" t="s">
        <v>2630</v>
      </c>
      <c r="AT28" s="381">
        <v>9.6699999999999998E-3</v>
      </c>
      <c r="AV28" s="464"/>
      <c r="AW28" s="465"/>
    </row>
    <row r="29" spans="2:49" ht="15">
      <c r="B29" s="311">
        <v>44470</v>
      </c>
      <c r="C29" s="381">
        <v>1.0320000000000001E-2</v>
      </c>
      <c r="D29" s="384">
        <v>-9.3999999999999997E-4</v>
      </c>
      <c r="J29" s="312">
        <v>43132</v>
      </c>
      <c r="K29" s="313">
        <v>19687.27</v>
      </c>
      <c r="L29" s="18">
        <v>178.473175</v>
      </c>
      <c r="N29" s="4">
        <f t="shared" si="10"/>
        <v>-2.7481772016834882E-2</v>
      </c>
      <c r="O29" s="4">
        <f t="shared" si="11"/>
        <v>-3.6478501389759499E-3</v>
      </c>
      <c r="R29" s="312">
        <v>43132</v>
      </c>
      <c r="S29" s="314">
        <v>19687.27</v>
      </c>
      <c r="T29" s="381">
        <v>1.502E-2</v>
      </c>
      <c r="U29" s="56">
        <f t="shared" si="6"/>
        <v>-2.7481772016834882E-2</v>
      </c>
      <c r="V29" s="381">
        <f t="shared" si="7"/>
        <v>-4.2501772016834881E-2</v>
      </c>
      <c r="X29" s="381">
        <v>6.5400000000000007E-3</v>
      </c>
      <c r="Y29" s="382">
        <f t="shared" si="8"/>
        <v>-3.4021772016834886E-2</v>
      </c>
      <c r="AC29" s="485" t="s">
        <v>1074</v>
      </c>
      <c r="AD29" s="486">
        <f>'Cost of Capital'!AN20</f>
        <v>0.21422768817979829</v>
      </c>
      <c r="AE29" s="484"/>
      <c r="AI29" s="464">
        <f t="shared" si="4"/>
        <v>9</v>
      </c>
      <c r="AJ29" s="473">
        <v>42899</v>
      </c>
      <c r="AK29" s="474">
        <v>19859.54</v>
      </c>
      <c r="AL29" s="475">
        <v>8.9999999999999993E-3</v>
      </c>
      <c r="AM29" s="475">
        <f t="shared" si="9"/>
        <v>8.9845397227006352E-3</v>
      </c>
      <c r="AN29" s="464"/>
      <c r="AO29" s="464"/>
      <c r="AR29" s="464">
        <f t="shared" si="5"/>
        <v>9</v>
      </c>
      <c r="AS29" s="464" t="s">
        <v>2629</v>
      </c>
      <c r="AT29" s="381">
        <v>1.034E-2</v>
      </c>
      <c r="AV29" s="464"/>
      <c r="AW29" s="465"/>
    </row>
    <row r="30" spans="2:49" ht="15">
      <c r="B30" s="311">
        <v>44440</v>
      </c>
      <c r="C30" s="381">
        <v>1.022E-2</v>
      </c>
      <c r="D30" s="384">
        <v>-1.91E-3</v>
      </c>
      <c r="J30" s="312">
        <v>43160</v>
      </c>
      <c r="K30" s="313">
        <v>19460.47</v>
      </c>
      <c r="L30" s="18">
        <v>168.867233</v>
      </c>
      <c r="N30" s="4">
        <f t="shared" si="10"/>
        <v>-1.1520134584429353E-2</v>
      </c>
      <c r="O30" s="4">
        <f t="shared" si="11"/>
        <v>-5.3822889630332438E-2</v>
      </c>
      <c r="R30" s="312">
        <v>43160</v>
      </c>
      <c r="S30" s="314">
        <v>19460.47</v>
      </c>
      <c r="T30" s="381">
        <v>1.3500000000000002E-2</v>
      </c>
      <c r="U30" s="56">
        <f t="shared" si="6"/>
        <v>-1.1520134584429353E-2</v>
      </c>
      <c r="V30" s="381">
        <f t="shared" si="7"/>
        <v>-2.5020134584429355E-2</v>
      </c>
      <c r="X30" s="381">
        <v>4.9300000000000004E-3</v>
      </c>
      <c r="Y30" s="382">
        <f t="shared" si="8"/>
        <v>-1.6450134584429354E-2</v>
      </c>
      <c r="AC30" s="487" t="s">
        <v>1075</v>
      </c>
      <c r="AD30" s="488">
        <f>'Cost of Capital'!AV20</f>
        <v>0.50790186001030324</v>
      </c>
      <c r="AE30" s="484"/>
      <c r="AI30" s="464">
        <f t="shared" si="4"/>
        <v>10</v>
      </c>
      <c r="AJ30" s="473">
        <v>42900</v>
      </c>
      <c r="AK30" s="474">
        <v>19974.7</v>
      </c>
      <c r="AL30" s="475">
        <v>5.7999999999999996E-3</v>
      </c>
      <c r="AM30" s="475">
        <f t="shared" si="9"/>
        <v>5.7987244417543327E-3</v>
      </c>
      <c r="AN30" s="464"/>
      <c r="AO30" s="464"/>
      <c r="AR30" s="464">
        <f t="shared" si="5"/>
        <v>10</v>
      </c>
      <c r="AS30" s="464" t="s">
        <v>2628</v>
      </c>
      <c r="AT30" s="381">
        <v>9.3100000000000006E-3</v>
      </c>
      <c r="AV30" s="464"/>
      <c r="AW30" s="465"/>
    </row>
    <row r="31" spans="2:49" ht="15">
      <c r="B31" s="311">
        <v>44409</v>
      </c>
      <c r="C31" s="381">
        <v>6.2199999999999998E-3</v>
      </c>
      <c r="D31" s="384">
        <v>-3.8E-3</v>
      </c>
      <c r="J31" s="312">
        <v>43191</v>
      </c>
      <c r="K31" s="313">
        <v>20285.05</v>
      </c>
      <c r="L31" s="18">
        <v>176.49813800000001</v>
      </c>
      <c r="N31" s="4">
        <f t="shared" si="10"/>
        <v>4.2372049595924333E-2</v>
      </c>
      <c r="O31" s="4">
        <f t="shared" si="11"/>
        <v>4.5188784493200185E-2</v>
      </c>
      <c r="R31" s="312">
        <v>43191</v>
      </c>
      <c r="S31" s="314">
        <v>20285.05</v>
      </c>
      <c r="T31" s="381">
        <v>1.418E-2</v>
      </c>
      <c r="U31" s="56">
        <f t="shared" si="6"/>
        <v>4.2372049595924333E-2</v>
      </c>
      <c r="V31" s="381">
        <f t="shared" si="7"/>
        <v>2.8192049595924334E-2</v>
      </c>
      <c r="X31" s="381">
        <v>5.6200000000000009E-3</v>
      </c>
      <c r="Y31" s="382">
        <f t="shared" si="8"/>
        <v>3.6752049595924333E-2</v>
      </c>
      <c r="AC31" s="487" t="s">
        <v>1076</v>
      </c>
      <c r="AD31" s="489">
        <f>AD29/AD30</f>
        <v>0.42178953267753833</v>
      </c>
      <c r="AE31" s="484"/>
      <c r="AI31" s="464">
        <f t="shared" si="4"/>
        <v>11</v>
      </c>
      <c r="AJ31" s="473">
        <v>42901</v>
      </c>
      <c r="AK31" s="474">
        <v>19553.66</v>
      </c>
      <c r="AL31" s="475">
        <v>-2.1100000000000001E-2</v>
      </c>
      <c r="AM31" s="475">
        <f t="shared" si="9"/>
        <v>-2.1078664510605916E-2</v>
      </c>
      <c r="AN31" s="464"/>
      <c r="AO31" s="464"/>
      <c r="AR31" s="464">
        <f t="shared" si="5"/>
        <v>11</v>
      </c>
      <c r="AS31" s="464" t="s">
        <v>2627</v>
      </c>
      <c r="AT31" s="381">
        <v>1.0329999999999999E-2</v>
      </c>
      <c r="AV31" s="464"/>
      <c r="AW31" s="465"/>
    </row>
    <row r="32" spans="2:49" ht="15">
      <c r="B32" s="311">
        <v>44378</v>
      </c>
      <c r="C32" s="381">
        <v>5.6599999999999992E-3</v>
      </c>
      <c r="D32" s="384">
        <v>-4.5799999999999999E-3</v>
      </c>
      <c r="J32" s="312">
        <v>43221</v>
      </c>
      <c r="K32" s="313">
        <v>20846.259999999998</v>
      </c>
      <c r="L32" s="18">
        <v>190.862167</v>
      </c>
      <c r="N32" s="4">
        <f t="shared" si="10"/>
        <v>2.7666187660370545E-2</v>
      </c>
      <c r="O32" s="4">
        <f t="shared" si="11"/>
        <v>8.1383459127483793E-2</v>
      </c>
      <c r="R32" s="312">
        <v>43221</v>
      </c>
      <c r="S32" s="314">
        <v>20846.259999999998</v>
      </c>
      <c r="T32" s="381">
        <v>1.2290000000000001E-2</v>
      </c>
      <c r="U32" s="56">
        <f t="shared" si="6"/>
        <v>2.7666187660370545E-2</v>
      </c>
      <c r="V32" s="381">
        <f t="shared" si="7"/>
        <v>1.5376187660370544E-2</v>
      </c>
      <c r="X32" s="381">
        <v>3.4000000000000002E-3</v>
      </c>
      <c r="Y32" s="382">
        <f t="shared" si="8"/>
        <v>2.4266187660370545E-2</v>
      </c>
      <c r="AC32" s="476"/>
      <c r="AD32" s="484"/>
      <c r="AE32" s="484"/>
      <c r="AI32" s="464">
        <f t="shared" si="4"/>
        <v>12</v>
      </c>
      <c r="AJ32" s="473">
        <v>42902</v>
      </c>
      <c r="AK32" s="474">
        <v>19816.39</v>
      </c>
      <c r="AL32" s="475">
        <v>1.34E-2</v>
      </c>
      <c r="AM32" s="475">
        <f t="shared" si="9"/>
        <v>1.343635922891151E-2</v>
      </c>
      <c r="AN32" s="464"/>
      <c r="AO32" s="464"/>
      <c r="AR32" s="464">
        <f t="shared" si="5"/>
        <v>12</v>
      </c>
      <c r="AS32" s="464" t="s">
        <v>2626</v>
      </c>
      <c r="AT32" s="381">
        <v>1.0169999999999998E-2</v>
      </c>
      <c r="AV32" s="464"/>
      <c r="AW32" s="465"/>
    </row>
    <row r="33" spans="2:49" ht="15">
      <c r="B33" s="311">
        <v>44348</v>
      </c>
      <c r="C33" s="381">
        <v>7.1799999999999998E-3</v>
      </c>
      <c r="D33" s="384">
        <v>-2.0300000000000001E-3</v>
      </c>
      <c r="J33" s="312">
        <v>43252</v>
      </c>
      <c r="K33" s="313">
        <v>20830.97</v>
      </c>
      <c r="L33" s="18">
        <v>183.859711</v>
      </c>
      <c r="N33" s="4">
        <f t="shared" si="10"/>
        <v>-7.3346489969894346E-4</v>
      </c>
      <c r="O33" s="4">
        <f t="shared" si="11"/>
        <v>-3.668854917695652E-2</v>
      </c>
      <c r="R33" s="312">
        <v>43252</v>
      </c>
      <c r="S33" s="314">
        <v>20830.97</v>
      </c>
      <c r="T33" s="381">
        <v>1.278E-2</v>
      </c>
      <c r="U33" s="56">
        <f t="shared" si="6"/>
        <v>-7.3346489969894346E-4</v>
      </c>
      <c r="V33" s="381">
        <f t="shared" si="7"/>
        <v>-1.3513464899698943E-2</v>
      </c>
      <c r="X33" s="381">
        <v>3.0299999999999997E-3</v>
      </c>
      <c r="Y33" s="382">
        <f t="shared" si="8"/>
        <v>-3.7634648996989432E-3</v>
      </c>
      <c r="AC33" s="490" t="s">
        <v>1077</v>
      </c>
      <c r="AD33" s="491"/>
      <c r="AE33" s="491">
        <f>AE24+AE25</f>
        <v>5.2813165558714473E-2</v>
      </c>
      <c r="AI33" s="464">
        <f t="shared" si="4"/>
        <v>13</v>
      </c>
      <c r="AJ33" s="473">
        <v>42905</v>
      </c>
      <c r="AK33" s="474">
        <v>19873.3</v>
      </c>
      <c r="AL33" s="475">
        <v>2.8999999999999998E-3</v>
      </c>
      <c r="AM33" s="475">
        <f t="shared" si="9"/>
        <v>2.8718651580836863E-3</v>
      </c>
      <c r="AN33" s="464"/>
      <c r="AO33" s="464"/>
      <c r="AR33" s="464">
        <f t="shared" si="5"/>
        <v>13</v>
      </c>
      <c r="AS33" s="464" t="s">
        <v>2625</v>
      </c>
      <c r="AT33" s="381">
        <v>1.018E-2</v>
      </c>
      <c r="AV33" s="464"/>
      <c r="AW33" s="465"/>
    </row>
    <row r="34" spans="2:49" ht="15">
      <c r="B34" s="311">
        <v>44317</v>
      </c>
      <c r="C34" s="381">
        <v>7.9600000000000001E-3</v>
      </c>
      <c r="D34" s="384">
        <v>-1.83E-3</v>
      </c>
      <c r="J34" s="312">
        <v>43282</v>
      </c>
      <c r="K34" s="313">
        <v>20877.87</v>
      </c>
      <c r="L34" s="18">
        <v>197.32598899999999</v>
      </c>
      <c r="N34" s="4">
        <f t="shared" si="10"/>
        <v>2.2514554051009661E-3</v>
      </c>
      <c r="O34" s="4">
        <f t="shared" si="11"/>
        <v>7.3242136228529153E-2</v>
      </c>
      <c r="R34" s="312">
        <v>43282</v>
      </c>
      <c r="S34" s="314">
        <v>20877.87</v>
      </c>
      <c r="T34" s="381">
        <v>1.3309999999999999E-2</v>
      </c>
      <c r="U34" s="56">
        <f t="shared" si="6"/>
        <v>2.2514554051009661E-3</v>
      </c>
      <c r="V34" s="381">
        <f t="shared" si="7"/>
        <v>-1.1058544594899033E-2</v>
      </c>
      <c r="X34" s="381">
        <v>4.45E-3</v>
      </c>
      <c r="Y34" s="382">
        <f t="shared" si="8"/>
        <v>-2.1985445948990339E-3</v>
      </c>
      <c r="AC34" s="472"/>
      <c r="AD34" s="472"/>
      <c r="AE34" s="472"/>
      <c r="AI34" s="464">
        <f t="shared" si="4"/>
        <v>14</v>
      </c>
      <c r="AJ34" s="473">
        <v>42906</v>
      </c>
      <c r="AK34" s="474">
        <v>19771.71</v>
      </c>
      <c r="AL34" s="475">
        <v>-5.1000000000000004E-3</v>
      </c>
      <c r="AM34" s="475">
        <f t="shared" si="9"/>
        <v>-5.1118837837701436E-3</v>
      </c>
      <c r="AN34" s="464"/>
      <c r="AO34" s="464"/>
      <c r="AR34" s="464">
        <f t="shared" si="5"/>
        <v>14</v>
      </c>
      <c r="AS34" s="464" t="s">
        <v>2624</v>
      </c>
      <c r="AT34" s="381">
        <v>1.0329999999999999E-2</v>
      </c>
      <c r="AV34" s="464"/>
      <c r="AW34" s="465"/>
    </row>
    <row r="35" spans="2:49" ht="15">
      <c r="B35" s="311">
        <v>44287</v>
      </c>
      <c r="C35" s="381">
        <v>8.43E-3</v>
      </c>
      <c r="D35" s="384">
        <v>-2E-3</v>
      </c>
      <c r="J35" s="312">
        <v>43313</v>
      </c>
      <c r="K35" s="313">
        <v>20689</v>
      </c>
      <c r="L35" s="18">
        <v>197.505539</v>
      </c>
      <c r="N35" s="4">
        <f t="shared" si="10"/>
        <v>-9.0464209232071768E-3</v>
      </c>
      <c r="O35" s="4">
        <f t="shared" si="11"/>
        <v>9.0991562191033992E-4</v>
      </c>
      <c r="R35" s="312">
        <v>43313</v>
      </c>
      <c r="S35" s="314">
        <v>20689</v>
      </c>
      <c r="T35" s="381">
        <v>1.4290000000000001E-2</v>
      </c>
      <c r="U35" s="56">
        <f t="shared" si="6"/>
        <v>-9.0464209232071768E-3</v>
      </c>
      <c r="V35" s="381">
        <f t="shared" si="7"/>
        <v>-2.3336420923207177E-2</v>
      </c>
      <c r="X35" s="381">
        <v>3.31E-3</v>
      </c>
      <c r="Y35" s="382">
        <f t="shared" si="8"/>
        <v>-1.2356420923207177E-2</v>
      </c>
      <c r="AC35" s="472"/>
      <c r="AD35" s="472"/>
      <c r="AE35" s="472"/>
      <c r="AI35" s="464">
        <f t="shared" si="4"/>
        <v>15</v>
      </c>
      <c r="AJ35" s="473">
        <v>42907</v>
      </c>
      <c r="AK35" s="474">
        <v>19682.61</v>
      </c>
      <c r="AL35" s="475">
        <v>-4.4999999999999997E-3</v>
      </c>
      <c r="AM35" s="475">
        <f t="shared" si="9"/>
        <v>-4.5064387450554078E-3</v>
      </c>
      <c r="AN35" s="464"/>
      <c r="AO35" s="464"/>
      <c r="AR35" s="464">
        <f t="shared" si="5"/>
        <v>15</v>
      </c>
      <c r="AS35" s="464" t="s">
        <v>2623</v>
      </c>
      <c r="AT35" s="381">
        <v>9.9600000000000001E-3</v>
      </c>
      <c r="AV35" s="464"/>
      <c r="AW35" s="465"/>
    </row>
    <row r="36" spans="2:49" ht="15">
      <c r="B36" s="311">
        <v>44256</v>
      </c>
      <c r="C36" s="381">
        <v>8.4600000000000005E-3</v>
      </c>
      <c r="D36" s="384">
        <v>-2.9199999999999999E-3</v>
      </c>
      <c r="J36" s="312">
        <v>43344</v>
      </c>
      <c r="K36" s="313">
        <v>20307.04</v>
      </c>
      <c r="L36" s="18">
        <v>179.550476</v>
      </c>
      <c r="N36" s="4">
        <f t="shared" si="10"/>
        <v>-1.8461984629513206E-2</v>
      </c>
      <c r="O36" s="4">
        <f t="shared" si="11"/>
        <v>-9.0909161793178872E-2</v>
      </c>
      <c r="R36" s="312">
        <v>43344</v>
      </c>
      <c r="S36" s="314">
        <v>20307.04</v>
      </c>
      <c r="T36" s="381">
        <v>1.5740000000000001E-2</v>
      </c>
      <c r="U36" s="56">
        <f t="shared" si="6"/>
        <v>-1.8461984629513206E-2</v>
      </c>
      <c r="V36" s="381">
        <f t="shared" si="7"/>
        <v>-3.420198462951321E-2</v>
      </c>
      <c r="X36" s="381">
        <v>4.7199999999999994E-3</v>
      </c>
      <c r="Y36" s="382">
        <f t="shared" si="8"/>
        <v>-2.3181984629513205E-2</v>
      </c>
      <c r="AC36" s="462" t="s">
        <v>1078</v>
      </c>
      <c r="AD36" s="463"/>
      <c r="AE36" s="463"/>
      <c r="AI36" s="464">
        <f t="shared" si="4"/>
        <v>16</v>
      </c>
      <c r="AJ36" s="473">
        <v>42908</v>
      </c>
      <c r="AK36" s="474">
        <v>19658.419999999998</v>
      </c>
      <c r="AL36" s="475">
        <v>-1.1999999999999999E-3</v>
      </c>
      <c r="AM36" s="475">
        <f t="shared" si="9"/>
        <v>-1.2290036738015209E-3</v>
      </c>
      <c r="AN36" s="464"/>
      <c r="AO36" s="464"/>
      <c r="AR36" s="464">
        <f t="shared" si="5"/>
        <v>16</v>
      </c>
      <c r="AS36" s="464" t="s">
        <v>2622</v>
      </c>
      <c r="AT36" s="381">
        <v>1.0360000000000001E-2</v>
      </c>
      <c r="AV36" s="464"/>
      <c r="AW36" s="465"/>
    </row>
    <row r="37" spans="2:49" ht="16" thickBot="1">
      <c r="B37" s="311">
        <v>44228</v>
      </c>
      <c r="C37" s="381">
        <v>8.2299999999999995E-3</v>
      </c>
      <c r="D37" s="384">
        <v>-2.5700000000000002E-3</v>
      </c>
      <c r="J37" s="312">
        <v>43374</v>
      </c>
      <c r="K37" s="313">
        <v>18917.68</v>
      </c>
      <c r="L37" s="18">
        <v>179.12249800000001</v>
      </c>
      <c r="N37" s="4">
        <f t="shared" si="10"/>
        <v>-6.8417652203373813E-2</v>
      </c>
      <c r="O37" s="4">
        <f t="shared" si="11"/>
        <v>-2.3836082729181696E-3</v>
      </c>
      <c r="R37" s="312">
        <v>43374</v>
      </c>
      <c r="S37" s="314">
        <v>18917.68</v>
      </c>
      <c r="T37" s="381">
        <v>1.4370000000000001E-2</v>
      </c>
      <c r="U37" s="56">
        <f t="shared" si="6"/>
        <v>-6.8417652203373813E-2</v>
      </c>
      <c r="V37" s="381">
        <f t="shared" si="7"/>
        <v>-8.2787652203373807E-2</v>
      </c>
      <c r="X37" s="381">
        <v>3.8600000000000001E-3</v>
      </c>
      <c r="Y37" s="382">
        <f t="shared" si="8"/>
        <v>-7.2277652203373816E-2</v>
      </c>
      <c r="AC37" s="492" t="s">
        <v>1079</v>
      </c>
      <c r="AD37" s="493" t="s">
        <v>844</v>
      </c>
      <c r="AE37" s="493" t="s">
        <v>846</v>
      </c>
      <c r="AI37" s="464">
        <f t="shared" si="4"/>
        <v>17</v>
      </c>
      <c r="AJ37" s="473">
        <v>42909</v>
      </c>
      <c r="AK37" s="474">
        <v>19685.09</v>
      </c>
      <c r="AL37" s="475">
        <v>1.4E-3</v>
      </c>
      <c r="AM37" s="475">
        <f t="shared" si="9"/>
        <v>1.3566705767809051E-3</v>
      </c>
      <c r="AN37" s="464"/>
      <c r="AO37" s="464"/>
      <c r="AR37" s="464">
        <f t="shared" si="5"/>
        <v>17</v>
      </c>
      <c r="AS37" s="464" t="s">
        <v>2621</v>
      </c>
      <c r="AT37" s="381">
        <v>1.018E-2</v>
      </c>
      <c r="AV37" s="464"/>
      <c r="AW37" s="465"/>
    </row>
    <row r="38" spans="2:49" ht="15">
      <c r="B38" s="311">
        <v>44197</v>
      </c>
      <c r="C38" s="381">
        <v>3.29E-3</v>
      </c>
      <c r="D38" s="384">
        <v>-5.1999999999999998E-3</v>
      </c>
      <c r="J38" s="312">
        <v>43405</v>
      </c>
      <c r="K38" s="313">
        <v>18480.830000000002</v>
      </c>
      <c r="L38" s="18">
        <v>171.104782</v>
      </c>
      <c r="N38" s="4">
        <f t="shared" si="10"/>
        <v>-2.3092155063411557E-2</v>
      </c>
      <c r="O38" s="4">
        <f t="shared" si="11"/>
        <v>-4.4761077416416994E-2</v>
      </c>
      <c r="R38" s="312">
        <v>43405</v>
      </c>
      <c r="S38" s="314">
        <v>18480.830000000002</v>
      </c>
      <c r="T38" s="381">
        <v>1.3640000000000001E-2</v>
      </c>
      <c r="U38" s="56">
        <f t="shared" si="6"/>
        <v>-2.3092155063411557E-2</v>
      </c>
      <c r="V38" s="381">
        <f t="shared" si="7"/>
        <v>-3.6732155063411556E-2</v>
      </c>
      <c r="X38" s="381">
        <v>3.15E-3</v>
      </c>
      <c r="Y38" s="382">
        <f t="shared" si="8"/>
        <v>-2.6242155063411557E-2</v>
      </c>
      <c r="AC38" s="472" t="s">
        <v>2654</v>
      </c>
      <c r="AD38" s="494">
        <f>Y83</f>
        <v>7.5681517867373421E-4</v>
      </c>
      <c r="AE38" s="495">
        <v>0.2</v>
      </c>
      <c r="AI38" s="464">
        <f t="shared" si="4"/>
        <v>18</v>
      </c>
      <c r="AJ38" s="473">
        <v>42912</v>
      </c>
      <c r="AK38" s="474">
        <v>19684.62</v>
      </c>
      <c r="AL38" s="475">
        <v>0</v>
      </c>
      <c r="AM38" s="475">
        <f t="shared" si="9"/>
        <v>-2.3875938591100265E-5</v>
      </c>
      <c r="AN38" s="464"/>
      <c r="AO38" s="464"/>
      <c r="AR38" s="464">
        <f t="shared" si="5"/>
        <v>18</v>
      </c>
      <c r="AS38" s="464" t="s">
        <v>2620</v>
      </c>
      <c r="AT38" s="381">
        <v>1.035E-2</v>
      </c>
      <c r="AV38" s="464"/>
      <c r="AW38" s="465"/>
    </row>
    <row r="39" spans="2:49" ht="15">
      <c r="B39" s="311">
        <v>44166</v>
      </c>
      <c r="C39" s="381">
        <v>1.9599999999999999E-3</v>
      </c>
      <c r="D39" s="384">
        <v>-5.7499999999999999E-3</v>
      </c>
      <c r="J39" s="312">
        <v>43435</v>
      </c>
      <c r="K39" s="313">
        <v>17502.05</v>
      </c>
      <c r="L39" s="18">
        <v>159.71603400000001</v>
      </c>
      <c r="N39" s="4">
        <f t="shared" si="10"/>
        <v>-5.2961907013916676E-2</v>
      </c>
      <c r="O39" s="4">
        <f t="shared" si="11"/>
        <v>-6.6560080126807919E-2</v>
      </c>
      <c r="R39" s="312">
        <v>43435</v>
      </c>
      <c r="S39" s="314">
        <v>17502.05</v>
      </c>
      <c r="T39" s="381">
        <v>1.269E-2</v>
      </c>
      <c r="U39" s="56">
        <f t="shared" si="6"/>
        <v>-5.2961907013916676E-2</v>
      </c>
      <c r="V39" s="381">
        <f t="shared" si="7"/>
        <v>-6.5651907013916683E-2</v>
      </c>
      <c r="X39" s="381">
        <v>2.4599999999999999E-3</v>
      </c>
      <c r="Y39" s="382">
        <f t="shared" si="8"/>
        <v>-5.5421907013916673E-2</v>
      </c>
      <c r="AC39" s="472" t="s">
        <v>2640</v>
      </c>
      <c r="AD39" s="381">
        <f>4.84%</f>
        <v>4.8399999999999999E-2</v>
      </c>
      <c r="AE39" s="66">
        <v>0.4</v>
      </c>
      <c r="AI39" s="464">
        <f t="shared" si="4"/>
        <v>19</v>
      </c>
      <c r="AJ39" s="473">
        <v>42913</v>
      </c>
      <c r="AK39" s="474">
        <v>19526.8</v>
      </c>
      <c r="AL39" s="475">
        <v>-8.0000000000000002E-3</v>
      </c>
      <c r="AM39" s="475">
        <f t="shared" si="9"/>
        <v>-8.0174268032605633E-3</v>
      </c>
      <c r="AN39" s="464"/>
      <c r="AO39" s="464"/>
      <c r="AR39" s="464">
        <f t="shared" si="5"/>
        <v>19</v>
      </c>
      <c r="AS39" s="464" t="s">
        <v>2619</v>
      </c>
      <c r="AT39" s="381">
        <v>1.035E-2</v>
      </c>
      <c r="AV39" s="464"/>
      <c r="AW39" s="465"/>
    </row>
    <row r="40" spans="2:49" ht="15">
      <c r="B40" s="311">
        <v>44136</v>
      </c>
      <c r="C40" s="381">
        <v>3.0599999999999998E-3</v>
      </c>
      <c r="D40" s="384">
        <v>-5.7099999999999998E-3</v>
      </c>
      <c r="J40" s="312">
        <v>43466</v>
      </c>
      <c r="K40" s="313">
        <v>18711.75</v>
      </c>
      <c r="L40" s="18">
        <v>117.076492</v>
      </c>
      <c r="N40" s="4">
        <f t="shared" si="10"/>
        <v>6.9117617650503949E-2</v>
      </c>
      <c r="O40" s="4">
        <f t="shared" si="11"/>
        <v>-0.26697095421239925</v>
      </c>
      <c r="R40" s="312">
        <v>43466</v>
      </c>
      <c r="S40" s="314">
        <v>18711.75</v>
      </c>
      <c r="T40" s="381">
        <v>1.2199999999999999E-2</v>
      </c>
      <c r="U40" s="56">
        <f t="shared" si="6"/>
        <v>6.9117617650503949E-2</v>
      </c>
      <c r="V40" s="381">
        <f t="shared" si="7"/>
        <v>5.6917617650503946E-2</v>
      </c>
      <c r="X40" s="381">
        <v>1.49E-3</v>
      </c>
      <c r="Y40" s="382">
        <f t="shared" si="8"/>
        <v>6.7627617650503943E-2</v>
      </c>
      <c r="AC40" s="496" t="s">
        <v>1080</v>
      </c>
      <c r="AD40" s="497">
        <f>AE33</f>
        <v>5.2813165558714473E-2</v>
      </c>
      <c r="AE40" s="498">
        <v>0.4</v>
      </c>
      <c r="AI40" s="464">
        <f t="shared" si="4"/>
        <v>20</v>
      </c>
      <c r="AJ40" s="473">
        <v>42914</v>
      </c>
      <c r="AK40" s="474">
        <v>19476.349999999999</v>
      </c>
      <c r="AL40" s="475">
        <v>-2.5999999999999999E-3</v>
      </c>
      <c r="AM40" s="475">
        <f t="shared" si="9"/>
        <v>-2.5836286539525632E-3</v>
      </c>
      <c r="AN40" s="464"/>
      <c r="AO40" s="464"/>
      <c r="AR40" s="464">
        <f t="shared" si="5"/>
        <v>20</v>
      </c>
      <c r="AS40" s="464" t="s">
        <v>2618</v>
      </c>
      <c r="AT40" s="381">
        <v>1.0129999999999998E-2</v>
      </c>
      <c r="AV40" s="464"/>
      <c r="AW40" s="465"/>
    </row>
    <row r="41" spans="2:49" ht="16" thickBot="1">
      <c r="B41" s="311">
        <v>44105</v>
      </c>
      <c r="C41" s="381">
        <v>2.63E-3</v>
      </c>
      <c r="D41" s="384">
        <v>-6.2500000000000003E-3</v>
      </c>
      <c r="J41" s="312">
        <v>43497</v>
      </c>
      <c r="K41" s="313">
        <v>19181.349999999999</v>
      </c>
      <c r="L41" s="18">
        <v>112.065437</v>
      </c>
      <c r="N41" s="4">
        <f t="shared" si="10"/>
        <v>2.5096530255053651E-2</v>
      </c>
      <c r="O41" s="4">
        <f t="shared" si="11"/>
        <v>-4.2801547214106783E-2</v>
      </c>
      <c r="R41" s="312">
        <v>43497</v>
      </c>
      <c r="S41" s="314">
        <v>19181.349999999999</v>
      </c>
      <c r="T41" s="381">
        <v>1.303E-2</v>
      </c>
      <c r="U41" s="56">
        <f t="shared" si="6"/>
        <v>2.5096530255053651E-2</v>
      </c>
      <c r="V41" s="381">
        <f t="shared" si="7"/>
        <v>1.2066530255053651E-2</v>
      </c>
      <c r="X41" s="381">
        <v>1.82E-3</v>
      </c>
      <c r="Y41" s="382">
        <f t="shared" si="8"/>
        <v>2.3276530255053652E-2</v>
      </c>
      <c r="AC41" s="499" t="s">
        <v>2653</v>
      </c>
      <c r="AD41" s="500"/>
      <c r="AE41" s="501">
        <f>SUMPRODUCT(AD38:AD40,AE38:AE40)</f>
        <v>4.0636629259220541E-2</v>
      </c>
      <c r="AI41" s="464">
        <f t="shared" si="4"/>
        <v>21</v>
      </c>
      <c r="AJ41" s="473">
        <v>42915</v>
      </c>
      <c r="AK41" s="474">
        <v>19346.37</v>
      </c>
      <c r="AL41" s="475">
        <v>-6.7000000000000002E-3</v>
      </c>
      <c r="AM41" s="475">
        <f t="shared" si="9"/>
        <v>-6.6737350684291652E-3</v>
      </c>
      <c r="AN41" s="464"/>
      <c r="AO41" s="464"/>
      <c r="AR41" s="464">
        <f t="shared" si="5"/>
        <v>21</v>
      </c>
      <c r="AS41" s="464" t="s">
        <v>2617</v>
      </c>
      <c r="AT41" s="381">
        <v>1.093E-2</v>
      </c>
      <c r="AV41" s="464"/>
      <c r="AW41" s="465"/>
    </row>
    <row r="42" spans="2:49" ht="16" thickTop="1">
      <c r="B42" s="311">
        <v>44075</v>
      </c>
      <c r="C42" s="381">
        <v>2.32E-3</v>
      </c>
      <c r="D42" s="384">
        <v>-5.2100000000000002E-3</v>
      </c>
      <c r="J42" s="312">
        <v>43525</v>
      </c>
      <c r="K42" s="313">
        <v>19117.490000000002</v>
      </c>
      <c r="L42" s="18">
        <v>129.020309</v>
      </c>
      <c r="N42" s="4">
        <f t="shared" si="10"/>
        <v>-3.3292755723657308E-3</v>
      </c>
      <c r="O42" s="4">
        <f t="shared" si="11"/>
        <v>0.15129439061572558</v>
      </c>
      <c r="R42" s="312">
        <v>43525</v>
      </c>
      <c r="S42" s="314">
        <v>19117.490000000002</v>
      </c>
      <c r="T42" s="381">
        <v>9.9600000000000001E-3</v>
      </c>
      <c r="U42" s="56">
        <f t="shared" si="6"/>
        <v>-3.3292755723657308E-3</v>
      </c>
      <c r="V42" s="381">
        <f t="shared" si="7"/>
        <v>-1.3289275572365731E-2</v>
      </c>
      <c r="X42" s="381">
        <v>-7.0999999999999991E-4</v>
      </c>
      <c r="Y42" s="382">
        <f t="shared" si="8"/>
        <v>-2.6192755723657311E-3</v>
      </c>
      <c r="AI42" s="464">
        <f t="shared" si="4"/>
        <v>22</v>
      </c>
      <c r="AJ42" s="473">
        <v>42916</v>
      </c>
      <c r="AK42" s="474">
        <v>19340.150000000001</v>
      </c>
      <c r="AL42" s="475">
        <v>-2.9999999999999997E-4</v>
      </c>
      <c r="AM42" s="475">
        <f t="shared" si="9"/>
        <v>-3.2150734220415256E-4</v>
      </c>
      <c r="AN42" s="464"/>
      <c r="AO42" s="464"/>
      <c r="AR42" s="464">
        <f t="shared" si="5"/>
        <v>22</v>
      </c>
      <c r="AS42" s="464" t="s">
        <v>2616</v>
      </c>
      <c r="AT42" s="381">
        <v>1.158E-2</v>
      </c>
      <c r="AV42" s="464"/>
      <c r="AW42" s="465"/>
    </row>
    <row r="43" spans="2:49" ht="15">
      <c r="B43" s="311">
        <v>44044</v>
      </c>
      <c r="C43" s="381">
        <v>3.13E-3</v>
      </c>
      <c r="D43" s="384">
        <v>-3.98E-3</v>
      </c>
      <c r="J43" s="312">
        <v>43556</v>
      </c>
      <c r="K43" s="313">
        <v>19824.810000000001</v>
      </c>
      <c r="L43" s="18">
        <v>160.906723</v>
      </c>
      <c r="N43" s="4">
        <f t="shared" si="10"/>
        <v>3.6998580880649001E-2</v>
      </c>
      <c r="O43" s="4">
        <f t="shared" si="11"/>
        <v>0.24714259520181425</v>
      </c>
      <c r="R43" s="312">
        <v>43556</v>
      </c>
      <c r="S43" s="314">
        <v>19824.810000000001</v>
      </c>
      <c r="T43" s="381">
        <v>1.1859999999999999E-2</v>
      </c>
      <c r="U43" s="56">
        <f t="shared" si="6"/>
        <v>3.6998580880649001E-2</v>
      </c>
      <c r="V43" s="381">
        <f t="shared" si="7"/>
        <v>2.5138580880649002E-2</v>
      </c>
      <c r="X43" s="381">
        <v>1.2999999999999999E-4</v>
      </c>
      <c r="Y43" s="382">
        <f t="shared" si="8"/>
        <v>3.6868580880649003E-2</v>
      </c>
      <c r="AI43" s="464">
        <f t="shared" si="4"/>
        <v>23</v>
      </c>
      <c r="AJ43" s="473">
        <v>42919</v>
      </c>
      <c r="AK43" s="474">
        <v>19320.43</v>
      </c>
      <c r="AL43" s="475">
        <v>-1E-3</v>
      </c>
      <c r="AM43" s="475">
        <f t="shared" si="9"/>
        <v>-1.0196404888277444E-3</v>
      </c>
      <c r="AN43" s="464"/>
      <c r="AO43" s="464"/>
      <c r="AR43" s="464">
        <f t="shared" si="5"/>
        <v>23</v>
      </c>
      <c r="AS43" s="464" t="s">
        <v>2615</v>
      </c>
      <c r="AT43" s="381">
        <v>1.2529999999999999E-2</v>
      </c>
      <c r="AV43" s="464"/>
      <c r="AW43" s="465"/>
    </row>
    <row r="44" spans="2:49" ht="15">
      <c r="B44" s="311">
        <v>44013</v>
      </c>
      <c r="C44" s="381">
        <v>1.0499999999999999E-3</v>
      </c>
      <c r="D44" s="384">
        <v>-5.3100000000000005E-3</v>
      </c>
      <c r="J44" s="312">
        <v>43586</v>
      </c>
      <c r="K44" s="313">
        <v>18970.25</v>
      </c>
      <c r="L44" s="18">
        <v>152.612595</v>
      </c>
      <c r="N44" s="4">
        <f t="shared" si="10"/>
        <v>-4.310558335741943E-2</v>
      </c>
      <c r="O44" s="4">
        <f t="shared" si="11"/>
        <v>-5.1546186792953308E-2</v>
      </c>
      <c r="R44" s="312">
        <v>43586</v>
      </c>
      <c r="S44" s="314">
        <v>18970.25</v>
      </c>
      <c r="T44" s="381">
        <v>8.8800000000000007E-3</v>
      </c>
      <c r="U44" s="56">
        <f t="shared" si="6"/>
        <v>-4.310558335741943E-2</v>
      </c>
      <c r="V44" s="381">
        <f t="shared" si="7"/>
        <v>-5.1985583357419429E-2</v>
      </c>
      <c r="X44" s="381">
        <v>-2.0300000000000001E-3</v>
      </c>
      <c r="Y44" s="382">
        <f t="shared" si="8"/>
        <v>-4.1075583357419433E-2</v>
      </c>
      <c r="AI44" s="464">
        <f t="shared" si="4"/>
        <v>24</v>
      </c>
      <c r="AJ44" s="473">
        <v>42920</v>
      </c>
      <c r="AK44" s="474">
        <v>19301.47</v>
      </c>
      <c r="AL44" s="475">
        <v>-1E-3</v>
      </c>
      <c r="AM44" s="475">
        <f t="shared" si="9"/>
        <v>-9.8134461810628348E-4</v>
      </c>
      <c r="AN44" s="464"/>
      <c r="AO44" s="464"/>
      <c r="AR44" s="464">
        <f t="shared" si="5"/>
        <v>24</v>
      </c>
      <c r="AS44" s="464" t="s">
        <v>2614</v>
      </c>
      <c r="AT44" s="381">
        <v>1.2589999999999999E-2</v>
      </c>
      <c r="AV44" s="464"/>
      <c r="AW44" s="465"/>
    </row>
    <row r="45" spans="2:49" ht="15">
      <c r="B45" s="311">
        <v>43983</v>
      </c>
      <c r="C45" s="381">
        <v>1.72E-3</v>
      </c>
      <c r="D45" s="384">
        <v>-4.5300000000000002E-3</v>
      </c>
      <c r="J45" s="312">
        <v>43617</v>
      </c>
      <c r="K45" s="313">
        <v>19462.099999999999</v>
      </c>
      <c r="L45" s="18">
        <v>150.76944</v>
      </c>
      <c r="N45" s="4">
        <f t="shared" si="10"/>
        <v>2.5927439016354414E-2</v>
      </c>
      <c r="O45" s="4">
        <f t="shared" si="11"/>
        <v>-1.2077345254498772E-2</v>
      </c>
      <c r="R45" s="312">
        <v>43617</v>
      </c>
      <c r="S45" s="314">
        <v>19462.099999999999</v>
      </c>
      <c r="T45" s="381">
        <v>8.3199999999999993E-3</v>
      </c>
      <c r="U45" s="56">
        <f t="shared" si="6"/>
        <v>2.5927439016354414E-2</v>
      </c>
      <c r="V45" s="381">
        <f t="shared" si="7"/>
        <v>1.7607439016354413E-2</v>
      </c>
      <c r="X45" s="381">
        <v>-3.2799999999999999E-3</v>
      </c>
      <c r="Y45" s="382">
        <f t="shared" si="8"/>
        <v>2.9207439016354413E-2</v>
      </c>
      <c r="AI45" s="464">
        <f t="shared" si="4"/>
        <v>25</v>
      </c>
      <c r="AJ45" s="473">
        <v>42921</v>
      </c>
      <c r="AK45" s="474">
        <v>19451.22</v>
      </c>
      <c r="AL45" s="475">
        <v>7.7999999999999996E-3</v>
      </c>
      <c r="AM45" s="475">
        <f t="shared" si="9"/>
        <v>7.758476426924954E-3</v>
      </c>
      <c r="AN45" s="464"/>
      <c r="AO45" s="464"/>
      <c r="AR45" s="464">
        <f t="shared" si="5"/>
        <v>25</v>
      </c>
      <c r="AS45" s="464" t="s">
        <v>2613</v>
      </c>
      <c r="AT45" s="381">
        <v>1.2589999999999999E-2</v>
      </c>
      <c r="AV45" s="464"/>
      <c r="AW45" s="465"/>
    </row>
    <row r="46" spans="2:49" ht="15">
      <c r="B46" s="311">
        <v>43952</v>
      </c>
      <c r="C46" s="381">
        <v>1.8500000000000001E-3</v>
      </c>
      <c r="D46" s="384">
        <v>-4.4800000000000005E-3</v>
      </c>
      <c r="J46" s="312">
        <v>43647</v>
      </c>
      <c r="K46" s="313">
        <v>19666.52</v>
      </c>
      <c r="L46" s="18">
        <v>170.306793</v>
      </c>
      <c r="N46" s="4">
        <f t="shared" si="10"/>
        <v>1.0503491401236298E-2</v>
      </c>
      <c r="O46" s="4">
        <f t="shared" si="11"/>
        <v>0.12958430435239388</v>
      </c>
      <c r="R46" s="312">
        <v>43647</v>
      </c>
      <c r="S46" s="314">
        <v>19666.52</v>
      </c>
      <c r="T46" s="381">
        <v>6.0899999999999999E-3</v>
      </c>
      <c r="U46" s="56">
        <f t="shared" si="6"/>
        <v>1.0503491401236298E-2</v>
      </c>
      <c r="V46" s="381">
        <f t="shared" si="7"/>
        <v>4.4134914012362979E-3</v>
      </c>
      <c r="X46" s="381">
        <v>-4.4200000000000003E-3</v>
      </c>
      <c r="Y46" s="382">
        <f t="shared" si="8"/>
        <v>1.4923491401236298E-2</v>
      </c>
      <c r="AI46" s="464">
        <f t="shared" si="4"/>
        <v>26</v>
      </c>
      <c r="AJ46" s="473">
        <v>42922</v>
      </c>
      <c r="AK46" s="474">
        <v>19369.060000000001</v>
      </c>
      <c r="AL46" s="475">
        <v>-4.1999999999999997E-3</v>
      </c>
      <c r="AM46" s="475">
        <f t="shared" si="9"/>
        <v>-4.2238995805918833E-3</v>
      </c>
      <c r="AN46" s="464"/>
      <c r="AO46" s="464"/>
      <c r="AR46" s="464">
        <f t="shared" si="5"/>
        <v>26</v>
      </c>
      <c r="AS46" s="464" t="s">
        <v>2612</v>
      </c>
      <c r="AT46" s="381">
        <v>1.2589999999999999E-2</v>
      </c>
      <c r="AV46" s="464"/>
      <c r="AW46" s="465"/>
    </row>
    <row r="47" spans="2:49" ht="15">
      <c r="B47" s="311">
        <v>43922</v>
      </c>
      <c r="C47" s="381">
        <v>2.2699999999999999E-3</v>
      </c>
      <c r="D47" s="384">
        <v>-5.8899999999999994E-3</v>
      </c>
      <c r="J47" s="312">
        <v>43678</v>
      </c>
      <c r="K47" s="313">
        <v>19393.63</v>
      </c>
      <c r="L47" s="18">
        <v>162.74989299999999</v>
      </c>
      <c r="N47" s="4">
        <f t="shared" si="10"/>
        <v>-1.3875866192900377E-2</v>
      </c>
      <c r="O47" s="4">
        <f t="shared" si="11"/>
        <v>-4.4372275861010557E-2</v>
      </c>
      <c r="R47" s="312">
        <v>43678</v>
      </c>
      <c r="S47" s="314">
        <v>19393.63</v>
      </c>
      <c r="T47" s="381">
        <v>4.79E-3</v>
      </c>
      <c r="U47" s="56">
        <f t="shared" si="6"/>
        <v>-1.3875866192900377E-2</v>
      </c>
      <c r="V47" s="381">
        <f t="shared" si="7"/>
        <v>-1.8665866192900376E-2</v>
      </c>
      <c r="X47" s="381">
        <v>-7.0299999999999998E-3</v>
      </c>
      <c r="Y47" s="382">
        <f t="shared" si="8"/>
        <v>-6.845866192900377E-3</v>
      </c>
      <c r="AI47" s="464">
        <f t="shared" si="4"/>
        <v>27</v>
      </c>
      <c r="AJ47" s="473">
        <v>42923</v>
      </c>
      <c r="AK47" s="474">
        <v>19395.14</v>
      </c>
      <c r="AL47" s="475">
        <v>1.2999999999999999E-3</v>
      </c>
      <c r="AM47" s="475">
        <f t="shared" si="9"/>
        <v>1.346477320014472E-3</v>
      </c>
      <c r="AN47" s="464"/>
      <c r="AO47" s="464"/>
      <c r="AR47" s="464">
        <f t="shared" si="5"/>
        <v>27</v>
      </c>
      <c r="AS47" s="464" t="s">
        <v>2611</v>
      </c>
      <c r="AT47" s="381">
        <v>1.2629999999999999E-2</v>
      </c>
      <c r="AV47" s="464"/>
      <c r="AW47" s="465"/>
    </row>
    <row r="48" spans="2:49" ht="15">
      <c r="B48" s="311">
        <v>43891</v>
      </c>
      <c r="C48" s="381">
        <v>3.5499999999999998E-3</v>
      </c>
      <c r="D48" s="384">
        <v>-4.6899999999999997E-3</v>
      </c>
      <c r="J48" s="312">
        <v>43709</v>
      </c>
      <c r="K48" s="313">
        <v>19936.669999999998</v>
      </c>
      <c r="L48" s="18">
        <v>160.53810100000001</v>
      </c>
      <c r="N48" s="4">
        <f t="shared" si="10"/>
        <v>2.800094670260278E-2</v>
      </c>
      <c r="O48" s="4">
        <f t="shared" si="11"/>
        <v>-1.3590128750499253E-2</v>
      </c>
      <c r="R48" s="312">
        <v>43709</v>
      </c>
      <c r="S48" s="314">
        <v>19936.669999999998</v>
      </c>
      <c r="T48" s="381">
        <v>4.8599999999999997E-3</v>
      </c>
      <c r="U48" s="56">
        <f t="shared" si="6"/>
        <v>2.800094670260278E-2</v>
      </c>
      <c r="V48" s="381">
        <f t="shared" si="7"/>
        <v>2.3140946702602781E-2</v>
      </c>
      <c r="X48" s="381">
        <v>-5.7199999999999994E-3</v>
      </c>
      <c r="Y48" s="382">
        <f t="shared" si="8"/>
        <v>3.3720946702602783E-2</v>
      </c>
      <c r="AI48" s="464">
        <f t="shared" si="4"/>
        <v>28</v>
      </c>
      <c r="AJ48" s="473">
        <v>42926</v>
      </c>
      <c r="AK48" s="474">
        <v>19357.41</v>
      </c>
      <c r="AL48" s="475">
        <v>-1.9E-3</v>
      </c>
      <c r="AM48" s="475">
        <f t="shared" si="9"/>
        <v>-1.9453326967476814E-3</v>
      </c>
      <c r="AN48" s="464"/>
      <c r="AO48" s="464"/>
      <c r="AR48" s="464">
        <f t="shared" si="5"/>
        <v>28</v>
      </c>
      <c r="AS48" s="464" t="s">
        <v>2610</v>
      </c>
      <c r="AT48" s="381">
        <v>1.2490000000000001E-2</v>
      </c>
      <c r="AV48" s="464"/>
      <c r="AW48" s="465"/>
    </row>
    <row r="49" spans="2:49" ht="15">
      <c r="B49" s="311">
        <v>43862</v>
      </c>
      <c r="C49" s="381">
        <v>4.4000000000000003E-3</v>
      </c>
      <c r="D49" s="384">
        <v>-6.0799999999999995E-3</v>
      </c>
      <c r="J49" s="312">
        <v>43739</v>
      </c>
      <c r="K49" s="313">
        <v>20021.5</v>
      </c>
      <c r="L49" s="18">
        <v>175.642685</v>
      </c>
      <c r="N49" s="4">
        <f t="shared" si="10"/>
        <v>4.2549733731862549E-3</v>
      </c>
      <c r="O49" s="4">
        <f t="shared" si="11"/>
        <v>9.4087222322381869E-2</v>
      </c>
      <c r="R49" s="312">
        <v>43739</v>
      </c>
      <c r="S49" s="314">
        <v>20021.5</v>
      </c>
      <c r="T49" s="381">
        <v>6.3099999999999996E-3</v>
      </c>
      <c r="U49" s="56">
        <f t="shared" si="6"/>
        <v>4.2549733731862549E-3</v>
      </c>
      <c r="V49" s="381">
        <f t="shared" si="7"/>
        <v>-2.0550266268137447E-3</v>
      </c>
      <c r="X49" s="381">
        <v>-4.0300000000000006E-3</v>
      </c>
      <c r="Y49" s="382">
        <f t="shared" si="8"/>
        <v>8.2849733731862555E-3</v>
      </c>
      <c r="AI49" s="464">
        <f t="shared" si="4"/>
        <v>29</v>
      </c>
      <c r="AJ49" s="473">
        <v>42927</v>
      </c>
      <c r="AK49" s="474">
        <v>19215.39</v>
      </c>
      <c r="AL49" s="475">
        <v>-7.3000000000000001E-3</v>
      </c>
      <c r="AM49" s="475">
        <f t="shared" si="9"/>
        <v>-7.3367253160417922E-3</v>
      </c>
      <c r="AN49" s="464"/>
      <c r="AO49" s="464"/>
      <c r="AR49" s="464">
        <f t="shared" si="5"/>
        <v>29</v>
      </c>
      <c r="AS49" s="464" t="s">
        <v>2609</v>
      </c>
      <c r="AT49" s="381">
        <v>1.2629999999999999E-2</v>
      </c>
      <c r="AV49" s="464"/>
      <c r="AW49" s="465"/>
    </row>
    <row r="50" spans="2:49" ht="15">
      <c r="B50" s="311">
        <v>43831</v>
      </c>
      <c r="C50" s="381">
        <v>5.2599999999999999E-3</v>
      </c>
      <c r="D50" s="384">
        <v>-4.3400000000000001E-3</v>
      </c>
      <c r="J50" s="312">
        <v>43770</v>
      </c>
      <c r="K50" s="313">
        <v>20812.599999999999</v>
      </c>
      <c r="L50" s="18">
        <v>193.54440299999999</v>
      </c>
      <c r="N50" s="4">
        <f t="shared" si="10"/>
        <v>3.9512524036660501E-2</v>
      </c>
      <c r="O50" s="4">
        <f t="shared" si="11"/>
        <v>0.10192122717777852</v>
      </c>
      <c r="R50" s="312">
        <v>43770</v>
      </c>
      <c r="S50" s="314">
        <v>20812.599999999999</v>
      </c>
      <c r="T50" s="381">
        <v>6.9999999999999993E-3</v>
      </c>
      <c r="U50" s="56">
        <f t="shared" si="6"/>
        <v>3.9512524036660501E-2</v>
      </c>
      <c r="V50" s="381">
        <f t="shared" si="7"/>
        <v>3.2512524036660502E-2</v>
      </c>
      <c r="X50" s="381">
        <v>-3.5999999999999999E-3</v>
      </c>
      <c r="Y50" s="382">
        <f t="shared" si="8"/>
        <v>4.31125240366605E-2</v>
      </c>
      <c r="AI50" s="464">
        <f t="shared" si="4"/>
        <v>30</v>
      </c>
      <c r="AJ50" s="473">
        <v>42928</v>
      </c>
      <c r="AK50" s="474">
        <v>19267.86</v>
      </c>
      <c r="AL50" s="475">
        <v>2.7000000000000001E-3</v>
      </c>
      <c r="AM50" s="475">
        <f t="shared" si="9"/>
        <v>2.730623734412907E-3</v>
      </c>
      <c r="AN50" s="464"/>
      <c r="AO50" s="464"/>
      <c r="AR50" s="464">
        <f t="shared" si="5"/>
        <v>30</v>
      </c>
      <c r="AS50" s="464" t="s">
        <v>2608</v>
      </c>
      <c r="AT50" s="381">
        <v>1.3180000000000001E-2</v>
      </c>
      <c r="AV50" s="464"/>
      <c r="AW50" s="465"/>
    </row>
    <row r="51" spans="2:49" ht="15">
      <c r="B51" s="311">
        <v>43800</v>
      </c>
      <c r="C51" s="381">
        <v>8.2500000000000004E-3</v>
      </c>
      <c r="D51" s="384">
        <v>-1.8699999999999999E-3</v>
      </c>
      <c r="J51" s="312">
        <v>43800</v>
      </c>
      <c r="K51" s="313">
        <v>21883.42</v>
      </c>
      <c r="L51" s="18">
        <v>211.35232500000001</v>
      </c>
      <c r="N51" s="4">
        <f t="shared" si="10"/>
        <v>5.1450563600895505E-2</v>
      </c>
      <c r="O51" s="4">
        <f t="shared" si="11"/>
        <v>9.2009490969366947E-2</v>
      </c>
      <c r="R51" s="312">
        <v>43800</v>
      </c>
      <c r="S51" s="314">
        <v>21883.42</v>
      </c>
      <c r="T51" s="381">
        <v>8.2500000000000004E-3</v>
      </c>
      <c r="U51" s="56">
        <f t="shared" si="6"/>
        <v>5.1450563600895505E-2</v>
      </c>
      <c r="V51" s="381">
        <f t="shared" si="7"/>
        <v>4.3200563600895504E-2</v>
      </c>
      <c r="X51" s="381">
        <v>-1.8699999999999999E-3</v>
      </c>
      <c r="Y51" s="382">
        <f t="shared" si="8"/>
        <v>5.3320563600895501E-2</v>
      </c>
      <c r="AI51" s="464">
        <f t="shared" si="4"/>
        <v>31</v>
      </c>
      <c r="AJ51" s="473">
        <v>42929</v>
      </c>
      <c r="AK51" s="474">
        <v>19418.34</v>
      </c>
      <c r="AL51" s="475">
        <v>7.7999999999999996E-3</v>
      </c>
      <c r="AM51" s="475">
        <f t="shared" si="9"/>
        <v>7.8098968956594739E-3</v>
      </c>
      <c r="AN51" s="464"/>
      <c r="AO51" s="464"/>
      <c r="AR51" s="464">
        <f t="shared" si="5"/>
        <v>31</v>
      </c>
      <c r="AS51" s="464" t="s">
        <v>2607</v>
      </c>
      <c r="AT51" s="381">
        <v>1.3089999999999999E-2</v>
      </c>
      <c r="AV51" s="464"/>
      <c r="AW51" s="465"/>
    </row>
    <row r="52" spans="2:49" ht="15">
      <c r="B52" s="311">
        <v>43770</v>
      </c>
      <c r="C52" s="381">
        <v>6.9999999999999993E-3</v>
      </c>
      <c r="D52" s="384">
        <v>-3.5999999999999999E-3</v>
      </c>
      <c r="J52" s="312">
        <v>43831</v>
      </c>
      <c r="K52" s="313">
        <v>21143.49</v>
      </c>
      <c r="L52" s="18">
        <v>201.51110800000001</v>
      </c>
      <c r="N52" s="4">
        <f t="shared" si="10"/>
        <v>-3.3812356569493995E-2</v>
      </c>
      <c r="O52" s="4">
        <f t="shared" si="11"/>
        <v>-4.6563088435388589E-2</v>
      </c>
      <c r="R52" s="312">
        <v>43831</v>
      </c>
      <c r="S52" s="314">
        <v>21143.49</v>
      </c>
      <c r="T52" s="381">
        <v>5.2599999999999999E-3</v>
      </c>
      <c r="U52" s="56">
        <f t="shared" si="6"/>
        <v>-3.3812356569493995E-2</v>
      </c>
      <c r="V52" s="381">
        <f t="shared" si="7"/>
        <v>-3.9072356569493996E-2</v>
      </c>
      <c r="X52" s="381">
        <v>-4.3400000000000001E-3</v>
      </c>
      <c r="Y52" s="382">
        <f t="shared" si="8"/>
        <v>-2.9472356569493995E-2</v>
      </c>
      <c r="AI52" s="464">
        <f t="shared" si="4"/>
        <v>32</v>
      </c>
      <c r="AJ52" s="473">
        <v>42930</v>
      </c>
      <c r="AK52" s="474">
        <v>19408.36</v>
      </c>
      <c r="AL52" s="475">
        <v>-5.0000000000000001E-4</v>
      </c>
      <c r="AM52" s="475">
        <f t="shared" si="9"/>
        <v>-5.1394712421348743E-4</v>
      </c>
      <c r="AN52" s="464"/>
      <c r="AO52" s="464"/>
      <c r="AR52" s="464">
        <f t="shared" si="5"/>
        <v>32</v>
      </c>
      <c r="AS52" s="464" t="s">
        <v>2606</v>
      </c>
      <c r="AT52" s="381">
        <v>1.269E-2</v>
      </c>
      <c r="AV52" s="464"/>
      <c r="AW52" s="465"/>
    </row>
    <row r="53" spans="2:49" ht="15">
      <c r="B53" s="311">
        <v>43739</v>
      </c>
      <c r="C53" s="381">
        <v>6.3099999999999996E-3</v>
      </c>
      <c r="D53" s="384">
        <v>-4.0300000000000006E-3</v>
      </c>
      <c r="J53" s="312">
        <v>43862</v>
      </c>
      <c r="K53" s="313">
        <v>19330.919999999998</v>
      </c>
      <c r="L53" s="18">
        <v>194.48165900000001</v>
      </c>
      <c r="N53" s="4">
        <f t="shared" si="10"/>
        <v>-8.5727096141649417E-2</v>
      </c>
      <c r="O53" s="4">
        <f t="shared" si="11"/>
        <v>-3.4883679960709624E-2</v>
      </c>
      <c r="R53" s="312">
        <v>43862</v>
      </c>
      <c r="S53" s="314">
        <v>19330.919999999998</v>
      </c>
      <c r="T53" s="381">
        <v>4.4000000000000003E-3</v>
      </c>
      <c r="U53" s="56">
        <f t="shared" si="6"/>
        <v>-8.5727096141649417E-2</v>
      </c>
      <c r="V53" s="381">
        <f t="shared" si="7"/>
        <v>-9.0127096141649418E-2</v>
      </c>
      <c r="X53" s="381">
        <v>-6.0799999999999995E-3</v>
      </c>
      <c r="Y53" s="382">
        <f t="shared" si="8"/>
        <v>-7.9647096141649415E-2</v>
      </c>
      <c r="AI53" s="464">
        <f t="shared" si="4"/>
        <v>33</v>
      </c>
      <c r="AJ53" s="473">
        <v>42933</v>
      </c>
      <c r="AK53" s="474">
        <v>19520.59</v>
      </c>
      <c r="AL53" s="475">
        <v>5.7999999999999996E-3</v>
      </c>
      <c r="AM53" s="475">
        <f t="shared" si="9"/>
        <v>5.7825596804674806E-3</v>
      </c>
      <c r="AN53" s="464"/>
      <c r="AO53" s="464"/>
      <c r="AR53" s="464">
        <f t="shared" si="5"/>
        <v>33</v>
      </c>
      <c r="AS53" s="464" t="s">
        <v>2605</v>
      </c>
      <c r="AT53" s="381">
        <v>1.278E-2</v>
      </c>
      <c r="AV53" s="464"/>
      <c r="AW53" s="465"/>
    </row>
    <row r="54" spans="2:49" ht="15">
      <c r="B54" s="311">
        <v>43709</v>
      </c>
      <c r="C54" s="381">
        <v>4.8599999999999997E-3</v>
      </c>
      <c r="D54" s="384">
        <v>-5.7199999999999994E-3</v>
      </c>
      <c r="J54" s="312">
        <v>43891</v>
      </c>
      <c r="K54" s="313">
        <v>15101.13</v>
      </c>
      <c r="L54" s="18">
        <v>156.59999099999999</v>
      </c>
      <c r="N54" s="4">
        <f t="shared" si="10"/>
        <v>-0.218809554847881</v>
      </c>
      <c r="O54" s="4">
        <f t="shared" si="11"/>
        <v>-0.19478272755787229</v>
      </c>
      <c r="R54" s="312">
        <v>43891</v>
      </c>
      <c r="S54" s="314">
        <v>15101.13</v>
      </c>
      <c r="T54" s="381">
        <v>3.5499999999999998E-3</v>
      </c>
      <c r="U54" s="56">
        <f t="shared" ref="U54:U81" si="12">S54/S53-1</f>
        <v>-0.218809554847881</v>
      </c>
      <c r="V54" s="381">
        <f t="shared" ref="V54:V81" si="13">U54-T54</f>
        <v>-0.222359554847881</v>
      </c>
      <c r="X54" s="381">
        <v>-4.6899999999999997E-3</v>
      </c>
      <c r="Y54" s="382">
        <f t="shared" ref="Y54:Y81" si="14">U54-X54</f>
        <v>-0.21411955484788101</v>
      </c>
      <c r="AI54" s="464">
        <f t="shared" si="4"/>
        <v>34</v>
      </c>
      <c r="AJ54" s="473">
        <v>42934</v>
      </c>
      <c r="AK54" s="474">
        <v>19613.38</v>
      </c>
      <c r="AL54" s="475">
        <v>4.7999999999999996E-3</v>
      </c>
      <c r="AM54" s="475">
        <f t="shared" si="9"/>
        <v>4.75344239082931E-3</v>
      </c>
      <c r="AN54" s="464"/>
      <c r="AO54" s="464"/>
      <c r="AR54" s="464">
        <f t="shared" si="5"/>
        <v>34</v>
      </c>
      <c r="AS54" s="464" t="s">
        <v>2604</v>
      </c>
      <c r="AT54" s="381">
        <v>1.261E-2</v>
      </c>
      <c r="AV54" s="464"/>
      <c r="AW54" s="465"/>
    </row>
    <row r="55" spans="2:49" ht="15">
      <c r="B55" s="311">
        <v>43678</v>
      </c>
      <c r="C55" s="381">
        <v>4.79E-3</v>
      </c>
      <c r="D55" s="384">
        <v>-7.0299999999999998E-3</v>
      </c>
      <c r="J55" s="312">
        <v>43922</v>
      </c>
      <c r="K55" s="313">
        <v>16454.46</v>
      </c>
      <c r="L55" s="18">
        <v>154.147232</v>
      </c>
      <c r="N55" s="4">
        <f t="shared" ref="N55:N81" si="15">K55/K54-1</f>
        <v>8.9617796813880712E-2</v>
      </c>
      <c r="O55" s="4">
        <f t="shared" si="11"/>
        <v>-1.5662574335652324E-2</v>
      </c>
      <c r="R55" s="312">
        <v>43922</v>
      </c>
      <c r="S55" s="314">
        <v>16454.46</v>
      </c>
      <c r="T55" s="381">
        <v>2.2699999999999999E-3</v>
      </c>
      <c r="U55" s="56">
        <f t="shared" si="12"/>
        <v>8.9617796813880712E-2</v>
      </c>
      <c r="V55" s="381">
        <f t="shared" si="13"/>
        <v>8.7347796813880718E-2</v>
      </c>
      <c r="X55" s="381">
        <v>-5.8899999999999994E-3</v>
      </c>
      <c r="Y55" s="382">
        <f t="shared" si="14"/>
        <v>9.5507796813880719E-2</v>
      </c>
      <c r="AI55" s="464">
        <f t="shared" si="4"/>
        <v>35</v>
      </c>
      <c r="AJ55" s="473">
        <v>42935</v>
      </c>
      <c r="AK55" s="474">
        <v>19693.93</v>
      </c>
      <c r="AL55" s="475">
        <v>4.1000000000000003E-3</v>
      </c>
      <c r="AM55" s="475">
        <f t="shared" si="9"/>
        <v>4.1068902963181664E-3</v>
      </c>
      <c r="AN55" s="464"/>
      <c r="AO55" s="464"/>
      <c r="AR55" s="464">
        <f t="shared" si="5"/>
        <v>35</v>
      </c>
      <c r="AS55" s="464" t="s">
        <v>2603</v>
      </c>
      <c r="AT55" s="381">
        <v>1.302E-2</v>
      </c>
      <c r="AV55" s="464"/>
      <c r="AW55" s="465"/>
    </row>
    <row r="56" spans="2:49" ht="15">
      <c r="B56" s="311">
        <v>43647</v>
      </c>
      <c r="C56" s="381">
        <v>6.0899999999999999E-3</v>
      </c>
      <c r="D56" s="384">
        <v>-4.4200000000000003E-3</v>
      </c>
      <c r="J56" s="312">
        <v>43952</v>
      </c>
      <c r="K56" s="313">
        <v>17042.96</v>
      </c>
      <c r="L56" s="18">
        <v>144.71348599999999</v>
      </c>
      <c r="N56" s="4">
        <f t="shared" si="15"/>
        <v>3.5765379113018581E-2</v>
      </c>
      <c r="O56" s="4">
        <f t="shared" si="11"/>
        <v>-6.1199580930522357E-2</v>
      </c>
      <c r="R56" s="312">
        <v>43952</v>
      </c>
      <c r="S56" s="314">
        <v>17042.96</v>
      </c>
      <c r="T56" s="381">
        <v>1.8500000000000001E-3</v>
      </c>
      <c r="U56" s="56">
        <f t="shared" si="12"/>
        <v>3.5765379113018581E-2</v>
      </c>
      <c r="V56" s="381">
        <f t="shared" si="13"/>
        <v>3.3915379113018583E-2</v>
      </c>
      <c r="X56" s="381">
        <v>-4.4800000000000005E-3</v>
      </c>
      <c r="Y56" s="382">
        <f t="shared" si="14"/>
        <v>4.0245379113018578E-2</v>
      </c>
      <c r="AI56" s="464">
        <f t="shared" si="4"/>
        <v>36</v>
      </c>
      <c r="AJ56" s="473">
        <v>42936</v>
      </c>
      <c r="AK56" s="474">
        <v>19763.939999999999</v>
      </c>
      <c r="AL56" s="475">
        <v>3.5999999999999999E-3</v>
      </c>
      <c r="AM56" s="475">
        <f t="shared" si="9"/>
        <v>3.5549024496379644E-3</v>
      </c>
      <c r="AN56" s="464"/>
      <c r="AO56" s="464"/>
      <c r="AR56" s="464">
        <f t="shared" si="5"/>
        <v>36</v>
      </c>
      <c r="AS56" s="464" t="s">
        <v>2602</v>
      </c>
      <c r="AT56" s="381">
        <v>1.3089999999999999E-2</v>
      </c>
      <c r="AV56" s="464"/>
      <c r="AW56" s="465"/>
    </row>
    <row r="57" spans="2:49" ht="15">
      <c r="B57" s="311">
        <v>43617</v>
      </c>
      <c r="C57" s="381">
        <v>8.3199999999999993E-3</v>
      </c>
      <c r="D57" s="384">
        <v>-3.2799999999999999E-3</v>
      </c>
      <c r="J57" s="312">
        <v>43983</v>
      </c>
      <c r="K57" s="313">
        <v>17119.16</v>
      </c>
      <c r="L57" s="18">
        <v>167.35446200000001</v>
      </c>
      <c r="N57" s="4">
        <f t="shared" si="15"/>
        <v>4.4710543238968281E-3</v>
      </c>
      <c r="O57" s="4">
        <f t="shared" si="11"/>
        <v>0.15645380832025579</v>
      </c>
      <c r="R57" s="312">
        <v>43983</v>
      </c>
      <c r="S57" s="314">
        <v>17119.16</v>
      </c>
      <c r="T57" s="381">
        <v>1.72E-3</v>
      </c>
      <c r="U57" s="56">
        <f t="shared" si="12"/>
        <v>4.4710543238968281E-3</v>
      </c>
      <c r="V57" s="381">
        <f t="shared" si="13"/>
        <v>2.7510543238968279E-3</v>
      </c>
      <c r="X57" s="381">
        <v>-4.5300000000000002E-3</v>
      </c>
      <c r="Y57" s="382">
        <f t="shared" si="14"/>
        <v>9.0010543238968274E-3</v>
      </c>
      <c r="AI57" s="464">
        <f t="shared" si="4"/>
        <v>37</v>
      </c>
      <c r="AJ57" s="473">
        <v>42937</v>
      </c>
      <c r="AK57" s="474">
        <v>19751.240000000002</v>
      </c>
      <c r="AL57" s="475">
        <v>-5.9999999999999995E-4</v>
      </c>
      <c r="AM57" s="475">
        <f t="shared" si="9"/>
        <v>-6.425844239558165E-4</v>
      </c>
      <c r="AN57" s="464"/>
      <c r="AO57" s="464"/>
      <c r="AR57" s="464">
        <f t="shared" si="5"/>
        <v>37</v>
      </c>
      <c r="AS57" s="464" t="s">
        <v>2601</v>
      </c>
      <c r="AT57" s="381">
        <v>1.3089999999999999E-2</v>
      </c>
      <c r="AV57" s="464"/>
      <c r="AW57" s="465"/>
    </row>
    <row r="58" spans="2:49" ht="15">
      <c r="B58" s="311">
        <v>43586</v>
      </c>
      <c r="C58" s="381">
        <v>8.8800000000000007E-3</v>
      </c>
      <c r="D58" s="384">
        <v>-2.0300000000000001E-3</v>
      </c>
      <c r="J58" s="312">
        <v>44013</v>
      </c>
      <c r="K58" s="313">
        <v>16932.650000000001</v>
      </c>
      <c r="L58" s="18">
        <v>159.43012999999999</v>
      </c>
      <c r="N58" s="4">
        <f t="shared" si="15"/>
        <v>-1.0894810259381771E-2</v>
      </c>
      <c r="O58" s="4">
        <f t="shared" si="11"/>
        <v>-4.7350586923699867E-2</v>
      </c>
      <c r="R58" s="312">
        <v>44013</v>
      </c>
      <c r="S58" s="314">
        <v>16932.650000000001</v>
      </c>
      <c r="T58" s="381">
        <v>1.0499999999999999E-3</v>
      </c>
      <c r="U58" s="56">
        <f t="shared" si="12"/>
        <v>-1.0894810259381771E-2</v>
      </c>
      <c r="V58" s="381">
        <f t="shared" si="13"/>
        <v>-1.1944810259381771E-2</v>
      </c>
      <c r="X58" s="381">
        <v>-5.3100000000000005E-3</v>
      </c>
      <c r="Y58" s="382">
        <f t="shared" si="14"/>
        <v>-5.5848102593817704E-3</v>
      </c>
      <c r="AI58" s="464">
        <f t="shared" si="4"/>
        <v>38</v>
      </c>
      <c r="AJ58" s="473">
        <v>42940</v>
      </c>
      <c r="AK58" s="474">
        <v>19616.25</v>
      </c>
      <c r="AL58" s="475">
        <v>-6.7999999999999996E-3</v>
      </c>
      <c r="AM58" s="475">
        <f t="shared" si="9"/>
        <v>-6.834507605598561E-3</v>
      </c>
      <c r="AN58" s="464"/>
      <c r="AO58" s="464"/>
      <c r="AR58" s="464">
        <f t="shared" si="5"/>
        <v>38</v>
      </c>
      <c r="AS58" s="464" t="s">
        <v>2600</v>
      </c>
      <c r="AT58" s="381">
        <v>1.2709999999999999E-2</v>
      </c>
      <c r="AV58" s="464"/>
      <c r="AW58" s="465"/>
    </row>
    <row r="59" spans="2:49" ht="15">
      <c r="B59" s="311">
        <v>43556</v>
      </c>
      <c r="C59" s="381">
        <v>1.1859999999999999E-2</v>
      </c>
      <c r="D59" s="384">
        <v>1.2999999999999999E-4</v>
      </c>
      <c r="J59" s="312">
        <v>44044</v>
      </c>
      <c r="K59" s="313">
        <v>17788.330000000002</v>
      </c>
      <c r="L59" s="18">
        <v>169.80725100000001</v>
      </c>
      <c r="N59" s="4">
        <f t="shared" si="15"/>
        <v>5.0534322743339022E-2</v>
      </c>
      <c r="O59" s="4">
        <f t="shared" si="11"/>
        <v>6.5088832330501223E-2</v>
      </c>
      <c r="R59" s="312">
        <v>44044</v>
      </c>
      <c r="S59" s="314">
        <v>17788.330000000002</v>
      </c>
      <c r="T59" s="381">
        <v>3.13E-3</v>
      </c>
      <c r="U59" s="56">
        <f t="shared" si="12"/>
        <v>5.0534322743339022E-2</v>
      </c>
      <c r="V59" s="381">
        <f t="shared" si="13"/>
        <v>4.7404322743339021E-2</v>
      </c>
      <c r="X59" s="381">
        <v>-3.98E-3</v>
      </c>
      <c r="Y59" s="382">
        <f t="shared" si="14"/>
        <v>5.4514322743339019E-2</v>
      </c>
      <c r="AI59" s="464">
        <f t="shared" si="4"/>
        <v>39</v>
      </c>
      <c r="AJ59" s="473">
        <v>42941</v>
      </c>
      <c r="AK59" s="474">
        <v>19641.28</v>
      </c>
      <c r="AL59" s="475">
        <v>1.2999999999999999E-3</v>
      </c>
      <c r="AM59" s="475">
        <f t="shared" si="9"/>
        <v>1.2759829223218944E-3</v>
      </c>
      <c r="AN59" s="464"/>
      <c r="AO59" s="464"/>
      <c r="AR59" s="464">
        <f t="shared" si="5"/>
        <v>39</v>
      </c>
      <c r="AS59" s="464" t="s">
        <v>2599</v>
      </c>
      <c r="AT59" s="381">
        <v>1.2070000000000001E-2</v>
      </c>
      <c r="AV59" s="464"/>
      <c r="AW59" s="465"/>
    </row>
    <row r="60" spans="2:49" ht="15">
      <c r="B60" s="311">
        <v>43525</v>
      </c>
      <c r="C60" s="381">
        <v>9.9600000000000001E-3</v>
      </c>
      <c r="D60" s="384">
        <v>-7.0999999999999991E-4</v>
      </c>
      <c r="J60" s="312">
        <v>44075</v>
      </c>
      <c r="K60" s="313">
        <v>17315.3</v>
      </c>
      <c r="L60" s="18">
        <v>166.033737</v>
      </c>
      <c r="N60" s="4">
        <f t="shared" si="15"/>
        <v>-2.6592153394950691E-2</v>
      </c>
      <c r="O60" s="4">
        <f t="shared" si="11"/>
        <v>-2.2222337254608759E-2</v>
      </c>
      <c r="R60" s="312">
        <v>44075</v>
      </c>
      <c r="S60" s="314">
        <v>17315.3</v>
      </c>
      <c r="T60" s="381">
        <v>2.32E-3</v>
      </c>
      <c r="U60" s="56">
        <f t="shared" si="12"/>
        <v>-2.6592153394950691E-2</v>
      </c>
      <c r="V60" s="381">
        <f t="shared" si="13"/>
        <v>-2.891215339495069E-2</v>
      </c>
      <c r="X60" s="381">
        <v>-5.2100000000000002E-3</v>
      </c>
      <c r="Y60" s="382">
        <f t="shared" si="14"/>
        <v>-2.1382153394950691E-2</v>
      </c>
      <c r="AI60" s="464">
        <f t="shared" si="4"/>
        <v>40</v>
      </c>
      <c r="AJ60" s="473">
        <v>42942</v>
      </c>
      <c r="AK60" s="474">
        <v>19762.66</v>
      </c>
      <c r="AL60" s="475">
        <v>6.1999999999999998E-3</v>
      </c>
      <c r="AM60" s="475">
        <f t="shared" si="9"/>
        <v>6.1798416396487976E-3</v>
      </c>
      <c r="AN60" s="464"/>
      <c r="AO60" s="464"/>
      <c r="AR60" s="464">
        <f t="shared" si="5"/>
        <v>40</v>
      </c>
      <c r="AS60" s="464" t="s">
        <v>2598</v>
      </c>
      <c r="AT60" s="381">
        <v>1.1939999999999999E-2</v>
      </c>
      <c r="AV60" s="464"/>
      <c r="AW60" s="465"/>
    </row>
    <row r="61" spans="2:49" ht="15">
      <c r="B61" s="311">
        <v>43497</v>
      </c>
      <c r="C61" s="381">
        <v>1.303E-2</v>
      </c>
      <c r="D61" s="384">
        <v>1.82E-3</v>
      </c>
      <c r="J61" s="312">
        <v>44105</v>
      </c>
      <c r="K61" s="313">
        <v>17214.38</v>
      </c>
      <c r="L61" s="18">
        <v>172.26000999999999</v>
      </c>
      <c r="N61" s="4">
        <f t="shared" si="15"/>
        <v>-5.8283714402868059E-3</v>
      </c>
      <c r="O61" s="4">
        <f t="shared" si="11"/>
        <v>3.7500047354833699E-2</v>
      </c>
      <c r="R61" s="312">
        <v>44105</v>
      </c>
      <c r="S61" s="314">
        <v>17214.38</v>
      </c>
      <c r="T61" s="381">
        <v>2.63E-3</v>
      </c>
      <c r="U61" s="56">
        <f t="shared" si="12"/>
        <v>-5.8283714402868059E-3</v>
      </c>
      <c r="V61" s="381">
        <f t="shared" si="13"/>
        <v>-8.4583714402868063E-3</v>
      </c>
      <c r="X61" s="381">
        <v>-6.2500000000000003E-3</v>
      </c>
      <c r="Y61" s="382">
        <f t="shared" si="14"/>
        <v>4.2162855971319448E-4</v>
      </c>
      <c r="AI61" s="464">
        <f t="shared" si="4"/>
        <v>41</v>
      </c>
      <c r="AJ61" s="473">
        <v>42943</v>
      </c>
      <c r="AK61" s="474">
        <v>19879.43</v>
      </c>
      <c r="AL61" s="475">
        <v>5.8999999999999999E-3</v>
      </c>
      <c r="AM61" s="475">
        <f t="shared" si="9"/>
        <v>5.9086175646396732E-3</v>
      </c>
      <c r="AN61" s="464"/>
      <c r="AO61" s="464"/>
      <c r="AR61" s="464">
        <f t="shared" si="5"/>
        <v>41</v>
      </c>
      <c r="AS61" s="464" t="s">
        <v>2597</v>
      </c>
      <c r="AT61" s="381">
        <v>1.2070000000000001E-2</v>
      </c>
      <c r="AV61" s="464"/>
      <c r="AW61" s="465"/>
    </row>
    <row r="62" spans="2:49" ht="15">
      <c r="B62" s="311">
        <v>43466</v>
      </c>
      <c r="C62" s="381">
        <v>1.2199999999999999E-2</v>
      </c>
      <c r="D62" s="384">
        <v>1.49E-3</v>
      </c>
      <c r="J62" s="312">
        <v>44136</v>
      </c>
      <c r="K62" s="313">
        <v>19336.32</v>
      </c>
      <c r="L62" s="18">
        <v>188.33166499999999</v>
      </c>
      <c r="N62" s="4">
        <f t="shared" si="15"/>
        <v>0.12326554891898511</v>
      </c>
      <c r="O62" s="4">
        <f t="shared" si="11"/>
        <v>9.3298816132658891E-2</v>
      </c>
      <c r="R62" s="312">
        <v>44136</v>
      </c>
      <c r="S62" s="314">
        <v>19336.32</v>
      </c>
      <c r="T62" s="381">
        <v>3.0599999999999998E-3</v>
      </c>
      <c r="U62" s="56">
        <f t="shared" si="12"/>
        <v>0.12326554891898511</v>
      </c>
      <c r="V62" s="381">
        <f t="shared" si="13"/>
        <v>0.12020554891898512</v>
      </c>
      <c r="X62" s="381">
        <v>-5.7099999999999998E-3</v>
      </c>
      <c r="Y62" s="382">
        <f t="shared" si="14"/>
        <v>0.12897554891898511</v>
      </c>
      <c r="AI62" s="464">
        <f t="shared" si="4"/>
        <v>42</v>
      </c>
      <c r="AJ62" s="473">
        <v>42944</v>
      </c>
      <c r="AK62" s="474">
        <v>19728.189999999999</v>
      </c>
      <c r="AL62" s="475">
        <v>-7.6E-3</v>
      </c>
      <c r="AM62" s="475">
        <f t="shared" si="9"/>
        <v>-7.6078640081733706E-3</v>
      </c>
      <c r="AN62" s="464"/>
      <c r="AO62" s="464"/>
      <c r="AR62" s="464">
        <f t="shared" si="5"/>
        <v>42</v>
      </c>
      <c r="AS62" s="464" t="s">
        <v>2596</v>
      </c>
      <c r="AT62" s="381">
        <v>1.175E-2</v>
      </c>
      <c r="AV62" s="464"/>
      <c r="AW62" s="465"/>
    </row>
    <row r="63" spans="2:49" ht="15">
      <c r="B63" s="311">
        <v>43435</v>
      </c>
      <c r="C63" s="381">
        <v>1.269E-2</v>
      </c>
      <c r="D63" s="384">
        <v>2.4599999999999999E-3</v>
      </c>
      <c r="J63" s="312">
        <v>44166</v>
      </c>
      <c r="K63" s="313">
        <v>20488.3</v>
      </c>
      <c r="L63" s="18">
        <v>241.89387500000001</v>
      </c>
      <c r="N63" s="4">
        <f t="shared" si="15"/>
        <v>5.9575968953761604E-2</v>
      </c>
      <c r="O63" s="4">
        <f t="shared" si="11"/>
        <v>0.28440363440741634</v>
      </c>
      <c r="R63" s="312">
        <v>44166</v>
      </c>
      <c r="S63" s="314">
        <v>20488.3</v>
      </c>
      <c r="T63" s="381">
        <v>1.9599999999999999E-3</v>
      </c>
      <c r="U63" s="56">
        <f t="shared" si="12"/>
        <v>5.9575968953761604E-2</v>
      </c>
      <c r="V63" s="381">
        <f t="shared" si="13"/>
        <v>5.7615968953761601E-2</v>
      </c>
      <c r="X63" s="381">
        <v>-5.7499999999999999E-3</v>
      </c>
      <c r="Y63" s="382">
        <f t="shared" si="14"/>
        <v>6.532596895376161E-2</v>
      </c>
      <c r="AI63" s="464">
        <f t="shared" si="4"/>
        <v>43</v>
      </c>
      <c r="AJ63" s="473">
        <v>42947</v>
      </c>
      <c r="AK63" s="474">
        <v>19781.14</v>
      </c>
      <c r="AL63" s="475">
        <v>2.7000000000000001E-3</v>
      </c>
      <c r="AM63" s="475">
        <f t="shared" si="9"/>
        <v>2.683976583761627E-3</v>
      </c>
      <c r="AN63" s="464"/>
      <c r="AO63" s="464"/>
      <c r="AR63" s="464">
        <f t="shared" si="5"/>
        <v>43</v>
      </c>
      <c r="AS63" s="464" t="s">
        <v>2595</v>
      </c>
      <c r="AT63" s="381">
        <v>1.191E-2</v>
      </c>
      <c r="AV63" s="464"/>
      <c r="AW63" s="465"/>
    </row>
    <row r="64" spans="2:49" ht="15">
      <c r="B64" s="311">
        <v>43405</v>
      </c>
      <c r="C64" s="381">
        <v>1.3640000000000001E-2</v>
      </c>
      <c r="D64" s="384">
        <v>3.15E-3</v>
      </c>
      <c r="J64" s="312">
        <v>44197</v>
      </c>
      <c r="K64" s="313">
        <v>20228.580000000002</v>
      </c>
      <c r="L64" s="18">
        <v>237.094391</v>
      </c>
      <c r="N64" s="4">
        <f t="shared" si="15"/>
        <v>-1.2676503174982701E-2</v>
      </c>
      <c r="O64" s="4">
        <f t="shared" si="11"/>
        <v>-1.9841279569397963E-2</v>
      </c>
      <c r="R64" s="312">
        <v>44197</v>
      </c>
      <c r="S64" s="314">
        <v>20228.580000000002</v>
      </c>
      <c r="T64" s="381">
        <v>3.29E-3</v>
      </c>
      <c r="U64" s="56">
        <f t="shared" si="12"/>
        <v>-1.2676503174982701E-2</v>
      </c>
      <c r="V64" s="381">
        <f t="shared" si="13"/>
        <v>-1.5966503174982702E-2</v>
      </c>
      <c r="X64" s="381">
        <v>-5.1999999999999998E-3</v>
      </c>
      <c r="Y64" s="382">
        <f t="shared" si="14"/>
        <v>-7.4765031749827009E-3</v>
      </c>
      <c r="AI64" s="464">
        <f t="shared" si="4"/>
        <v>44</v>
      </c>
      <c r="AJ64" s="473">
        <v>42948</v>
      </c>
      <c r="AK64" s="474">
        <v>19863.599999999999</v>
      </c>
      <c r="AL64" s="475">
        <v>4.1999999999999997E-3</v>
      </c>
      <c r="AM64" s="475">
        <f t="shared" si="9"/>
        <v>4.1686171777763903E-3</v>
      </c>
      <c r="AN64" s="464"/>
      <c r="AO64" s="464"/>
      <c r="AR64" s="464">
        <f t="shared" si="5"/>
        <v>44</v>
      </c>
      <c r="AS64" s="464" t="s">
        <v>2594</v>
      </c>
      <c r="AT64" s="381">
        <v>1.2580000000000001E-2</v>
      </c>
      <c r="AV64" s="464"/>
      <c r="AW64" s="465"/>
    </row>
    <row r="65" spans="2:49" ht="15">
      <c r="B65" s="311">
        <v>43374</v>
      </c>
      <c r="C65" s="381">
        <v>1.4370000000000001E-2</v>
      </c>
      <c r="D65" s="384">
        <v>3.8600000000000001E-3</v>
      </c>
      <c r="J65" s="312">
        <v>44228</v>
      </c>
      <c r="K65" s="313">
        <v>20910.37</v>
      </c>
      <c r="L65" s="18">
        <v>251.97279399999999</v>
      </c>
      <c r="N65" s="4">
        <f t="shared" si="15"/>
        <v>3.3704293628123994E-2</v>
      </c>
      <c r="O65" s="4">
        <f t="shared" si="11"/>
        <v>6.2753078793837735E-2</v>
      </c>
      <c r="R65" s="312">
        <v>44228</v>
      </c>
      <c r="S65" s="314">
        <v>20910.37</v>
      </c>
      <c r="T65" s="381">
        <v>8.2299999999999995E-3</v>
      </c>
      <c r="U65" s="56">
        <f t="shared" si="12"/>
        <v>3.3704293628123994E-2</v>
      </c>
      <c r="V65" s="381">
        <f t="shared" si="13"/>
        <v>2.5474293628123992E-2</v>
      </c>
      <c r="X65" s="381">
        <v>-2.5700000000000002E-3</v>
      </c>
      <c r="Y65" s="382">
        <f t="shared" si="14"/>
        <v>3.6274293628123996E-2</v>
      </c>
      <c r="AI65" s="464">
        <f t="shared" si="4"/>
        <v>45</v>
      </c>
      <c r="AJ65" s="473">
        <v>42949</v>
      </c>
      <c r="AK65" s="474">
        <v>19841.41</v>
      </c>
      <c r="AL65" s="475">
        <v>-1.1000000000000001E-3</v>
      </c>
      <c r="AM65" s="475">
        <f t="shared" si="9"/>
        <v>-1.1171187498740798E-3</v>
      </c>
      <c r="AN65" s="464"/>
      <c r="AO65" s="464"/>
      <c r="AR65" s="464">
        <f t="shared" si="5"/>
        <v>45</v>
      </c>
      <c r="AS65" s="464" t="s">
        <v>2593</v>
      </c>
      <c r="AT65" s="381">
        <v>1.2350000000000002E-2</v>
      </c>
      <c r="AV65" s="464"/>
      <c r="AW65" s="465"/>
    </row>
    <row r="66" spans="2:49" ht="15">
      <c r="B66" s="311">
        <v>43344</v>
      </c>
      <c r="C66" s="381">
        <v>1.5740000000000001E-2</v>
      </c>
      <c r="D66" s="384">
        <v>4.7199999999999994E-3</v>
      </c>
      <c r="J66" s="312">
        <v>44256</v>
      </c>
      <c r="K66" s="313">
        <v>21518.71</v>
      </c>
      <c r="L66" s="18">
        <v>249.03680399999999</v>
      </c>
      <c r="N66" s="4">
        <f t="shared" si="15"/>
        <v>2.9092742022259754E-2</v>
      </c>
      <c r="O66" s="4">
        <f t="shared" si="11"/>
        <v>-1.1652011923160233E-2</v>
      </c>
      <c r="R66" s="312">
        <v>44256</v>
      </c>
      <c r="S66" s="314">
        <v>21518.71</v>
      </c>
      <c r="T66" s="381">
        <v>8.4600000000000005E-3</v>
      </c>
      <c r="U66" s="56">
        <f t="shared" si="12"/>
        <v>2.9092742022259754E-2</v>
      </c>
      <c r="V66" s="381">
        <f t="shared" si="13"/>
        <v>2.0632742022259752E-2</v>
      </c>
      <c r="X66" s="381">
        <v>-2.9199999999999999E-3</v>
      </c>
      <c r="Y66" s="382">
        <f t="shared" si="14"/>
        <v>3.2012742022259753E-2</v>
      </c>
      <c r="AI66" s="464">
        <f t="shared" si="4"/>
        <v>46</v>
      </c>
      <c r="AJ66" s="473">
        <v>42950</v>
      </c>
      <c r="AK66" s="474">
        <v>19908.240000000002</v>
      </c>
      <c r="AL66" s="475">
        <v>3.3999999999999998E-3</v>
      </c>
      <c r="AM66" s="475">
        <f t="shared" si="9"/>
        <v>3.3682082069772523E-3</v>
      </c>
      <c r="AN66" s="464"/>
      <c r="AO66" s="464"/>
      <c r="AR66" s="464">
        <f t="shared" si="5"/>
        <v>46</v>
      </c>
      <c r="AS66" s="464" t="s">
        <v>2592</v>
      </c>
      <c r="AT66" s="381">
        <v>1.2019999999999999E-2</v>
      </c>
      <c r="AV66" s="464"/>
      <c r="AW66" s="465"/>
    </row>
    <row r="67" spans="2:49" ht="15">
      <c r="B67" s="311">
        <v>43313</v>
      </c>
      <c r="C67" s="381">
        <v>1.4290000000000001E-2</v>
      </c>
      <c r="D67" s="384">
        <v>3.31E-3</v>
      </c>
      <c r="J67" s="312">
        <v>44287</v>
      </c>
      <c r="K67" s="313">
        <v>22497.37</v>
      </c>
      <c r="L67" s="18">
        <v>262.06781000000001</v>
      </c>
      <c r="N67" s="4">
        <f t="shared" si="15"/>
        <v>4.547949203274726E-2</v>
      </c>
      <c r="O67" s="4">
        <f t="shared" si="11"/>
        <v>5.2325623324334103E-2</v>
      </c>
      <c r="R67" s="312">
        <v>44287</v>
      </c>
      <c r="S67" s="314">
        <v>22497.37</v>
      </c>
      <c r="T67" s="381">
        <v>8.43E-3</v>
      </c>
      <c r="U67" s="56">
        <f t="shared" si="12"/>
        <v>4.547949203274726E-2</v>
      </c>
      <c r="V67" s="381">
        <f t="shared" si="13"/>
        <v>3.704949203274726E-2</v>
      </c>
      <c r="X67" s="381">
        <v>-2E-3</v>
      </c>
      <c r="Y67" s="382">
        <f t="shared" si="14"/>
        <v>4.7479492032747261E-2</v>
      </c>
      <c r="AI67" s="464">
        <f t="shared" si="4"/>
        <v>47</v>
      </c>
      <c r="AJ67" s="473">
        <v>42951</v>
      </c>
      <c r="AK67" s="474">
        <v>19969.73</v>
      </c>
      <c r="AL67" s="475">
        <v>3.0999999999999999E-3</v>
      </c>
      <c r="AM67" s="475">
        <f t="shared" si="9"/>
        <v>3.0886708217299219E-3</v>
      </c>
      <c r="AN67" s="464"/>
      <c r="AO67" s="464"/>
      <c r="AR67" s="464">
        <f t="shared" si="5"/>
        <v>47</v>
      </c>
      <c r="AS67" s="464" t="s">
        <v>2591</v>
      </c>
      <c r="AT67" s="381">
        <v>1.2159999999999999E-2</v>
      </c>
      <c r="AV67" s="464"/>
      <c r="AW67" s="465"/>
    </row>
    <row r="68" spans="2:49" ht="15">
      <c r="B68" s="311">
        <v>43282</v>
      </c>
      <c r="C68" s="381">
        <v>1.3309999999999999E-2</v>
      </c>
      <c r="D68" s="384">
        <v>4.45E-3</v>
      </c>
      <c r="J68" s="312">
        <v>44317</v>
      </c>
      <c r="K68" s="313">
        <v>22683.95</v>
      </c>
      <c r="L68" s="18">
        <v>285.71664399999997</v>
      </c>
      <c r="N68" s="4">
        <f t="shared" si="15"/>
        <v>8.2934138523749201E-3</v>
      </c>
      <c r="O68" s="4">
        <f t="shared" si="11"/>
        <v>9.0239369726484053E-2</v>
      </c>
      <c r="R68" s="312">
        <v>44317</v>
      </c>
      <c r="S68" s="314">
        <v>22683.95</v>
      </c>
      <c r="T68" s="381">
        <v>7.9600000000000001E-3</v>
      </c>
      <c r="U68" s="56">
        <f t="shared" si="12"/>
        <v>8.2934138523749201E-3</v>
      </c>
      <c r="V68" s="381">
        <f t="shared" si="13"/>
        <v>3.3341385237492006E-4</v>
      </c>
      <c r="X68" s="381">
        <v>-1.83E-3</v>
      </c>
      <c r="Y68" s="382">
        <f t="shared" si="14"/>
        <v>1.012341385237492E-2</v>
      </c>
      <c r="AI68" s="464">
        <f t="shared" si="4"/>
        <v>48</v>
      </c>
      <c r="AJ68" s="473">
        <v>42954</v>
      </c>
      <c r="AK68" s="474">
        <v>19988.5</v>
      </c>
      <c r="AL68" s="475">
        <v>8.9999999999999998E-4</v>
      </c>
      <c r="AM68" s="475">
        <f t="shared" si="9"/>
        <v>9.3992257281394487E-4</v>
      </c>
      <c r="AN68" s="464"/>
      <c r="AO68" s="464"/>
      <c r="AR68" s="464">
        <f t="shared" si="5"/>
        <v>48</v>
      </c>
      <c r="AS68" s="464" t="s">
        <v>2590</v>
      </c>
      <c r="AT68" s="381">
        <v>1.2310000000000001E-2</v>
      </c>
      <c r="AV68" s="464"/>
      <c r="AW68" s="465"/>
    </row>
    <row r="69" spans="2:49" ht="15">
      <c r="B69" s="311">
        <v>43252</v>
      </c>
      <c r="C69" s="381">
        <v>1.278E-2</v>
      </c>
      <c r="D69" s="384">
        <v>3.0299999999999997E-3</v>
      </c>
      <c r="J69" s="312">
        <v>44348</v>
      </c>
      <c r="K69" s="313">
        <v>22376.02</v>
      </c>
      <c r="L69" s="18">
        <v>283.78613300000001</v>
      </c>
      <c r="N69" s="4">
        <f t="shared" si="15"/>
        <v>-1.3574796276662582E-2</v>
      </c>
      <c r="O69" s="4">
        <f t="shared" si="11"/>
        <v>-6.7567327299279389E-3</v>
      </c>
      <c r="R69" s="312">
        <v>44348</v>
      </c>
      <c r="S69" s="314">
        <v>22376.02</v>
      </c>
      <c r="T69" s="381">
        <v>7.1799999999999998E-3</v>
      </c>
      <c r="U69" s="56">
        <f t="shared" si="12"/>
        <v>-1.3574796276662582E-2</v>
      </c>
      <c r="V69" s="381">
        <f t="shared" si="13"/>
        <v>-2.0754796276662581E-2</v>
      </c>
      <c r="X69" s="381">
        <v>-2.0300000000000001E-3</v>
      </c>
      <c r="Y69" s="382">
        <f t="shared" si="14"/>
        <v>-1.1544796276662581E-2</v>
      </c>
      <c r="AI69" s="464">
        <f t="shared" si="4"/>
        <v>49</v>
      </c>
      <c r="AJ69" s="473">
        <v>42955</v>
      </c>
      <c r="AK69" s="474">
        <v>19949.490000000002</v>
      </c>
      <c r="AL69" s="475">
        <v>-2E-3</v>
      </c>
      <c r="AM69" s="475">
        <f t="shared" si="9"/>
        <v>-1.9516221827550195E-3</v>
      </c>
      <c r="AN69" s="464"/>
      <c r="AO69" s="464"/>
      <c r="AR69" s="464">
        <f t="shared" si="5"/>
        <v>49</v>
      </c>
      <c r="AS69" s="464" t="s">
        <v>2589</v>
      </c>
      <c r="AT69" s="381">
        <v>1.213E-2</v>
      </c>
      <c r="AV69" s="464"/>
      <c r="AW69" s="465"/>
    </row>
    <row r="70" spans="2:49" ht="15">
      <c r="B70" s="311">
        <v>43221</v>
      </c>
      <c r="C70" s="381">
        <v>1.2290000000000001E-2</v>
      </c>
      <c r="D70" s="384">
        <v>3.4000000000000002E-3</v>
      </c>
      <c r="J70" s="312">
        <v>44378</v>
      </c>
      <c r="K70" s="313">
        <v>22948.83</v>
      </c>
      <c r="L70" s="18">
        <v>303.573914</v>
      </c>
      <c r="N70" s="4">
        <f t="shared" si="15"/>
        <v>2.5599279943439468E-2</v>
      </c>
      <c r="O70" s="4">
        <f t="shared" si="11"/>
        <v>6.9727793922897519E-2</v>
      </c>
      <c r="R70" s="312">
        <v>44378</v>
      </c>
      <c r="S70" s="314">
        <v>22948.83</v>
      </c>
      <c r="T70" s="381">
        <v>5.6599999999999992E-3</v>
      </c>
      <c r="U70" s="56">
        <f t="shared" si="12"/>
        <v>2.5599279943439468E-2</v>
      </c>
      <c r="V70" s="381">
        <f t="shared" si="13"/>
        <v>1.993927994343947E-2</v>
      </c>
      <c r="X70" s="381">
        <v>-4.5799999999999999E-3</v>
      </c>
      <c r="Y70" s="382">
        <f t="shared" si="14"/>
        <v>3.0179279943439469E-2</v>
      </c>
      <c r="AI70" s="464">
        <f t="shared" si="4"/>
        <v>50</v>
      </c>
      <c r="AJ70" s="473">
        <v>42956</v>
      </c>
      <c r="AK70" s="474">
        <v>19875.03</v>
      </c>
      <c r="AL70" s="475">
        <v>-3.7000000000000002E-3</v>
      </c>
      <c r="AM70" s="475">
        <f t="shared" si="9"/>
        <v>-3.732426242475495E-3</v>
      </c>
      <c r="AN70" s="464"/>
      <c r="AO70" s="464"/>
      <c r="AR70" s="464">
        <f t="shared" si="5"/>
        <v>50</v>
      </c>
      <c r="AS70" s="464" t="s">
        <v>2588</v>
      </c>
      <c r="AT70" s="381">
        <v>1.2370000000000001E-2</v>
      </c>
      <c r="AV70" s="464"/>
      <c r="AW70" s="465"/>
    </row>
    <row r="71" spans="2:49" ht="15">
      <c r="B71" s="311">
        <v>43191</v>
      </c>
      <c r="C71" s="381">
        <v>1.418E-2</v>
      </c>
      <c r="D71" s="384">
        <v>5.6200000000000009E-3</v>
      </c>
      <c r="J71" s="312">
        <v>44409</v>
      </c>
      <c r="K71" s="313">
        <v>24102.19</v>
      </c>
      <c r="L71" s="18">
        <v>311.778595</v>
      </c>
      <c r="N71" s="4">
        <f t="shared" si="15"/>
        <v>5.0257899858075383E-2</v>
      </c>
      <c r="O71" s="4">
        <f t="shared" si="11"/>
        <v>2.702696319289144E-2</v>
      </c>
      <c r="R71" s="312">
        <v>44409</v>
      </c>
      <c r="S71" s="314">
        <v>24102.19</v>
      </c>
      <c r="T71" s="381">
        <v>6.2199999999999998E-3</v>
      </c>
      <c r="U71" s="56">
        <f t="shared" si="12"/>
        <v>5.0257899858075383E-2</v>
      </c>
      <c r="V71" s="381">
        <f t="shared" si="13"/>
        <v>4.403789985807538E-2</v>
      </c>
      <c r="X71" s="381">
        <v>-3.8E-3</v>
      </c>
      <c r="Y71" s="382">
        <f t="shared" si="14"/>
        <v>5.4057899858075381E-2</v>
      </c>
      <c r="AI71" s="464">
        <f t="shared" si="4"/>
        <v>51</v>
      </c>
      <c r="AJ71" s="473">
        <v>42957</v>
      </c>
      <c r="AK71" s="474">
        <v>19699.419999999998</v>
      </c>
      <c r="AL71" s="475">
        <v>-8.8000000000000005E-3</v>
      </c>
      <c r="AM71" s="475">
        <f t="shared" si="9"/>
        <v>-8.8357099335196754E-3</v>
      </c>
      <c r="AN71" s="464"/>
      <c r="AO71" s="464"/>
      <c r="AR71" s="464">
        <f t="shared" si="5"/>
        <v>51</v>
      </c>
      <c r="AS71" s="464" t="s">
        <v>2587</v>
      </c>
      <c r="AT71" s="381">
        <v>1.15E-2</v>
      </c>
      <c r="AV71" s="464"/>
      <c r="AW71" s="465"/>
    </row>
    <row r="72" spans="2:49" ht="15">
      <c r="B72" s="311">
        <v>43160</v>
      </c>
      <c r="C72" s="381">
        <v>1.3500000000000002E-2</v>
      </c>
      <c r="D72" s="384">
        <v>4.9300000000000004E-3</v>
      </c>
      <c r="J72" s="312">
        <v>44440</v>
      </c>
      <c r="K72" s="313">
        <v>23031.29</v>
      </c>
      <c r="L72" s="18">
        <v>248.07153299999999</v>
      </c>
      <c r="N72" s="4">
        <f t="shared" si="15"/>
        <v>-4.4431647082692427E-2</v>
      </c>
      <c r="O72" s="4">
        <f t="shared" si="11"/>
        <v>-0.20433430332188141</v>
      </c>
      <c r="R72" s="312">
        <v>44440</v>
      </c>
      <c r="S72" s="314">
        <v>23031.29</v>
      </c>
      <c r="T72" s="381">
        <v>1.022E-2</v>
      </c>
      <c r="U72" s="56">
        <f t="shared" si="12"/>
        <v>-4.4431647082692427E-2</v>
      </c>
      <c r="V72" s="381">
        <f t="shared" si="13"/>
        <v>-5.4651647082692427E-2</v>
      </c>
      <c r="X72" s="381">
        <v>-1.91E-3</v>
      </c>
      <c r="Y72" s="382">
        <f t="shared" si="14"/>
        <v>-4.2521647082692425E-2</v>
      </c>
      <c r="AI72" s="464">
        <f t="shared" si="4"/>
        <v>52</v>
      </c>
      <c r="AJ72" s="473">
        <v>42958</v>
      </c>
      <c r="AK72" s="474">
        <v>19544.79</v>
      </c>
      <c r="AL72" s="475">
        <v>-7.7999999999999996E-3</v>
      </c>
      <c r="AM72" s="475">
        <f t="shared" si="9"/>
        <v>-7.849469679817811E-3</v>
      </c>
      <c r="AN72" s="464"/>
      <c r="AO72" s="464"/>
      <c r="AR72" s="464">
        <f t="shared" si="5"/>
        <v>52</v>
      </c>
      <c r="AS72" s="464" t="s">
        <v>2586</v>
      </c>
      <c r="AT72" s="381">
        <v>1.175E-2</v>
      </c>
      <c r="AV72" s="464"/>
      <c r="AW72" s="465"/>
    </row>
    <row r="73" spans="2:49" ht="15">
      <c r="B73" s="311">
        <v>43132</v>
      </c>
      <c r="C73" s="381">
        <v>1.502E-2</v>
      </c>
      <c r="D73" s="384">
        <v>6.5400000000000007E-3</v>
      </c>
      <c r="J73" s="312">
        <v>44470</v>
      </c>
      <c r="K73" s="313">
        <v>23106.61</v>
      </c>
      <c r="L73" s="18">
        <v>239.866837</v>
      </c>
      <c r="N73" s="4">
        <f t="shared" si="15"/>
        <v>3.2703335332062711E-3</v>
      </c>
      <c r="O73" s="4">
        <f t="shared" si="11"/>
        <v>-3.3073911789790023E-2</v>
      </c>
      <c r="R73" s="312">
        <v>44470</v>
      </c>
      <c r="S73" s="314">
        <v>23106.61</v>
      </c>
      <c r="T73" s="381">
        <v>1.0320000000000001E-2</v>
      </c>
      <c r="U73" s="56">
        <f t="shared" si="12"/>
        <v>3.2703335332062711E-3</v>
      </c>
      <c r="V73" s="381">
        <f t="shared" si="13"/>
        <v>-7.04966646679373E-3</v>
      </c>
      <c r="X73" s="381">
        <v>-9.3999999999999997E-4</v>
      </c>
      <c r="Y73" s="382">
        <f t="shared" si="14"/>
        <v>4.2103335332062709E-3</v>
      </c>
      <c r="AI73" s="464">
        <f t="shared" si="4"/>
        <v>53</v>
      </c>
      <c r="AJ73" s="473">
        <v>42961</v>
      </c>
      <c r="AK73" s="474">
        <v>19692.47</v>
      </c>
      <c r="AL73" s="475">
        <v>7.6E-3</v>
      </c>
      <c r="AM73" s="475">
        <f t="shared" si="9"/>
        <v>7.555977833478833E-3</v>
      </c>
      <c r="AN73" s="464"/>
      <c r="AO73" s="464"/>
      <c r="AR73" s="464">
        <f t="shared" si="5"/>
        <v>53</v>
      </c>
      <c r="AS73" s="464" t="s">
        <v>2585</v>
      </c>
      <c r="AT73" s="381">
        <v>1.1770000000000001E-2</v>
      </c>
      <c r="AV73" s="464"/>
      <c r="AW73" s="465"/>
    </row>
    <row r="74" spans="2:49" ht="15">
      <c r="B74" s="311">
        <v>43101</v>
      </c>
      <c r="C74" s="381">
        <v>1.512E-2</v>
      </c>
      <c r="D74" s="384">
        <v>6.9699999999999996E-3</v>
      </c>
      <c r="J74" s="312">
        <v>44501</v>
      </c>
      <c r="K74" s="313">
        <v>22519.72</v>
      </c>
      <c r="L74" s="18">
        <v>223.80351300000001</v>
      </c>
      <c r="N74" s="4">
        <f t="shared" si="15"/>
        <v>-2.5399225589560759E-2</v>
      </c>
      <c r="O74" s="4">
        <f t="shared" si="11"/>
        <v>-6.6967673401221339E-2</v>
      </c>
      <c r="R74" s="312">
        <v>44501</v>
      </c>
      <c r="S74" s="314">
        <v>22519.72</v>
      </c>
      <c r="T74" s="381">
        <v>8.1100000000000009E-3</v>
      </c>
      <c r="U74" s="56">
        <f t="shared" si="12"/>
        <v>-2.5399225589560759E-2</v>
      </c>
      <c r="V74" s="381">
        <f t="shared" si="13"/>
        <v>-3.3509225589560758E-2</v>
      </c>
      <c r="X74" s="381">
        <v>-3.4300000000000003E-3</v>
      </c>
      <c r="Y74" s="382">
        <f t="shared" si="14"/>
        <v>-2.196922558956076E-2</v>
      </c>
      <c r="AI74" s="464">
        <f t="shared" si="4"/>
        <v>54</v>
      </c>
      <c r="AJ74" s="473">
        <v>42962</v>
      </c>
      <c r="AK74" s="474">
        <v>19694.810000000001</v>
      </c>
      <c r="AL74" s="475">
        <v>1E-4</v>
      </c>
      <c r="AM74" s="475">
        <f t="shared" si="9"/>
        <v>1.1882714560429442E-4</v>
      </c>
      <c r="AN74" s="464"/>
      <c r="AO74" s="464"/>
      <c r="AR74" s="464">
        <f t="shared" si="5"/>
        <v>54</v>
      </c>
      <c r="AS74" s="464" t="s">
        <v>2584</v>
      </c>
      <c r="AT74" s="381">
        <v>1.1770000000000001E-2</v>
      </c>
      <c r="AV74" s="464"/>
      <c r="AW74" s="465"/>
    </row>
    <row r="75" spans="2:49" ht="15">
      <c r="B75" s="311">
        <v>43070</v>
      </c>
      <c r="C75" s="381">
        <v>1.188E-2</v>
      </c>
      <c r="D75" s="384">
        <v>4.2699999999999995E-3</v>
      </c>
      <c r="J75" s="312">
        <v>44531</v>
      </c>
      <c r="K75" s="313">
        <v>23480.81</v>
      </c>
      <c r="L75" s="18">
        <v>228.201401</v>
      </c>
      <c r="N75" s="4">
        <f t="shared" si="15"/>
        <v>4.267770647237179E-2</v>
      </c>
      <c r="O75" s="4">
        <f t="shared" si="11"/>
        <v>1.9650665626504304E-2</v>
      </c>
      <c r="R75" s="312">
        <v>44531</v>
      </c>
      <c r="S75" s="314">
        <v>23480.81</v>
      </c>
      <c r="T75" s="381">
        <v>9.7199999999999995E-3</v>
      </c>
      <c r="U75" s="56">
        <f t="shared" si="12"/>
        <v>4.267770647237179E-2</v>
      </c>
      <c r="V75" s="381">
        <f t="shared" si="13"/>
        <v>3.2957706472371791E-2</v>
      </c>
      <c r="X75" s="381">
        <v>-1.7899999999999999E-3</v>
      </c>
      <c r="Y75" s="382">
        <f t="shared" si="14"/>
        <v>4.446770647237179E-2</v>
      </c>
      <c r="AI75" s="464">
        <f t="shared" si="4"/>
        <v>55</v>
      </c>
      <c r="AJ75" s="473">
        <v>42963</v>
      </c>
      <c r="AK75" s="474">
        <v>19859.240000000002</v>
      </c>
      <c r="AL75" s="475">
        <v>8.3000000000000001E-3</v>
      </c>
      <c r="AM75" s="475">
        <f t="shared" si="9"/>
        <v>8.3489000401628655E-3</v>
      </c>
      <c r="AN75" s="464"/>
      <c r="AO75" s="464"/>
      <c r="AR75" s="464">
        <f t="shared" si="5"/>
        <v>55</v>
      </c>
      <c r="AS75" s="464" t="s">
        <v>2583</v>
      </c>
      <c r="AT75" s="381">
        <v>1.141E-2</v>
      </c>
      <c r="AV75" s="464"/>
      <c r="AW75" s="465"/>
    </row>
    <row r="76" spans="2:49" ht="15">
      <c r="B76" s="311">
        <v>43040</v>
      </c>
      <c r="C76" s="381">
        <v>1.3309999999999999E-2</v>
      </c>
      <c r="D76" s="384">
        <v>3.6700000000000001E-3</v>
      </c>
      <c r="J76" s="312">
        <v>44562</v>
      </c>
      <c r="K76" s="313">
        <v>21926.62</v>
      </c>
      <c r="L76" s="18">
        <v>185.688492</v>
      </c>
      <c r="N76" s="4">
        <f t="shared" si="15"/>
        <v>-6.6189794985777817E-2</v>
      </c>
      <c r="O76" s="4">
        <f t="shared" si="11"/>
        <v>-0.186295565293221</v>
      </c>
      <c r="R76" s="312">
        <v>44562</v>
      </c>
      <c r="S76" s="314">
        <v>21926.62</v>
      </c>
      <c r="T76" s="381">
        <v>1.3089999999999999E-2</v>
      </c>
      <c r="U76" s="56">
        <f t="shared" si="12"/>
        <v>-6.6189794985777817E-2</v>
      </c>
      <c r="V76" s="381">
        <f t="shared" si="13"/>
        <v>-7.9279794985777821E-2</v>
      </c>
      <c r="X76" s="381">
        <v>1.4000000000000001E-4</v>
      </c>
      <c r="Y76" s="382">
        <f t="shared" si="14"/>
        <v>-6.6329794985777818E-2</v>
      </c>
      <c r="AI76" s="464">
        <f t="shared" si="4"/>
        <v>56</v>
      </c>
      <c r="AJ76" s="473">
        <v>42964</v>
      </c>
      <c r="AK76" s="474">
        <v>19773.080000000002</v>
      </c>
      <c r="AL76" s="475">
        <v>-4.3E-3</v>
      </c>
      <c r="AM76" s="475">
        <f t="shared" si="9"/>
        <v>-4.3385346065609731E-3</v>
      </c>
      <c r="AN76" s="464"/>
      <c r="AO76" s="464"/>
      <c r="AR76" s="464">
        <f t="shared" si="5"/>
        <v>56</v>
      </c>
      <c r="AS76" s="464" t="s">
        <v>2582</v>
      </c>
      <c r="AT76" s="381">
        <v>1.157E-2</v>
      </c>
      <c r="AV76" s="464"/>
      <c r="AW76" s="465"/>
    </row>
    <row r="77" spans="2:49" ht="15">
      <c r="B77" s="311">
        <v>43009</v>
      </c>
      <c r="C77" s="381">
        <v>1.333E-2</v>
      </c>
      <c r="D77" s="384">
        <v>3.64E-3</v>
      </c>
      <c r="J77" s="312">
        <v>44593</v>
      </c>
      <c r="K77" s="313">
        <v>21081.05</v>
      </c>
      <c r="L77" s="18">
        <v>183.342972</v>
      </c>
      <c r="N77" s="4">
        <f t="shared" si="15"/>
        <v>-3.8563627225719266E-2</v>
      </c>
      <c r="O77" s="4">
        <f t="shared" si="11"/>
        <v>-1.2631477453109996E-2</v>
      </c>
      <c r="R77" s="312">
        <v>44593</v>
      </c>
      <c r="S77" s="314">
        <v>21081.05</v>
      </c>
      <c r="T77" s="381">
        <v>1.4150000000000001E-2</v>
      </c>
      <c r="U77" s="56">
        <f t="shared" si="12"/>
        <v>-3.8563627225719266E-2</v>
      </c>
      <c r="V77" s="381">
        <f t="shared" si="13"/>
        <v>-5.2713627225719269E-2</v>
      </c>
      <c r="X77" s="381">
        <v>1.5900000000000001E-3</v>
      </c>
      <c r="Y77" s="382">
        <f t="shared" si="14"/>
        <v>-4.0153627225719267E-2</v>
      </c>
      <c r="AI77" s="464">
        <f t="shared" si="4"/>
        <v>57</v>
      </c>
      <c r="AJ77" s="473">
        <v>42965</v>
      </c>
      <c r="AK77" s="474">
        <v>19626.46</v>
      </c>
      <c r="AL77" s="475">
        <v>-7.4000000000000003E-3</v>
      </c>
      <c r="AM77" s="475">
        <f t="shared" si="9"/>
        <v>-7.4151320886782779E-3</v>
      </c>
      <c r="AN77" s="464"/>
      <c r="AO77" s="464"/>
      <c r="AR77" s="464">
        <f t="shared" si="5"/>
        <v>57</v>
      </c>
      <c r="AS77" s="464" t="s">
        <v>2581</v>
      </c>
      <c r="AT77" s="381">
        <v>1.111E-2</v>
      </c>
      <c r="AV77" s="464"/>
      <c r="AW77" s="465"/>
    </row>
    <row r="78" spans="2:49" ht="15">
      <c r="B78" s="311">
        <v>42979</v>
      </c>
      <c r="C78" s="381">
        <v>1.366E-2</v>
      </c>
      <c r="D78" s="384">
        <v>4.64E-3</v>
      </c>
      <c r="J78" s="312">
        <v>44621</v>
      </c>
      <c r="K78" s="313">
        <v>21160.07</v>
      </c>
      <c r="L78" s="18">
        <v>179.86752300000001</v>
      </c>
      <c r="N78" s="4">
        <f t="shared" si="15"/>
        <v>3.7483901418573495E-3</v>
      </c>
      <c r="O78" s="4">
        <f t="shared" si="11"/>
        <v>-1.8955997942479041E-2</v>
      </c>
      <c r="R78" s="312">
        <v>44621</v>
      </c>
      <c r="S78" s="314">
        <v>21160.07</v>
      </c>
      <c r="T78" s="381">
        <v>1.6070000000000001E-2</v>
      </c>
      <c r="U78" s="56">
        <f t="shared" si="12"/>
        <v>3.7483901418573495E-3</v>
      </c>
      <c r="V78" s="381">
        <f t="shared" si="13"/>
        <v>-1.2321609858142651E-2</v>
      </c>
      <c r="X78" s="381">
        <v>5.47E-3</v>
      </c>
      <c r="Y78" s="382">
        <f t="shared" si="14"/>
        <v>-1.7216098581426505E-3</v>
      </c>
      <c r="AI78" s="464">
        <f t="shared" si="4"/>
        <v>58</v>
      </c>
      <c r="AJ78" s="473">
        <v>42968</v>
      </c>
      <c r="AK78" s="474">
        <v>19646.900000000001</v>
      </c>
      <c r="AL78" s="475">
        <v>1E-3</v>
      </c>
      <c r="AM78" s="475">
        <f t="shared" si="9"/>
        <v>1.0414511837590901E-3</v>
      </c>
      <c r="AN78" s="464"/>
      <c r="AO78" s="464"/>
      <c r="AR78" s="464">
        <f t="shared" si="5"/>
        <v>58</v>
      </c>
      <c r="AS78" s="464" t="s">
        <v>2580</v>
      </c>
      <c r="AT78" s="381">
        <v>1.0820000000000001E-2</v>
      </c>
      <c r="AV78" s="464"/>
      <c r="AW78" s="465"/>
    </row>
    <row r="79" spans="2:49" ht="15">
      <c r="B79" s="311">
        <v>42948</v>
      </c>
      <c r="C79" s="381">
        <v>1.0360000000000001E-2</v>
      </c>
      <c r="D79" s="384">
        <v>3.5899999999999999E-3</v>
      </c>
      <c r="J79" s="312">
        <v>44652</v>
      </c>
      <c r="K79" s="313">
        <v>20708.71</v>
      </c>
      <c r="L79" s="18">
        <v>180.26151999999999</v>
      </c>
      <c r="N79" s="4">
        <f t="shared" si="15"/>
        <v>-2.1330742289604965E-2</v>
      </c>
      <c r="O79" s="4">
        <f t="shared" si="11"/>
        <v>2.1904843822193598E-3</v>
      </c>
      <c r="R79" s="312">
        <v>44652</v>
      </c>
      <c r="S79" s="314">
        <v>20708.71</v>
      </c>
      <c r="T79" s="381">
        <v>1.9089999999999999E-2</v>
      </c>
      <c r="U79" s="56">
        <f t="shared" si="12"/>
        <v>-2.1330742289604965E-2</v>
      </c>
      <c r="V79" s="381">
        <f t="shared" si="13"/>
        <v>-4.0420742289604961E-2</v>
      </c>
      <c r="X79" s="381">
        <v>9.3500000000000007E-3</v>
      </c>
      <c r="Y79" s="382">
        <f t="shared" si="14"/>
        <v>-3.0680742289604965E-2</v>
      </c>
      <c r="AI79" s="464">
        <f t="shared" si="4"/>
        <v>59</v>
      </c>
      <c r="AJ79" s="473">
        <v>42969</v>
      </c>
      <c r="AK79" s="474">
        <v>19751.2</v>
      </c>
      <c r="AL79" s="475">
        <v>5.3E-3</v>
      </c>
      <c r="AM79" s="475">
        <f t="shared" si="9"/>
        <v>5.3087255495778418E-3</v>
      </c>
      <c r="AN79" s="464"/>
      <c r="AO79" s="464"/>
      <c r="AR79" s="464">
        <f t="shared" si="5"/>
        <v>59</v>
      </c>
      <c r="AS79" s="464" t="s">
        <v>2579</v>
      </c>
      <c r="AT79" s="381">
        <v>1.0629999999999999E-2</v>
      </c>
      <c r="AV79" s="464"/>
      <c r="AW79" s="465"/>
    </row>
    <row r="80" spans="2:49" ht="15">
      <c r="B80" s="311">
        <v>42917</v>
      </c>
      <c r="C80" s="381">
        <v>1.2310000000000001E-2</v>
      </c>
      <c r="D80" s="384">
        <v>5.3300000000000005E-3</v>
      </c>
      <c r="J80" s="312">
        <v>44682</v>
      </c>
      <c r="K80" s="313">
        <v>20417.95</v>
      </c>
      <c r="L80" s="18">
        <v>211.782669</v>
      </c>
      <c r="N80" s="4">
        <f t="shared" si="15"/>
        <v>-1.4040468962093655E-2</v>
      </c>
      <c r="O80" s="4">
        <f t="shared" si="11"/>
        <v>0.17486343729931941</v>
      </c>
      <c r="R80" s="312">
        <v>44682</v>
      </c>
      <c r="S80" s="314">
        <v>20417.95</v>
      </c>
      <c r="T80" s="381">
        <v>2.1000000000000001E-2</v>
      </c>
      <c r="U80" s="56">
        <f t="shared" si="12"/>
        <v>-1.4040468962093655E-2</v>
      </c>
      <c r="V80" s="381">
        <f t="shared" si="13"/>
        <v>-3.504046896209366E-2</v>
      </c>
      <c r="X80" s="381">
        <v>1.1270000000000001E-2</v>
      </c>
      <c r="Y80" s="382">
        <f t="shared" si="14"/>
        <v>-2.5310468962093657E-2</v>
      </c>
      <c r="AI80" s="464">
        <f t="shared" si="4"/>
        <v>60</v>
      </c>
      <c r="AJ80" s="473">
        <v>42970</v>
      </c>
      <c r="AK80" s="474">
        <v>19743.22</v>
      </c>
      <c r="AL80" s="475">
        <v>-4.0000000000000002E-4</v>
      </c>
      <c r="AM80" s="475">
        <f t="shared" si="9"/>
        <v>-4.0402608449108257E-4</v>
      </c>
      <c r="AN80" s="464"/>
      <c r="AO80" s="464"/>
      <c r="AR80" s="464">
        <f t="shared" si="5"/>
        <v>60</v>
      </c>
      <c r="AS80" s="464" t="s">
        <v>2578</v>
      </c>
      <c r="AT80" s="381">
        <v>1.072E-2</v>
      </c>
      <c r="AV80" s="464"/>
      <c r="AW80" s="465"/>
    </row>
    <row r="81" spans="2:49" ht="15">
      <c r="B81" s="311">
        <v>42887</v>
      </c>
      <c r="C81" s="381">
        <v>1.2589999999999999E-2</v>
      </c>
      <c r="D81" s="384">
        <v>4.6500000000000005E-3</v>
      </c>
      <c r="J81" s="312">
        <v>44713</v>
      </c>
      <c r="K81" s="313">
        <v>18666.8</v>
      </c>
      <c r="L81" s="18">
        <v>184.39866599999999</v>
      </c>
      <c r="N81" s="4">
        <f t="shared" si="15"/>
        <v>-8.5765221288131355E-2</v>
      </c>
      <c r="O81" s="4">
        <f t="shared" si="11"/>
        <v>-0.12930237931792243</v>
      </c>
      <c r="R81" s="312">
        <v>44713</v>
      </c>
      <c r="S81" s="314">
        <v>18666.8</v>
      </c>
      <c r="T81" s="381">
        <v>2.2400000000000003E-2</v>
      </c>
      <c r="U81" s="56">
        <f t="shared" si="12"/>
        <v>-8.5765221288131355E-2</v>
      </c>
      <c r="V81" s="381">
        <f t="shared" si="13"/>
        <v>-0.10816522128813136</v>
      </c>
      <c r="X81" s="381">
        <v>1.3680000000000001E-2</v>
      </c>
      <c r="Y81" s="382">
        <f t="shared" si="14"/>
        <v>-9.9445221288131352E-2</v>
      </c>
      <c r="AI81" s="464">
        <f t="shared" si="4"/>
        <v>61</v>
      </c>
      <c r="AJ81" s="473">
        <v>42971</v>
      </c>
      <c r="AK81" s="474">
        <v>19710.3</v>
      </c>
      <c r="AL81" s="475">
        <v>-1.6999999999999999E-3</v>
      </c>
      <c r="AM81" s="475">
        <f t="shared" si="9"/>
        <v>-1.667407849378244E-3</v>
      </c>
      <c r="AN81" s="464"/>
      <c r="AO81" s="464"/>
      <c r="AR81" s="464">
        <f t="shared" si="5"/>
        <v>61</v>
      </c>
      <c r="AS81" s="464" t="s">
        <v>2577</v>
      </c>
      <c r="AT81" s="381">
        <v>1.085E-2</v>
      </c>
      <c r="AV81" s="464"/>
      <c r="AW81" s="465"/>
    </row>
    <row r="82" spans="2:49" ht="15">
      <c r="B82" s="312"/>
      <c r="D82" s="384"/>
      <c r="AI82" s="464">
        <f t="shared" si="4"/>
        <v>62</v>
      </c>
      <c r="AJ82" s="473">
        <v>42972</v>
      </c>
      <c r="AK82" s="474">
        <v>19671.330000000002</v>
      </c>
      <c r="AL82" s="475">
        <v>-2E-3</v>
      </c>
      <c r="AM82" s="475">
        <f t="shared" si="9"/>
        <v>-1.9771388563338821E-3</v>
      </c>
      <c r="AN82" s="464"/>
      <c r="AO82" s="464"/>
      <c r="AR82" s="464">
        <f t="shared" si="5"/>
        <v>62</v>
      </c>
      <c r="AS82" s="464" t="s">
        <v>2576</v>
      </c>
      <c r="AT82" s="381">
        <v>1.1049999999999999E-2</v>
      </c>
      <c r="AV82" s="464"/>
      <c r="AW82" s="465"/>
    </row>
    <row r="83" spans="2:49" ht="15">
      <c r="B83" s="312"/>
      <c r="D83" s="384"/>
      <c r="N83" s="316">
        <f>AVERAGE(N22:N81)</f>
        <v>6.6698184534040117E-4</v>
      </c>
      <c r="V83" s="504">
        <f>AVERAGE(V22:V81)</f>
        <v>-8.9351848213262679E-3</v>
      </c>
      <c r="W83" s="69"/>
      <c r="Y83" s="383">
        <f>AVERAGE(Y22:Y81)</f>
        <v>7.5681517867373421E-4</v>
      </c>
      <c r="AI83" s="464">
        <f t="shared" si="4"/>
        <v>63</v>
      </c>
      <c r="AJ83" s="473">
        <v>42976</v>
      </c>
      <c r="AK83" s="474">
        <v>19527.89</v>
      </c>
      <c r="AL83" s="475">
        <v>-7.3000000000000001E-3</v>
      </c>
      <c r="AM83" s="475">
        <f t="shared" si="9"/>
        <v>-7.2918302931221923E-3</v>
      </c>
      <c r="AN83" s="464"/>
      <c r="AO83" s="464"/>
      <c r="AR83" s="464">
        <f t="shared" si="5"/>
        <v>63</v>
      </c>
      <c r="AS83" s="464" t="s">
        <v>2575</v>
      </c>
      <c r="AT83" s="381">
        <v>1.0960000000000001E-2</v>
      </c>
      <c r="AV83" s="464"/>
      <c r="AW83" s="465"/>
    </row>
    <row r="84" spans="2:49" ht="15">
      <c r="B84" s="312"/>
      <c r="D84" s="384"/>
      <c r="N84" s="56"/>
      <c r="AI84" s="464">
        <f t="shared" si="4"/>
        <v>64</v>
      </c>
      <c r="AJ84" s="473">
        <v>42977</v>
      </c>
      <c r="AK84" s="474">
        <v>19616.560000000001</v>
      </c>
      <c r="AL84" s="475">
        <v>4.4999999999999997E-3</v>
      </c>
      <c r="AM84" s="475">
        <f t="shared" si="9"/>
        <v>4.5406851431466499E-3</v>
      </c>
      <c r="AN84" s="464"/>
      <c r="AO84" s="464"/>
      <c r="AR84" s="464">
        <f t="shared" si="5"/>
        <v>64</v>
      </c>
      <c r="AS84" s="464" t="s">
        <v>2574</v>
      </c>
      <c r="AT84" s="381">
        <v>1.09E-2</v>
      </c>
      <c r="AV84" s="464"/>
      <c r="AW84" s="465"/>
    </row>
    <row r="85" spans="2:49" ht="15">
      <c r="B85" s="312"/>
      <c r="D85" s="384"/>
      <c r="N85" s="56"/>
      <c r="AI85" s="464">
        <f t="shared" ref="AI85:AI148" si="16">AI84+1</f>
        <v>65</v>
      </c>
      <c r="AJ85" s="473">
        <v>42978</v>
      </c>
      <c r="AK85" s="474">
        <v>19803.59</v>
      </c>
      <c r="AL85" s="475">
        <v>9.4999999999999998E-3</v>
      </c>
      <c r="AM85" s="475">
        <f t="shared" si="9"/>
        <v>9.5342914353995223E-3</v>
      </c>
      <c r="AN85" s="464"/>
      <c r="AO85" s="464"/>
      <c r="AR85" s="464">
        <f t="shared" ref="AR85:AR148" si="17">AR84+1</f>
        <v>65</v>
      </c>
      <c r="AS85" s="464" t="s">
        <v>2573</v>
      </c>
      <c r="AT85" s="381">
        <v>1.073E-2</v>
      </c>
      <c r="AV85" s="464"/>
      <c r="AW85" s="465"/>
    </row>
    <row r="86" spans="2:49" ht="15">
      <c r="B86" s="312"/>
      <c r="D86" s="384"/>
      <c r="N86" s="56"/>
      <c r="AI86" s="464">
        <f t="shared" si="16"/>
        <v>66</v>
      </c>
      <c r="AJ86" s="473">
        <v>42979</v>
      </c>
      <c r="AK86" s="474">
        <v>19786.18</v>
      </c>
      <c r="AL86" s="475">
        <v>-8.9999999999999998E-4</v>
      </c>
      <c r="AM86" s="475">
        <f t="shared" ref="AM86:AM149" si="18">AK86/AK85-1</f>
        <v>-8.7913353083957091E-4</v>
      </c>
      <c r="AN86" s="464"/>
      <c r="AO86" s="464"/>
      <c r="AR86" s="464">
        <f t="shared" si="17"/>
        <v>66</v>
      </c>
      <c r="AS86" s="464" t="s">
        <v>2572</v>
      </c>
      <c r="AT86" s="381">
        <v>1.0880000000000001E-2</v>
      </c>
      <c r="AV86" s="464"/>
      <c r="AW86" s="465"/>
    </row>
    <row r="87" spans="2:49" ht="15">
      <c r="B87" s="312"/>
      <c r="D87" s="384"/>
      <c r="N87" s="56"/>
      <c r="AI87" s="464">
        <f t="shared" si="16"/>
        <v>67</v>
      </c>
      <c r="AJ87" s="473">
        <v>42982</v>
      </c>
      <c r="AK87" s="474">
        <v>19697.91</v>
      </c>
      <c r="AL87" s="475">
        <v>-4.4999999999999997E-3</v>
      </c>
      <c r="AM87" s="475">
        <f t="shared" si="18"/>
        <v>-4.4611946318087181E-3</v>
      </c>
      <c r="AN87" s="464"/>
      <c r="AO87" s="464"/>
      <c r="AR87" s="464">
        <f t="shared" si="17"/>
        <v>67</v>
      </c>
      <c r="AS87" s="464" t="s">
        <v>2571</v>
      </c>
      <c r="AT87" s="381">
        <v>1.0589999999999999E-2</v>
      </c>
      <c r="AV87" s="464"/>
      <c r="AW87" s="465"/>
    </row>
    <row r="88" spans="2:49" ht="15">
      <c r="B88" s="312"/>
      <c r="D88" s="384"/>
      <c r="N88" s="56"/>
      <c r="AI88" s="464">
        <f t="shared" si="16"/>
        <v>68</v>
      </c>
      <c r="AJ88" s="473">
        <v>42983</v>
      </c>
      <c r="AK88" s="474">
        <v>19726.830000000002</v>
      </c>
      <c r="AL88" s="475">
        <v>1.5E-3</v>
      </c>
      <c r="AM88" s="475">
        <f t="shared" si="18"/>
        <v>1.4681760653796339E-3</v>
      </c>
      <c r="AN88" s="464"/>
      <c r="AO88" s="464"/>
      <c r="AR88" s="464">
        <f t="shared" si="17"/>
        <v>68</v>
      </c>
      <c r="AS88" s="464" t="s">
        <v>2570</v>
      </c>
      <c r="AT88" s="381">
        <v>1.056E-2</v>
      </c>
      <c r="AV88" s="464"/>
      <c r="AW88" s="465"/>
    </row>
    <row r="89" spans="2:49" ht="15">
      <c r="B89" s="312"/>
      <c r="D89" s="384"/>
      <c r="AI89" s="464">
        <f t="shared" si="16"/>
        <v>69</v>
      </c>
      <c r="AJ89" s="473">
        <v>42984</v>
      </c>
      <c r="AK89" s="474">
        <v>19652.310000000001</v>
      </c>
      <c r="AL89" s="475">
        <v>-3.8E-3</v>
      </c>
      <c r="AM89" s="475">
        <f t="shared" si="18"/>
        <v>-3.7775962990506118E-3</v>
      </c>
      <c r="AN89" s="464"/>
      <c r="AO89" s="464"/>
      <c r="AR89" s="464">
        <f t="shared" si="17"/>
        <v>69</v>
      </c>
      <c r="AS89" s="464" t="s">
        <v>2569</v>
      </c>
      <c r="AT89" s="381">
        <v>1.0529999999999999E-2</v>
      </c>
      <c r="AV89" s="464"/>
      <c r="AW89" s="465"/>
    </row>
    <row r="90" spans="2:49" ht="15">
      <c r="B90" s="312"/>
      <c r="D90" s="384"/>
      <c r="AI90" s="464">
        <f t="shared" si="16"/>
        <v>70</v>
      </c>
      <c r="AJ90" s="473">
        <v>42985</v>
      </c>
      <c r="AK90" s="474">
        <v>19696.68</v>
      </c>
      <c r="AL90" s="475">
        <v>2.3E-3</v>
      </c>
      <c r="AM90" s="475">
        <f t="shared" si="18"/>
        <v>2.2577498523073114E-3</v>
      </c>
      <c r="AN90" s="464"/>
      <c r="AO90" s="464"/>
      <c r="AR90" s="464">
        <f t="shared" si="17"/>
        <v>70</v>
      </c>
      <c r="AS90" s="464" t="s">
        <v>2568</v>
      </c>
      <c r="AT90" s="381">
        <v>9.9799999999999993E-3</v>
      </c>
      <c r="AV90" s="464"/>
      <c r="AW90" s="465"/>
    </row>
    <row r="91" spans="2:49" ht="15">
      <c r="B91" s="312"/>
      <c r="D91" s="384"/>
      <c r="J91" s="4" t="s">
        <v>771</v>
      </c>
      <c r="AI91" s="464">
        <f t="shared" si="16"/>
        <v>71</v>
      </c>
      <c r="AJ91" s="473">
        <v>42986</v>
      </c>
      <c r="AK91" s="474">
        <v>19610.400000000001</v>
      </c>
      <c r="AL91" s="475">
        <v>-4.4000000000000003E-3</v>
      </c>
      <c r="AM91" s="475">
        <f t="shared" si="18"/>
        <v>-4.3804336568395996E-3</v>
      </c>
      <c r="AN91" s="464"/>
      <c r="AO91" s="464"/>
      <c r="AR91" s="464">
        <f t="shared" si="17"/>
        <v>71</v>
      </c>
      <c r="AS91" s="464" t="s">
        <v>2567</v>
      </c>
      <c r="AT91" s="381">
        <v>1.031E-2</v>
      </c>
      <c r="AV91" s="464"/>
      <c r="AW91" s="465"/>
    </row>
    <row r="92" spans="2:49" ht="16" thickBot="1">
      <c r="B92" s="312"/>
      <c r="D92" s="384"/>
      <c r="AI92" s="464">
        <f t="shared" si="16"/>
        <v>72</v>
      </c>
      <c r="AJ92" s="473">
        <v>42989</v>
      </c>
      <c r="AK92" s="474">
        <v>19694.259999999998</v>
      </c>
      <c r="AL92" s="475">
        <v>4.3E-3</v>
      </c>
      <c r="AM92" s="475">
        <f t="shared" si="18"/>
        <v>4.276302370170848E-3</v>
      </c>
      <c r="AN92" s="464"/>
      <c r="AO92" s="464"/>
      <c r="AR92" s="464">
        <f t="shared" si="17"/>
        <v>72</v>
      </c>
      <c r="AS92" s="464" t="s">
        <v>2566</v>
      </c>
      <c r="AT92" s="381">
        <v>1.0360000000000001E-2</v>
      </c>
      <c r="AV92" s="464"/>
      <c r="AW92" s="465"/>
    </row>
    <row r="93" spans="2:49" ht="15">
      <c r="B93" s="312"/>
      <c r="D93" s="384"/>
      <c r="J93" s="443" t="s">
        <v>772</v>
      </c>
      <c r="K93" s="443"/>
      <c r="AI93" s="464">
        <f t="shared" si="16"/>
        <v>73</v>
      </c>
      <c r="AJ93" s="473">
        <v>42990</v>
      </c>
      <c r="AK93" s="474">
        <v>19665.87</v>
      </c>
      <c r="AL93" s="475">
        <v>-1.4E-3</v>
      </c>
      <c r="AM93" s="475">
        <f t="shared" si="18"/>
        <v>-1.4415367726433592E-3</v>
      </c>
      <c r="AN93" s="464"/>
      <c r="AO93" s="464"/>
      <c r="AR93" s="464">
        <f t="shared" si="17"/>
        <v>73</v>
      </c>
      <c r="AS93" s="464" t="s">
        <v>2565</v>
      </c>
      <c r="AT93" s="381">
        <v>1.057E-2</v>
      </c>
      <c r="AV93" s="464"/>
      <c r="AW93" s="465"/>
    </row>
    <row r="94" spans="2:49" ht="15">
      <c r="B94" s="312"/>
      <c r="D94" s="384"/>
      <c r="J94" s="4" t="s">
        <v>773</v>
      </c>
      <c r="K94" s="4">
        <v>0.46781100592904534</v>
      </c>
      <c r="AI94" s="464">
        <f t="shared" si="16"/>
        <v>74</v>
      </c>
      <c r="AJ94" s="473">
        <v>42991</v>
      </c>
      <c r="AK94" s="474">
        <v>19589.97</v>
      </c>
      <c r="AL94" s="475">
        <v>-3.8999999999999998E-3</v>
      </c>
      <c r="AM94" s="475">
        <f t="shared" si="18"/>
        <v>-3.8594783754798412E-3</v>
      </c>
      <c r="AN94" s="464"/>
      <c r="AO94" s="464"/>
      <c r="AR94" s="464">
        <f t="shared" si="17"/>
        <v>74</v>
      </c>
      <c r="AS94" s="464" t="s">
        <v>2564</v>
      </c>
      <c r="AT94" s="381">
        <v>1.0580000000000001E-2</v>
      </c>
      <c r="AV94" s="464"/>
      <c r="AW94" s="465"/>
    </row>
    <row r="95" spans="2:49" ht="15">
      <c r="B95" s="312"/>
      <c r="D95" s="384"/>
      <c r="J95" s="4" t="s">
        <v>774</v>
      </c>
      <c r="K95" s="274">
        <v>0.21884713726834529</v>
      </c>
      <c r="AI95" s="464">
        <f t="shared" si="16"/>
        <v>75</v>
      </c>
      <c r="AJ95" s="473">
        <v>42992</v>
      </c>
      <c r="AK95" s="474">
        <v>19523.939999999999</v>
      </c>
      <c r="AL95" s="475">
        <v>-3.3999999999999998E-3</v>
      </c>
      <c r="AM95" s="475">
        <f t="shared" si="18"/>
        <v>-3.3706024052105876E-3</v>
      </c>
      <c r="AN95" s="464"/>
      <c r="AO95" s="464"/>
      <c r="AR95" s="464">
        <f t="shared" si="17"/>
        <v>75</v>
      </c>
      <c r="AS95" s="464" t="s">
        <v>2563</v>
      </c>
      <c r="AT95" s="381">
        <v>1.0129999999999998E-2</v>
      </c>
      <c r="AV95" s="464"/>
      <c r="AW95" s="465"/>
    </row>
    <row r="96" spans="2:49" ht="15">
      <c r="B96" s="312"/>
      <c r="D96" s="384"/>
      <c r="J96" s="4" t="s">
        <v>775</v>
      </c>
      <c r="K96" s="4">
        <v>0.20537898446262712</v>
      </c>
      <c r="AI96" s="464">
        <f t="shared" si="16"/>
        <v>76</v>
      </c>
      <c r="AJ96" s="473">
        <v>42993</v>
      </c>
      <c r="AK96" s="474">
        <v>19378.16</v>
      </c>
      <c r="AL96" s="475">
        <v>-7.4999999999999997E-3</v>
      </c>
      <c r="AM96" s="475">
        <f t="shared" si="18"/>
        <v>-7.4667305881906954E-3</v>
      </c>
      <c r="AN96" s="464"/>
      <c r="AO96" s="464"/>
      <c r="AR96" s="464">
        <f t="shared" si="17"/>
        <v>76</v>
      </c>
      <c r="AS96" s="464" t="s">
        <v>2562</v>
      </c>
      <c r="AT96" s="381">
        <v>1.0049999999999998E-2</v>
      </c>
      <c r="AV96" s="464"/>
      <c r="AW96" s="465"/>
    </row>
    <row r="97" spans="2:49" ht="15">
      <c r="B97" s="312"/>
      <c r="D97" s="384"/>
      <c r="J97" s="4" t="s">
        <v>776</v>
      </c>
      <c r="K97" s="4">
        <v>9.3620506064366893E-2</v>
      </c>
      <c r="AI97" s="464">
        <f t="shared" si="16"/>
        <v>77</v>
      </c>
      <c r="AJ97" s="473">
        <v>42996</v>
      </c>
      <c r="AK97" s="474">
        <v>19437.849999999999</v>
      </c>
      <c r="AL97" s="475">
        <v>3.0999999999999999E-3</v>
      </c>
      <c r="AM97" s="475">
        <f t="shared" si="18"/>
        <v>3.0802718111522243E-3</v>
      </c>
      <c r="AN97" s="464"/>
      <c r="AO97" s="464"/>
      <c r="AR97" s="464">
        <f t="shared" si="17"/>
        <v>77</v>
      </c>
      <c r="AS97" s="464" t="s">
        <v>2561</v>
      </c>
      <c r="AT97" s="381">
        <v>9.7000000000000003E-3</v>
      </c>
      <c r="AV97" s="464"/>
      <c r="AW97" s="465"/>
    </row>
    <row r="98" spans="2:49" ht="16" thickBot="1">
      <c r="B98" s="312"/>
      <c r="D98" s="384"/>
      <c r="J98" s="306" t="s">
        <v>777</v>
      </c>
      <c r="K98" s="306">
        <v>60</v>
      </c>
      <c r="AI98" s="464">
        <f t="shared" si="16"/>
        <v>78</v>
      </c>
      <c r="AJ98" s="473">
        <v>42997</v>
      </c>
      <c r="AK98" s="474">
        <v>19535.48</v>
      </c>
      <c r="AL98" s="475">
        <v>5.0000000000000001E-3</v>
      </c>
      <c r="AM98" s="475">
        <f t="shared" si="18"/>
        <v>5.0226748328647819E-3</v>
      </c>
      <c r="AN98" s="464"/>
      <c r="AO98" s="464"/>
      <c r="AR98" s="464">
        <f t="shared" si="17"/>
        <v>78</v>
      </c>
      <c r="AS98" s="464" t="s">
        <v>2560</v>
      </c>
      <c r="AT98" s="381">
        <v>9.8999999999999991E-3</v>
      </c>
      <c r="AV98" s="464"/>
      <c r="AW98" s="465"/>
    </row>
    <row r="99" spans="2:49" ht="15">
      <c r="B99" s="312"/>
      <c r="D99" s="384"/>
      <c r="AI99" s="464">
        <f t="shared" si="16"/>
        <v>79</v>
      </c>
      <c r="AJ99" s="473">
        <v>42998</v>
      </c>
      <c r="AK99" s="474">
        <v>19540.77</v>
      </c>
      <c r="AL99" s="475">
        <v>2.9999999999999997E-4</v>
      </c>
      <c r="AM99" s="475">
        <f t="shared" si="18"/>
        <v>2.7078935352498057E-4</v>
      </c>
      <c r="AN99" s="464"/>
      <c r="AO99" s="464"/>
      <c r="AR99" s="464">
        <f t="shared" si="17"/>
        <v>79</v>
      </c>
      <c r="AS99" s="464" t="s">
        <v>2559</v>
      </c>
      <c r="AT99" s="381">
        <v>9.8999999999999991E-3</v>
      </c>
      <c r="AV99" s="464"/>
      <c r="AW99" s="465"/>
    </row>
    <row r="100" spans="2:49" ht="16" thickBot="1">
      <c r="B100" s="312"/>
      <c r="D100" s="384"/>
      <c r="J100" s="4" t="s">
        <v>778</v>
      </c>
      <c r="AI100" s="464">
        <f t="shared" si="16"/>
        <v>80</v>
      </c>
      <c r="AJ100" s="473">
        <v>42999</v>
      </c>
      <c r="AK100" s="474">
        <v>19418.330000000002</v>
      </c>
      <c r="AL100" s="475">
        <v>-6.3E-3</v>
      </c>
      <c r="AM100" s="475">
        <f t="shared" si="18"/>
        <v>-6.2658738626982791E-3</v>
      </c>
      <c r="AN100" s="464"/>
      <c r="AO100" s="464"/>
      <c r="AR100" s="464">
        <f t="shared" si="17"/>
        <v>80</v>
      </c>
      <c r="AS100" s="464" t="s">
        <v>2558</v>
      </c>
      <c r="AT100" s="381">
        <v>1.044E-2</v>
      </c>
      <c r="AV100" s="464"/>
      <c r="AW100" s="465"/>
    </row>
    <row r="101" spans="2:49" ht="15">
      <c r="B101" s="312"/>
      <c r="D101" s="384"/>
      <c r="J101" s="444"/>
      <c r="K101" s="444" t="s">
        <v>782</v>
      </c>
      <c r="L101" s="444" t="s">
        <v>783</v>
      </c>
      <c r="M101" s="444" t="s">
        <v>784</v>
      </c>
      <c r="N101" s="444" t="s">
        <v>785</v>
      </c>
      <c r="O101" s="444" t="s">
        <v>786</v>
      </c>
      <c r="AI101" s="464">
        <f t="shared" si="16"/>
        <v>81</v>
      </c>
      <c r="AJ101" s="473">
        <v>43000</v>
      </c>
      <c r="AK101" s="474">
        <v>19517.36</v>
      </c>
      <c r="AL101" s="475">
        <v>5.1000000000000004E-3</v>
      </c>
      <c r="AM101" s="475">
        <f t="shared" si="18"/>
        <v>5.0998206333912055E-3</v>
      </c>
      <c r="AN101" s="464"/>
      <c r="AO101" s="464"/>
      <c r="AR101" s="464">
        <f t="shared" si="17"/>
        <v>81</v>
      </c>
      <c r="AS101" s="464" t="s">
        <v>2557</v>
      </c>
      <c r="AT101" s="381">
        <v>1.1350000000000001E-2</v>
      </c>
      <c r="AV101" s="464"/>
      <c r="AW101" s="465"/>
    </row>
    <row r="102" spans="2:49" ht="15">
      <c r="D102" s="384"/>
      <c r="J102" s="4" t="s">
        <v>779</v>
      </c>
      <c r="K102" s="4">
        <v>1</v>
      </c>
      <c r="L102" s="4">
        <v>0.14242125342928269</v>
      </c>
      <c r="M102" s="4">
        <v>0.14242125342928269</v>
      </c>
      <c r="N102" s="4">
        <v>16.249231830472638</v>
      </c>
      <c r="O102" s="274">
        <v>1.6396216982075755E-4</v>
      </c>
      <c r="AI102" s="464">
        <f t="shared" si="16"/>
        <v>82</v>
      </c>
      <c r="AJ102" s="473">
        <v>43003</v>
      </c>
      <c r="AK102" s="474">
        <v>19566.419999999998</v>
      </c>
      <c r="AL102" s="475">
        <v>2.5000000000000001E-3</v>
      </c>
      <c r="AM102" s="475">
        <f t="shared" si="18"/>
        <v>2.5136596342947293E-3</v>
      </c>
      <c r="AN102" s="464"/>
      <c r="AO102" s="464"/>
      <c r="AR102" s="464">
        <f t="shared" si="17"/>
        <v>82</v>
      </c>
      <c r="AS102" s="464" t="s">
        <v>2556</v>
      </c>
      <c r="AT102" s="381">
        <v>1.145E-2</v>
      </c>
      <c r="AV102" s="464"/>
      <c r="AW102" s="465"/>
    </row>
    <row r="103" spans="2:49" ht="15">
      <c r="D103" s="384"/>
      <c r="J103" s="4" t="s">
        <v>780</v>
      </c>
      <c r="K103" s="4">
        <v>58</v>
      </c>
      <c r="L103" s="4">
        <v>0.50835835103339322</v>
      </c>
      <c r="M103" s="4">
        <v>8.7647991557481594E-3</v>
      </c>
      <c r="AI103" s="464">
        <f t="shared" si="16"/>
        <v>83</v>
      </c>
      <c r="AJ103" s="473">
        <v>43004</v>
      </c>
      <c r="AK103" s="474">
        <v>19503.23</v>
      </c>
      <c r="AL103" s="475">
        <v>-3.2000000000000002E-3</v>
      </c>
      <c r="AM103" s="475">
        <f t="shared" si="18"/>
        <v>-3.2295126037363842E-3</v>
      </c>
      <c r="AN103" s="464"/>
      <c r="AO103" s="464"/>
      <c r="AR103" s="464">
        <f t="shared" si="17"/>
        <v>83</v>
      </c>
      <c r="AS103" s="464" t="s">
        <v>2555</v>
      </c>
      <c r="AT103" s="381">
        <v>1.2330000000000001E-2</v>
      </c>
      <c r="AV103" s="464"/>
      <c r="AW103" s="465"/>
    </row>
    <row r="104" spans="2:49" ht="16" thickBot="1">
      <c r="D104" s="384"/>
      <c r="J104" s="306" t="s">
        <v>161</v>
      </c>
      <c r="K104" s="306">
        <v>59</v>
      </c>
      <c r="L104" s="306">
        <v>0.65077960446267591</v>
      </c>
      <c r="M104" s="306"/>
      <c r="N104" s="306"/>
      <c r="O104" s="306"/>
      <c r="AI104" s="464">
        <f t="shared" si="16"/>
        <v>84</v>
      </c>
      <c r="AJ104" s="473">
        <v>43005</v>
      </c>
      <c r="AK104" s="474">
        <v>19569.45</v>
      </c>
      <c r="AL104" s="475">
        <v>3.3999999999999998E-3</v>
      </c>
      <c r="AM104" s="475">
        <f t="shared" si="18"/>
        <v>3.3953350291209272E-3</v>
      </c>
      <c r="AN104" s="464"/>
      <c r="AO104" s="464"/>
      <c r="AR104" s="464">
        <f t="shared" si="17"/>
        <v>84</v>
      </c>
      <c r="AS104" s="464" t="s">
        <v>2554</v>
      </c>
      <c r="AT104" s="381">
        <v>1.3089999999999999E-2</v>
      </c>
      <c r="AV104" s="464"/>
      <c r="AW104" s="465"/>
    </row>
    <row r="105" spans="2:49" ht="16" thickBot="1">
      <c r="D105" s="384"/>
      <c r="AI105" s="464">
        <f t="shared" si="16"/>
        <v>85</v>
      </c>
      <c r="AJ105" s="473">
        <v>43006</v>
      </c>
      <c r="AK105" s="474">
        <v>19678.46</v>
      </c>
      <c r="AL105" s="475">
        <v>5.5999999999999999E-3</v>
      </c>
      <c r="AM105" s="475">
        <f t="shared" si="18"/>
        <v>5.5704171553108139E-3</v>
      </c>
      <c r="AN105" s="464"/>
      <c r="AO105" s="464"/>
      <c r="AR105" s="464">
        <f t="shared" si="17"/>
        <v>85</v>
      </c>
      <c r="AS105" s="464" t="s">
        <v>2553</v>
      </c>
      <c r="AT105" s="381">
        <v>1.3089999999999999E-2</v>
      </c>
      <c r="AV105" s="464"/>
      <c r="AW105" s="465"/>
    </row>
    <row r="106" spans="2:49" ht="15">
      <c r="D106" s="384"/>
      <c r="J106" s="444"/>
      <c r="K106" s="444" t="s">
        <v>787</v>
      </c>
      <c r="L106" s="444" t="s">
        <v>776</v>
      </c>
      <c r="M106" s="444" t="s">
        <v>788</v>
      </c>
      <c r="N106" s="444" t="s">
        <v>789</v>
      </c>
      <c r="O106" s="444" t="s">
        <v>790</v>
      </c>
      <c r="P106" s="444" t="s">
        <v>854</v>
      </c>
      <c r="Q106" s="444" t="s">
        <v>855</v>
      </c>
      <c r="R106" s="444" t="s">
        <v>856</v>
      </c>
      <c r="AI106" s="464">
        <f t="shared" si="16"/>
        <v>86</v>
      </c>
      <c r="AJ106" s="473">
        <v>43007</v>
      </c>
      <c r="AK106" s="474">
        <v>19874.82</v>
      </c>
      <c r="AL106" s="475">
        <v>0.01</v>
      </c>
      <c r="AM106" s="475">
        <f t="shared" si="18"/>
        <v>9.9784231083124286E-3</v>
      </c>
      <c r="AN106" s="464"/>
      <c r="AO106" s="464"/>
      <c r="AR106" s="464">
        <f t="shared" si="17"/>
        <v>86</v>
      </c>
      <c r="AS106" s="464" t="s">
        <v>2552</v>
      </c>
      <c r="AT106" s="381">
        <v>1.303E-2</v>
      </c>
      <c r="AV106" s="464"/>
      <c r="AW106" s="465"/>
    </row>
    <row r="107" spans="2:49" ht="15">
      <c r="D107" s="384"/>
      <c r="J107" s="4" t="s">
        <v>781</v>
      </c>
      <c r="K107" s="4">
        <v>8.9599896890614934E-3</v>
      </c>
      <c r="L107" s="4">
        <v>1.2087479970639633E-2</v>
      </c>
      <c r="M107" s="4">
        <v>0.74126200918845109</v>
      </c>
      <c r="N107" s="4">
        <v>0.46152543940951896</v>
      </c>
      <c r="O107" s="4">
        <v>-1.5235730307423194E-2</v>
      </c>
      <c r="P107" s="4">
        <v>3.3155709685546181E-2</v>
      </c>
      <c r="Q107" s="4">
        <v>-1.5235730307423194E-2</v>
      </c>
      <c r="R107" s="4">
        <v>3.3155709685546181E-2</v>
      </c>
      <c r="AI107" s="464">
        <f t="shared" si="16"/>
        <v>87</v>
      </c>
      <c r="AJ107" s="473">
        <v>43010</v>
      </c>
      <c r="AK107" s="474">
        <v>19957.060000000001</v>
      </c>
      <c r="AL107" s="475">
        <v>4.1000000000000003E-3</v>
      </c>
      <c r="AM107" s="475">
        <f t="shared" si="18"/>
        <v>4.1378991105329721E-3</v>
      </c>
      <c r="AN107" s="464"/>
      <c r="AO107" s="464"/>
      <c r="AR107" s="464">
        <f t="shared" si="17"/>
        <v>87</v>
      </c>
      <c r="AS107" s="464" t="s">
        <v>2551</v>
      </c>
      <c r="AT107" s="381">
        <v>1.332E-2</v>
      </c>
      <c r="AV107" s="464"/>
      <c r="AW107" s="465"/>
    </row>
    <row r="108" spans="2:49" ht="16" thickBot="1">
      <c r="D108" s="384"/>
      <c r="J108" s="306" t="s">
        <v>852</v>
      </c>
      <c r="K108" s="445">
        <v>0.99649689814115705</v>
      </c>
      <c r="L108" s="306">
        <v>0.24720629959337151</v>
      </c>
      <c r="M108" s="306">
        <v>4.0310335933197905</v>
      </c>
      <c r="N108" s="445">
        <v>1.6396216982075585E-4</v>
      </c>
      <c r="O108" s="306">
        <v>0.50165972605426012</v>
      </c>
      <c r="P108" s="306">
        <v>1.491334070228054</v>
      </c>
      <c r="Q108" s="306">
        <v>0.50165972605426012</v>
      </c>
      <c r="R108" s="306">
        <v>1.491334070228054</v>
      </c>
      <c r="AI108" s="464">
        <f t="shared" si="16"/>
        <v>88</v>
      </c>
      <c r="AJ108" s="473">
        <v>43011</v>
      </c>
      <c r="AK108" s="474">
        <v>20035.349999999999</v>
      </c>
      <c r="AL108" s="475">
        <v>3.8999999999999998E-3</v>
      </c>
      <c r="AM108" s="475">
        <f t="shared" si="18"/>
        <v>3.9229225146388824E-3</v>
      </c>
      <c r="AN108" s="464"/>
      <c r="AO108" s="464"/>
      <c r="AR108" s="464">
        <f t="shared" si="17"/>
        <v>88</v>
      </c>
      <c r="AS108" s="464" t="s">
        <v>2550</v>
      </c>
      <c r="AT108" s="381">
        <v>1.3420000000000001E-2</v>
      </c>
      <c r="AV108" s="464"/>
      <c r="AW108" s="465"/>
    </row>
    <row r="109" spans="2:49" ht="15">
      <c r="D109" s="384"/>
      <c r="AI109" s="464">
        <f t="shared" si="16"/>
        <v>89</v>
      </c>
      <c r="AJ109" s="473">
        <v>43012</v>
      </c>
      <c r="AK109" s="474">
        <v>20029.419999999998</v>
      </c>
      <c r="AL109" s="475">
        <v>-2.9999999999999997E-4</v>
      </c>
      <c r="AM109" s="475">
        <f t="shared" si="18"/>
        <v>-2.959768608983282E-4</v>
      </c>
      <c r="AN109" s="464"/>
      <c r="AO109" s="464"/>
      <c r="AR109" s="464">
        <f t="shared" si="17"/>
        <v>89</v>
      </c>
      <c r="AS109" s="464" t="s">
        <v>2549</v>
      </c>
      <c r="AT109" s="381">
        <v>1.367E-2</v>
      </c>
      <c r="AV109" s="464"/>
      <c r="AW109" s="465"/>
    </row>
    <row r="110" spans="2:49" ht="15">
      <c r="D110" s="384"/>
      <c r="AI110" s="464">
        <f t="shared" si="16"/>
        <v>90</v>
      </c>
      <c r="AJ110" s="473">
        <v>43013</v>
      </c>
      <c r="AK110" s="474">
        <v>20088.509999999998</v>
      </c>
      <c r="AL110" s="475">
        <v>3.0000000000000001E-3</v>
      </c>
      <c r="AM110" s="475">
        <f t="shared" si="18"/>
        <v>2.9501603141779409E-3</v>
      </c>
      <c r="AN110" s="464"/>
      <c r="AO110" s="464"/>
      <c r="AR110" s="464">
        <f t="shared" si="17"/>
        <v>90</v>
      </c>
      <c r="AS110" s="464" t="s">
        <v>2548</v>
      </c>
      <c r="AT110" s="381">
        <v>1.3560000000000001E-2</v>
      </c>
      <c r="AV110" s="464"/>
      <c r="AW110" s="465"/>
    </row>
    <row r="111" spans="2:49" ht="15">
      <c r="D111" s="384"/>
      <c r="AI111" s="464">
        <f t="shared" si="16"/>
        <v>91</v>
      </c>
      <c r="AJ111" s="473">
        <v>43014</v>
      </c>
      <c r="AK111" s="474">
        <v>20166.54</v>
      </c>
      <c r="AL111" s="475">
        <v>3.8999999999999998E-3</v>
      </c>
      <c r="AM111" s="475">
        <f t="shared" si="18"/>
        <v>3.884309986156298E-3</v>
      </c>
      <c r="AN111" s="464"/>
      <c r="AO111" s="464"/>
      <c r="AR111" s="464">
        <f t="shared" si="17"/>
        <v>91</v>
      </c>
      <c r="AS111" s="464" t="s">
        <v>2547</v>
      </c>
      <c r="AT111" s="381">
        <v>1.357E-2</v>
      </c>
      <c r="AV111" s="464"/>
      <c r="AW111" s="465"/>
    </row>
    <row r="112" spans="2:49" ht="15">
      <c r="D112" s="384"/>
      <c r="J112" s="4" t="s">
        <v>857</v>
      </c>
      <c r="N112" s="4" t="s">
        <v>861</v>
      </c>
      <c r="AI112" s="464">
        <f t="shared" si="16"/>
        <v>92</v>
      </c>
      <c r="AJ112" s="473">
        <v>43017</v>
      </c>
      <c r="AK112" s="474">
        <v>20102.560000000001</v>
      </c>
      <c r="AL112" s="475">
        <v>-3.2000000000000002E-3</v>
      </c>
      <c r="AM112" s="475">
        <f t="shared" si="18"/>
        <v>-3.1725819104317932E-3</v>
      </c>
      <c r="AN112" s="464"/>
      <c r="AO112" s="464"/>
      <c r="AR112" s="464">
        <f t="shared" si="17"/>
        <v>92</v>
      </c>
      <c r="AS112" s="464" t="s">
        <v>2546</v>
      </c>
      <c r="AT112" s="381">
        <v>1.3340000000000001E-2</v>
      </c>
      <c r="AV112" s="464"/>
      <c r="AW112" s="465"/>
    </row>
    <row r="113" spans="4:49" ht="16" thickBot="1">
      <c r="D113" s="384"/>
      <c r="AI113" s="464">
        <f t="shared" si="16"/>
        <v>93</v>
      </c>
      <c r="AJ113" s="473">
        <v>43018</v>
      </c>
      <c r="AK113" s="474">
        <v>20146.28</v>
      </c>
      <c r="AL113" s="475">
        <v>2.2000000000000001E-3</v>
      </c>
      <c r="AM113" s="475">
        <f t="shared" si="18"/>
        <v>2.1748473826217474E-3</v>
      </c>
      <c r="AN113" s="464"/>
      <c r="AO113" s="464"/>
      <c r="AR113" s="464">
        <f t="shared" si="17"/>
        <v>93</v>
      </c>
      <c r="AS113" s="464" t="s">
        <v>2545</v>
      </c>
      <c r="AT113" s="381">
        <v>1.333E-2</v>
      </c>
      <c r="AV113" s="464"/>
      <c r="AW113" s="465"/>
    </row>
    <row r="114" spans="4:49" ht="15">
      <c r="D114" s="384"/>
      <c r="J114" s="444" t="s">
        <v>858</v>
      </c>
      <c r="K114" s="444" t="s">
        <v>859</v>
      </c>
      <c r="L114" s="444" t="s">
        <v>860</v>
      </c>
      <c r="N114" s="444" t="s">
        <v>862</v>
      </c>
      <c r="O114" s="444" t="s">
        <v>853</v>
      </c>
      <c r="AI114" s="464">
        <f t="shared" si="16"/>
        <v>94</v>
      </c>
      <c r="AJ114" s="473">
        <v>43019</v>
      </c>
      <c r="AK114" s="474">
        <v>20167.78</v>
      </c>
      <c r="AL114" s="475">
        <v>1.1000000000000001E-3</v>
      </c>
      <c r="AM114" s="475">
        <f t="shared" si="18"/>
        <v>1.0671945391407256E-3</v>
      </c>
      <c r="AN114" s="464"/>
      <c r="AO114" s="464"/>
      <c r="AR114" s="464">
        <f t="shared" si="17"/>
        <v>94</v>
      </c>
      <c r="AS114" s="464" t="s">
        <v>2544</v>
      </c>
      <c r="AT114" s="381">
        <v>1.3819999999999999E-2</v>
      </c>
      <c r="AV114" s="464"/>
      <c r="AW114" s="465"/>
    </row>
    <row r="115" spans="4:49" ht="15">
      <c r="D115" s="384"/>
      <c r="J115" s="4">
        <v>1</v>
      </c>
      <c r="K115" s="4">
        <v>3.1681900693436724E-2</v>
      </c>
      <c r="L115" s="4">
        <v>0.15305110032554597</v>
      </c>
      <c r="N115" s="4">
        <v>0.83333333333333337</v>
      </c>
      <c r="O115" s="4">
        <v>-0.26697095421239925</v>
      </c>
      <c r="AI115" s="464">
        <f t="shared" si="16"/>
        <v>95</v>
      </c>
      <c r="AJ115" s="473">
        <v>43020</v>
      </c>
      <c r="AK115" s="474">
        <v>20251.240000000002</v>
      </c>
      <c r="AL115" s="475">
        <v>4.1000000000000003E-3</v>
      </c>
      <c r="AM115" s="475">
        <f t="shared" si="18"/>
        <v>4.1382839360604162E-3</v>
      </c>
      <c r="AN115" s="464"/>
      <c r="AO115" s="464"/>
      <c r="AR115" s="464">
        <f t="shared" si="17"/>
        <v>95</v>
      </c>
      <c r="AS115" s="464" t="s">
        <v>2543</v>
      </c>
      <c r="AT115" s="381">
        <v>1.375E-2</v>
      </c>
      <c r="AV115" s="464"/>
      <c r="AW115" s="465"/>
    </row>
    <row r="116" spans="4:49" ht="15">
      <c r="D116" s="384"/>
      <c r="J116" s="4">
        <v>2</v>
      </c>
      <c r="K116" s="4">
        <v>1.0090933373968889E-2</v>
      </c>
      <c r="L116" s="4">
        <v>-5.1328150816406799E-2</v>
      </c>
      <c r="N116" s="4">
        <v>2.5</v>
      </c>
      <c r="O116" s="4">
        <v>-0.20433430332188141</v>
      </c>
      <c r="AI116" s="464">
        <f t="shared" si="16"/>
        <v>96</v>
      </c>
      <c r="AJ116" s="473">
        <v>43021</v>
      </c>
      <c r="AK116" s="474">
        <v>20259.509999999998</v>
      </c>
      <c r="AL116" s="475">
        <v>4.0000000000000002E-4</v>
      </c>
      <c r="AM116" s="475">
        <f t="shared" si="18"/>
        <v>4.0837005536431548E-4</v>
      </c>
      <c r="AN116" s="464"/>
      <c r="AO116" s="464"/>
      <c r="AR116" s="464">
        <f t="shared" si="17"/>
        <v>96</v>
      </c>
      <c r="AS116" s="464" t="s">
        <v>2542</v>
      </c>
      <c r="AT116" s="381">
        <v>1.366E-2</v>
      </c>
      <c r="AV116" s="464"/>
      <c r="AW116" s="465"/>
    </row>
    <row r="117" spans="4:49" ht="15">
      <c r="D117" s="384"/>
      <c r="J117" s="4">
        <v>3</v>
      </c>
      <c r="K117" s="4">
        <v>1.2544212249445446E-2</v>
      </c>
      <c r="L117" s="4">
        <v>0.17095262001681058</v>
      </c>
      <c r="N117" s="4">
        <v>4.166666666666667</v>
      </c>
      <c r="O117" s="4">
        <v>-0.19478272755787229</v>
      </c>
      <c r="AI117" s="464">
        <f t="shared" si="16"/>
        <v>97</v>
      </c>
      <c r="AJ117" s="473">
        <v>43024</v>
      </c>
      <c r="AK117" s="474">
        <v>20217.13</v>
      </c>
      <c r="AL117" s="475">
        <v>-2.0999999999999999E-3</v>
      </c>
      <c r="AM117" s="475">
        <f t="shared" si="18"/>
        <v>-2.0918571080937864E-3</v>
      </c>
      <c r="AN117" s="464"/>
      <c r="AO117" s="464"/>
      <c r="AR117" s="464">
        <f t="shared" si="17"/>
        <v>97</v>
      </c>
      <c r="AS117" s="464" t="s">
        <v>2541</v>
      </c>
      <c r="AT117" s="381">
        <v>1.3690000000000001E-2</v>
      </c>
      <c r="AV117" s="464"/>
      <c r="AW117" s="465"/>
    </row>
    <row r="118" spans="4:49" ht="15">
      <c r="D118" s="384"/>
      <c r="J118" s="4">
        <v>4</v>
      </c>
      <c r="K118" s="4">
        <v>2.6660943203093566E-2</v>
      </c>
      <c r="L118" s="4">
        <v>3.5694759547455684E-2</v>
      </c>
      <c r="N118" s="4">
        <v>5.833333333333333</v>
      </c>
      <c r="O118" s="4">
        <v>-0.186295565293221</v>
      </c>
      <c r="AI118" s="464">
        <f t="shared" si="16"/>
        <v>98</v>
      </c>
      <c r="AJ118" s="473">
        <v>43025</v>
      </c>
      <c r="AK118" s="474">
        <v>20130.95</v>
      </c>
      <c r="AL118" s="475">
        <v>-4.3E-3</v>
      </c>
      <c r="AM118" s="475">
        <f t="shared" si="18"/>
        <v>-4.2627217611995727E-3</v>
      </c>
      <c r="AN118" s="464"/>
      <c r="AO118" s="464"/>
      <c r="AR118" s="464">
        <f t="shared" si="17"/>
        <v>98</v>
      </c>
      <c r="AS118" s="464" t="s">
        <v>2540</v>
      </c>
      <c r="AT118" s="381">
        <v>1.328E-2</v>
      </c>
      <c r="AV118" s="464"/>
      <c r="AW118" s="465"/>
    </row>
    <row r="119" spans="4:49" ht="15">
      <c r="D119" s="384"/>
      <c r="J119" s="4">
        <v>5</v>
      </c>
      <c r="K119" s="4">
        <v>-4.586018246621016E-3</v>
      </c>
      <c r="L119" s="4">
        <v>-3.2370613815788499E-2</v>
      </c>
      <c r="N119" s="4">
        <v>7.5</v>
      </c>
      <c r="O119" s="4">
        <v>-0.14102557468999122</v>
      </c>
      <c r="AI119" s="464">
        <f t="shared" si="16"/>
        <v>99</v>
      </c>
      <c r="AJ119" s="473">
        <v>43026</v>
      </c>
      <c r="AK119" s="474">
        <v>20259.77</v>
      </c>
      <c r="AL119" s="475">
        <v>6.4000000000000003E-3</v>
      </c>
      <c r="AM119" s="475">
        <f t="shared" si="18"/>
        <v>6.3991018804379074E-3</v>
      </c>
      <c r="AN119" s="464"/>
      <c r="AO119" s="464"/>
      <c r="AR119" s="464">
        <f t="shared" si="17"/>
        <v>99</v>
      </c>
      <c r="AS119" s="464" t="s">
        <v>2539</v>
      </c>
      <c r="AT119" s="381">
        <v>1.353E-2</v>
      </c>
      <c r="AV119" s="464"/>
      <c r="AW119" s="465"/>
    </row>
    <row r="120" spans="4:49" ht="15">
      <c r="D120" s="384"/>
      <c r="J120" s="4">
        <v>6</v>
      </c>
      <c r="K120" s="4">
        <v>4.7584008872018316E-2</v>
      </c>
      <c r="L120" s="4">
        <v>8.8494628874939835E-3</v>
      </c>
      <c r="N120" s="4">
        <v>9.1666666666666679</v>
      </c>
      <c r="O120" s="4">
        <v>-0.12930237931792243</v>
      </c>
      <c r="AI120" s="464">
        <f t="shared" si="16"/>
        <v>100</v>
      </c>
      <c r="AJ120" s="473">
        <v>43027</v>
      </c>
      <c r="AK120" s="474">
        <v>20131.52</v>
      </c>
      <c r="AL120" s="475">
        <v>-6.3E-3</v>
      </c>
      <c r="AM120" s="475">
        <f t="shared" si="18"/>
        <v>-6.3302791690132976E-3</v>
      </c>
      <c r="AN120" s="464"/>
      <c r="AO120" s="464"/>
      <c r="AR120" s="464">
        <f t="shared" si="17"/>
        <v>100</v>
      </c>
      <c r="AS120" s="464" t="s">
        <v>2538</v>
      </c>
      <c r="AT120" s="381">
        <v>1.379E-2</v>
      </c>
      <c r="AV120" s="464"/>
      <c r="AW120" s="465"/>
    </row>
    <row r="121" spans="4:49" ht="15">
      <c r="D121" s="384"/>
      <c r="J121" s="4">
        <v>7</v>
      </c>
      <c r="K121" s="4">
        <v>-1.4245798178928674E-2</v>
      </c>
      <c r="L121" s="4">
        <v>-0.12677977651106254</v>
      </c>
      <c r="N121" s="4">
        <v>10.833333333333334</v>
      </c>
      <c r="O121" s="4">
        <v>-9.0909161793178872E-2</v>
      </c>
      <c r="AI121" s="464">
        <f t="shared" si="16"/>
        <v>101</v>
      </c>
      <c r="AJ121" s="473">
        <v>43028</v>
      </c>
      <c r="AK121" s="474">
        <v>20146.88</v>
      </c>
      <c r="AL121" s="475">
        <v>8.0000000000000004E-4</v>
      </c>
      <c r="AM121" s="475">
        <f t="shared" si="18"/>
        <v>7.6298262624985291E-4</v>
      </c>
      <c r="AN121" s="464"/>
      <c r="AO121" s="464"/>
      <c r="AR121" s="464">
        <f t="shared" si="17"/>
        <v>101</v>
      </c>
      <c r="AS121" s="464" t="s">
        <v>2537</v>
      </c>
      <c r="AT121" s="381">
        <v>1.391E-2</v>
      </c>
      <c r="AV121" s="464"/>
      <c r="AW121" s="465"/>
    </row>
    <row r="122" spans="4:49" ht="15">
      <c r="D122" s="384"/>
      <c r="J122" s="4">
        <v>8</v>
      </c>
      <c r="K122" s="4">
        <v>-1.8425510881136916E-2</v>
      </c>
      <c r="L122" s="4">
        <v>1.4777660742160966E-2</v>
      </c>
      <c r="N122" s="4">
        <v>12.500000000000002</v>
      </c>
      <c r="O122" s="4">
        <v>-6.6967673401221339E-2</v>
      </c>
      <c r="AI122" s="464">
        <f t="shared" si="16"/>
        <v>102</v>
      </c>
      <c r="AJ122" s="473">
        <v>43031</v>
      </c>
      <c r="AK122" s="474">
        <v>20131.57</v>
      </c>
      <c r="AL122" s="475">
        <v>-8.0000000000000004E-4</v>
      </c>
      <c r="AM122" s="475">
        <f t="shared" si="18"/>
        <v>-7.5991915373507801E-4</v>
      </c>
      <c r="AN122" s="464"/>
      <c r="AO122" s="464"/>
      <c r="AR122" s="464">
        <f t="shared" si="17"/>
        <v>102</v>
      </c>
      <c r="AS122" s="464" t="s">
        <v>2536</v>
      </c>
      <c r="AT122" s="381">
        <v>1.366E-2</v>
      </c>
      <c r="AV122" s="464"/>
      <c r="AW122" s="465"/>
    </row>
    <row r="123" spans="4:49" ht="15">
      <c r="D123" s="384"/>
      <c r="J123" s="4">
        <v>9</v>
      </c>
      <c r="K123" s="4">
        <v>-2.519788690491024E-3</v>
      </c>
      <c r="L123" s="4">
        <v>-5.1303100939841417E-2</v>
      </c>
      <c r="N123" s="4">
        <v>14.166666666666668</v>
      </c>
      <c r="O123" s="4">
        <v>-6.6560080126807919E-2</v>
      </c>
      <c r="AI123" s="464">
        <f t="shared" si="16"/>
        <v>103</v>
      </c>
      <c r="AJ123" s="473">
        <v>43032</v>
      </c>
      <c r="AK123" s="474">
        <v>20113.21</v>
      </c>
      <c r="AL123" s="475">
        <v>-8.9999999999999998E-4</v>
      </c>
      <c r="AM123" s="475">
        <f t="shared" si="18"/>
        <v>-9.1200040533356841E-4</v>
      </c>
      <c r="AN123" s="464"/>
      <c r="AO123" s="464"/>
      <c r="AR123" s="464">
        <f t="shared" si="17"/>
        <v>103</v>
      </c>
      <c r="AS123" s="464" t="s">
        <v>2535</v>
      </c>
      <c r="AT123" s="381">
        <v>1.3600000000000001E-2</v>
      </c>
      <c r="AV123" s="464"/>
      <c r="AW123" s="465"/>
    </row>
    <row r="124" spans="4:49" ht="15">
      <c r="D124" s="384"/>
      <c r="J124" s="4">
        <v>10</v>
      </c>
      <c r="K124" s="4">
        <v>5.1183605679283359E-2</v>
      </c>
      <c r="L124" s="4">
        <v>-5.994821186083174E-3</v>
      </c>
      <c r="N124" s="4">
        <v>15.833333333333334</v>
      </c>
      <c r="O124" s="4">
        <v>-6.1199580930522357E-2</v>
      </c>
      <c r="AI124" s="464">
        <f t="shared" si="16"/>
        <v>104</v>
      </c>
      <c r="AJ124" s="473">
        <v>43033</v>
      </c>
      <c r="AK124" s="474">
        <v>20073.3</v>
      </c>
      <c r="AL124" s="475">
        <v>-2E-3</v>
      </c>
      <c r="AM124" s="475">
        <f t="shared" si="18"/>
        <v>-1.9842680506989563E-3</v>
      </c>
      <c r="AN124" s="464"/>
      <c r="AO124" s="464"/>
      <c r="AR124" s="464">
        <f t="shared" si="17"/>
        <v>104</v>
      </c>
      <c r="AS124" s="464" t="s">
        <v>2534</v>
      </c>
      <c r="AT124" s="381">
        <v>1.3640000000000001E-2</v>
      </c>
      <c r="AV124" s="464"/>
      <c r="AW124" s="465"/>
    </row>
    <row r="125" spans="4:49" ht="15">
      <c r="D125" s="384"/>
      <c r="J125" s="4">
        <v>11</v>
      </c>
      <c r="K125" s="4">
        <v>3.6529259876011896E-2</v>
      </c>
      <c r="L125" s="4">
        <v>4.4854199251471896E-2</v>
      </c>
      <c r="N125" s="4">
        <v>17.5</v>
      </c>
      <c r="O125" s="4">
        <v>-5.3822889630332438E-2</v>
      </c>
      <c r="AI125" s="464">
        <f t="shared" si="16"/>
        <v>105</v>
      </c>
      <c r="AJ125" s="473">
        <v>43034</v>
      </c>
      <c r="AK125" s="474">
        <v>20163.38</v>
      </c>
      <c r="AL125" s="475">
        <v>4.4999999999999997E-3</v>
      </c>
      <c r="AM125" s="475">
        <f t="shared" si="18"/>
        <v>4.4875531178232286E-3</v>
      </c>
      <c r="AN125" s="464"/>
      <c r="AO125" s="464"/>
      <c r="AR125" s="464">
        <f t="shared" si="17"/>
        <v>105</v>
      </c>
      <c r="AS125" s="464" t="s">
        <v>2533</v>
      </c>
      <c r="AT125" s="381">
        <v>1.3819999999999999E-2</v>
      </c>
      <c r="AV125" s="464"/>
      <c r="AW125" s="465"/>
    </row>
    <row r="126" spans="4:49" ht="15">
      <c r="D126" s="384"/>
      <c r="J126" s="4">
        <v>12</v>
      </c>
      <c r="K126" s="4">
        <v>8.2290941916160817E-3</v>
      </c>
      <c r="L126" s="4">
        <v>-4.4917643368572603E-2</v>
      </c>
      <c r="N126" s="4">
        <v>19.166666666666668</v>
      </c>
      <c r="O126" s="4">
        <v>-5.1546186792953308E-2</v>
      </c>
      <c r="AI126" s="464">
        <f t="shared" si="16"/>
        <v>106</v>
      </c>
      <c r="AJ126" s="473">
        <v>43035</v>
      </c>
      <c r="AK126" s="474">
        <v>20146.060000000001</v>
      </c>
      <c r="AL126" s="475">
        <v>-8.9999999999999998E-4</v>
      </c>
      <c r="AM126" s="475">
        <f t="shared" si="18"/>
        <v>-8.5898296813335939E-4</v>
      </c>
      <c r="AN126" s="464"/>
      <c r="AO126" s="464"/>
      <c r="AR126" s="464">
        <f t="shared" si="17"/>
        <v>106</v>
      </c>
      <c r="AS126" s="464" t="s">
        <v>2532</v>
      </c>
      <c r="AT126" s="381">
        <v>1.3809999999999999E-2</v>
      </c>
      <c r="AV126" s="464"/>
      <c r="AW126" s="465"/>
    </row>
    <row r="127" spans="4:49" ht="15">
      <c r="D127" s="384"/>
      <c r="J127" s="4">
        <v>13</v>
      </c>
      <c r="K127" s="4">
        <v>1.1203558016547748E-2</v>
      </c>
      <c r="L127" s="4">
        <v>6.2038578211981402E-2</v>
      </c>
      <c r="N127" s="4">
        <v>20.833333333333332</v>
      </c>
      <c r="O127" s="4">
        <v>-4.7350586923699867E-2</v>
      </c>
      <c r="AI127" s="464">
        <f t="shared" si="16"/>
        <v>107</v>
      </c>
      <c r="AJ127" s="473">
        <v>43038</v>
      </c>
      <c r="AK127" s="474">
        <v>20213.25</v>
      </c>
      <c r="AL127" s="475">
        <v>3.3E-3</v>
      </c>
      <c r="AM127" s="475">
        <f t="shared" si="18"/>
        <v>3.335143447403599E-3</v>
      </c>
      <c r="AN127" s="464"/>
      <c r="AO127" s="464"/>
      <c r="AR127" s="464">
        <f t="shared" si="17"/>
        <v>107</v>
      </c>
      <c r="AS127" s="464" t="s">
        <v>2531</v>
      </c>
      <c r="AT127" s="381">
        <v>1.37E-2</v>
      </c>
      <c r="AV127" s="464"/>
      <c r="AW127" s="465"/>
    </row>
    <row r="128" spans="4:49" ht="15">
      <c r="D128" s="384"/>
      <c r="J128" s="4">
        <v>14</v>
      </c>
      <c r="K128" s="4">
        <v>-5.4740700193720015E-5</v>
      </c>
      <c r="L128" s="4">
        <v>9.6465632210405994E-4</v>
      </c>
      <c r="N128" s="4">
        <v>22.5</v>
      </c>
      <c r="O128" s="4">
        <v>-4.6563088435388589E-2</v>
      </c>
      <c r="AI128" s="464">
        <f t="shared" si="16"/>
        <v>108</v>
      </c>
      <c r="AJ128" s="473">
        <v>43039</v>
      </c>
      <c r="AK128" s="474">
        <v>20227.86</v>
      </c>
      <c r="AL128" s="475">
        <v>6.9999999999999999E-4</v>
      </c>
      <c r="AM128" s="475">
        <f t="shared" si="18"/>
        <v>7.2279321732038326E-4</v>
      </c>
      <c r="AN128" s="464"/>
      <c r="AO128" s="464"/>
      <c r="AR128" s="464">
        <f t="shared" si="17"/>
        <v>108</v>
      </c>
      <c r="AS128" s="464" t="s">
        <v>2530</v>
      </c>
      <c r="AT128" s="381">
        <v>1.337E-2</v>
      </c>
      <c r="AV128" s="464"/>
      <c r="AW128" s="465"/>
    </row>
    <row r="129" spans="4:49" ht="15">
      <c r="D129" s="384"/>
      <c r="J129" s="4">
        <v>15</v>
      </c>
      <c r="K129" s="4">
        <v>-9.4373207277781354E-3</v>
      </c>
      <c r="L129" s="4">
        <v>-8.147184106540073E-2</v>
      </c>
      <c r="N129" s="4">
        <v>24.166666666666668</v>
      </c>
      <c r="O129" s="4">
        <v>-4.4761077416416994E-2</v>
      </c>
      <c r="AI129" s="464">
        <f t="shared" si="16"/>
        <v>109</v>
      </c>
      <c r="AJ129" s="473">
        <v>43040</v>
      </c>
      <c r="AK129" s="474">
        <v>20328.240000000002</v>
      </c>
      <c r="AL129" s="475">
        <v>5.0000000000000001E-3</v>
      </c>
      <c r="AM129" s="475">
        <f t="shared" si="18"/>
        <v>4.9624626628819168E-3</v>
      </c>
      <c r="AN129" s="464"/>
      <c r="AO129" s="464"/>
      <c r="AR129" s="464">
        <f t="shared" si="17"/>
        <v>109</v>
      </c>
      <c r="AS129" s="464" t="s">
        <v>2529</v>
      </c>
      <c r="AT129" s="381">
        <v>1.2769999999999998E-2</v>
      </c>
      <c r="AV129" s="464"/>
      <c r="AW129" s="465"/>
    </row>
    <row r="130" spans="4:49" ht="15">
      <c r="D130" s="384"/>
      <c r="J130" s="4">
        <v>16</v>
      </c>
      <c r="K130" s="4">
        <v>-5.9217988509701017E-2</v>
      </c>
      <c r="L130" s="4">
        <v>5.6834380236782847E-2</v>
      </c>
      <c r="N130" s="4">
        <v>25.833333333333332</v>
      </c>
      <c r="O130" s="4">
        <v>-4.4372275861010557E-2</v>
      </c>
      <c r="AI130" s="464">
        <f t="shared" si="16"/>
        <v>110</v>
      </c>
      <c r="AJ130" s="473">
        <v>43041</v>
      </c>
      <c r="AK130" s="474">
        <v>20385.48</v>
      </c>
      <c r="AL130" s="475">
        <v>2.8E-3</v>
      </c>
      <c r="AM130" s="475">
        <f t="shared" si="18"/>
        <v>2.8157872988512356E-3</v>
      </c>
      <c r="AN130" s="464"/>
      <c r="AO130" s="464"/>
      <c r="AR130" s="464">
        <f t="shared" si="17"/>
        <v>110</v>
      </c>
      <c r="AS130" s="464" t="s">
        <v>2528</v>
      </c>
      <c r="AT130" s="381">
        <v>1.3169999999999999E-2</v>
      </c>
      <c r="AV130" s="464"/>
      <c r="AW130" s="465"/>
    </row>
    <row r="131" spans="4:49" ht="15">
      <c r="D131" s="384"/>
      <c r="J131" s="4">
        <v>17</v>
      </c>
      <c r="K131" s="4">
        <v>-1.4051271203022738E-2</v>
      </c>
      <c r="L131" s="4">
        <v>-3.0709806213394256E-2</v>
      </c>
      <c r="N131" s="4">
        <v>27.5</v>
      </c>
      <c r="O131" s="4">
        <v>-4.2801547214106783E-2</v>
      </c>
      <c r="AI131" s="464">
        <f t="shared" si="16"/>
        <v>111</v>
      </c>
      <c r="AJ131" s="473">
        <v>43042</v>
      </c>
      <c r="AK131" s="474">
        <v>20472.38</v>
      </c>
      <c r="AL131" s="475">
        <v>4.3E-3</v>
      </c>
      <c r="AM131" s="475">
        <f t="shared" si="18"/>
        <v>4.2628380592462101E-3</v>
      </c>
      <c r="AN131" s="464"/>
      <c r="AO131" s="464"/>
      <c r="AR131" s="464">
        <f t="shared" si="17"/>
        <v>111</v>
      </c>
      <c r="AS131" s="464" t="s">
        <v>2527</v>
      </c>
      <c r="AT131" s="381">
        <v>1.282E-2</v>
      </c>
      <c r="AV131" s="464"/>
      <c r="AW131" s="465"/>
    </row>
    <row r="132" spans="4:49" ht="15">
      <c r="D132" s="384"/>
      <c r="J132" s="4">
        <v>18</v>
      </c>
      <c r="K132" s="4">
        <v>-4.3816386369946864E-2</v>
      </c>
      <c r="L132" s="4">
        <v>-2.2743693756861055E-2</v>
      </c>
      <c r="N132" s="4">
        <v>29.166666666666668</v>
      </c>
      <c r="O132" s="4">
        <v>-4.1237217442437912E-2</v>
      </c>
      <c r="AI132" s="464">
        <f t="shared" si="16"/>
        <v>112</v>
      </c>
      <c r="AJ132" s="473">
        <v>43045</v>
      </c>
      <c r="AK132" s="474">
        <v>20432.599999999999</v>
      </c>
      <c r="AL132" s="475">
        <v>-1.9E-3</v>
      </c>
      <c r="AM132" s="475">
        <f t="shared" si="18"/>
        <v>-1.9431057844765398E-3</v>
      </c>
      <c r="AN132" s="464"/>
      <c r="AO132" s="464"/>
      <c r="AR132" s="464">
        <f t="shared" si="17"/>
        <v>112</v>
      </c>
      <c r="AS132" s="464" t="s">
        <v>2526</v>
      </c>
      <c r="AT132" s="381">
        <v>1.3309999999999999E-2</v>
      </c>
      <c r="AV132" s="464"/>
      <c r="AW132" s="465"/>
    </row>
    <row r="133" spans="4:49" ht="15">
      <c r="D133" s="384"/>
      <c r="J133" s="4">
        <v>19</v>
      </c>
      <c r="K133" s="4">
        <v>7.7835481284695168E-2</v>
      </c>
      <c r="L133" s="4">
        <v>-0.34480643549709444</v>
      </c>
      <c r="N133" s="4">
        <v>30.833333333333332</v>
      </c>
      <c r="O133" s="4">
        <v>-3.6956632062409511E-2</v>
      </c>
      <c r="AI133" s="464">
        <f t="shared" si="16"/>
        <v>113</v>
      </c>
      <c r="AJ133" s="473">
        <v>43046</v>
      </c>
      <c r="AK133" s="474">
        <v>20307.11</v>
      </c>
      <c r="AL133" s="475">
        <v>-6.1000000000000004E-3</v>
      </c>
      <c r="AM133" s="475">
        <f t="shared" si="18"/>
        <v>-6.1416559811281468E-3</v>
      </c>
      <c r="AN133" s="464"/>
      <c r="AO133" s="464"/>
      <c r="AR133" s="464">
        <f t="shared" si="17"/>
        <v>113</v>
      </c>
      <c r="AS133" s="464" t="s">
        <v>2525</v>
      </c>
      <c r="AT133" s="381">
        <v>1.328E-2</v>
      </c>
      <c r="AV133" s="464"/>
      <c r="AW133" s="465"/>
    </row>
    <row r="134" spans="4:49" ht="15">
      <c r="D134" s="384"/>
      <c r="J134" s="4">
        <v>20</v>
      </c>
      <c r="K134" s="4">
        <v>3.3968604242328157E-2</v>
      </c>
      <c r="L134" s="4">
        <v>-7.677015145643494E-2</v>
      </c>
      <c r="N134" s="4">
        <v>32.5</v>
      </c>
      <c r="O134" s="4">
        <v>-3.668854917695652E-2</v>
      </c>
      <c r="AI134" s="464">
        <f t="shared" si="16"/>
        <v>114</v>
      </c>
      <c r="AJ134" s="473">
        <v>43047</v>
      </c>
      <c r="AK134" s="474">
        <v>20300.22</v>
      </c>
      <c r="AL134" s="475">
        <v>-2.9999999999999997E-4</v>
      </c>
      <c r="AM134" s="475">
        <f t="shared" si="18"/>
        <v>-3.3929003191490725E-4</v>
      </c>
      <c r="AN134" s="464"/>
      <c r="AO134" s="464"/>
      <c r="AR134" s="464">
        <f t="shared" si="17"/>
        <v>114</v>
      </c>
      <c r="AS134" s="464" t="s">
        <v>2524</v>
      </c>
      <c r="AT134" s="381">
        <v>1.3140000000000001E-2</v>
      </c>
      <c r="AV134" s="464"/>
      <c r="AW134" s="465"/>
    </row>
    <row r="135" spans="4:49" ht="15">
      <c r="D135" s="384"/>
      <c r="J135" s="4">
        <v>21</v>
      </c>
      <c r="K135" s="4">
        <v>5.6423769081419169E-3</v>
      </c>
      <c r="L135" s="4">
        <v>0.14565201370758366</v>
      </c>
      <c r="N135" s="4">
        <v>34.166666666666671</v>
      </c>
      <c r="O135" s="4">
        <v>-3.4883679960709624E-2</v>
      </c>
      <c r="AI135" s="464">
        <f t="shared" si="16"/>
        <v>115</v>
      </c>
      <c r="AJ135" s="473">
        <v>43048</v>
      </c>
      <c r="AK135" s="474">
        <v>20071.87</v>
      </c>
      <c r="AL135" s="475">
        <v>-1.12E-2</v>
      </c>
      <c r="AM135" s="475">
        <f t="shared" si="18"/>
        <v>-1.1248646566392018E-2</v>
      </c>
      <c r="AN135" s="464"/>
      <c r="AO135" s="464"/>
      <c r="AR135" s="464">
        <f t="shared" si="17"/>
        <v>115</v>
      </c>
      <c r="AS135" s="464" t="s">
        <v>2523</v>
      </c>
      <c r="AT135" s="381">
        <v>1.3560000000000001E-2</v>
      </c>
      <c r="AV135" s="464"/>
      <c r="AW135" s="465"/>
    </row>
    <row r="136" spans="4:49" ht="15">
      <c r="D136" s="384"/>
      <c r="J136" s="4">
        <v>22</v>
      </c>
      <c r="K136" s="4">
        <v>4.5828960772252944E-2</v>
      </c>
      <c r="L136" s="4">
        <v>0.20131363442956129</v>
      </c>
      <c r="N136" s="4">
        <v>35.833333333333336</v>
      </c>
      <c r="O136" s="4">
        <v>-3.3073911789790023E-2</v>
      </c>
      <c r="AI136" s="464">
        <f t="shared" si="16"/>
        <v>116</v>
      </c>
      <c r="AJ136" s="473">
        <v>43049</v>
      </c>
      <c r="AK136" s="474">
        <v>20020.849999999999</v>
      </c>
      <c r="AL136" s="475">
        <v>-2.5000000000000001E-3</v>
      </c>
      <c r="AM136" s="475">
        <f t="shared" si="18"/>
        <v>-2.5418658052289711E-3</v>
      </c>
      <c r="AN136" s="464"/>
      <c r="AO136" s="464"/>
      <c r="AR136" s="464">
        <f t="shared" si="17"/>
        <v>116</v>
      </c>
      <c r="AS136" s="464" t="s">
        <v>2522</v>
      </c>
      <c r="AT136" s="381">
        <v>1.409E-2</v>
      </c>
      <c r="AV136" s="464"/>
      <c r="AW136" s="465"/>
    </row>
    <row r="137" spans="4:49" ht="15">
      <c r="D137" s="384"/>
      <c r="J137" s="4">
        <v>23</v>
      </c>
      <c r="K137" s="4">
        <v>-3.3994590419172049E-2</v>
      </c>
      <c r="L137" s="4">
        <v>-1.7551596373781259E-2</v>
      </c>
      <c r="N137" s="4">
        <v>37.500000000000007</v>
      </c>
      <c r="O137" s="4">
        <v>-2.2222337254608759E-2</v>
      </c>
      <c r="AI137" s="464">
        <f t="shared" si="16"/>
        <v>117</v>
      </c>
      <c r="AJ137" s="473">
        <v>43052</v>
      </c>
      <c r="AK137" s="474">
        <v>19787.91</v>
      </c>
      <c r="AL137" s="475">
        <v>-1.1599999999999999E-2</v>
      </c>
      <c r="AM137" s="475">
        <f t="shared" si="18"/>
        <v>-1.1634870647350026E-2</v>
      </c>
      <c r="AN137" s="464"/>
      <c r="AO137" s="464"/>
      <c r="AR137" s="464">
        <f t="shared" si="17"/>
        <v>117</v>
      </c>
      <c r="AS137" s="464" t="s">
        <v>2521</v>
      </c>
      <c r="AT137" s="381">
        <v>1.3849999999999999E-2</v>
      </c>
      <c r="AV137" s="464"/>
      <c r="AW137" s="465"/>
    </row>
    <row r="138" spans="4:49" ht="15">
      <c r="D138" s="384"/>
      <c r="J138" s="4">
        <v>24</v>
      </c>
      <c r="K138" s="4">
        <v>3.479660224560268E-2</v>
      </c>
      <c r="L138" s="4">
        <v>-4.6873947500101452E-2</v>
      </c>
      <c r="N138" s="4">
        <v>39.166666666666671</v>
      </c>
      <c r="O138" s="4">
        <v>-1.9841279569397963E-2</v>
      </c>
      <c r="AI138" s="464">
        <f t="shared" si="16"/>
        <v>118</v>
      </c>
      <c r="AJ138" s="473">
        <v>43053</v>
      </c>
      <c r="AK138" s="474">
        <v>19846.599999999999</v>
      </c>
      <c r="AL138" s="475">
        <v>3.0000000000000001E-3</v>
      </c>
      <c r="AM138" s="475">
        <f t="shared" si="18"/>
        <v>2.9659524426783879E-3</v>
      </c>
      <c r="AN138" s="464"/>
      <c r="AO138" s="464"/>
      <c r="AR138" s="464">
        <f t="shared" si="17"/>
        <v>118</v>
      </c>
      <c r="AS138" s="464" t="s">
        <v>2520</v>
      </c>
      <c r="AT138" s="381">
        <v>1.349E-2</v>
      </c>
      <c r="AV138" s="464"/>
      <c r="AW138" s="465"/>
    </row>
    <row r="139" spans="4:49" ht="15">
      <c r="D139" s="384"/>
      <c r="J139" s="4">
        <v>25</v>
      </c>
      <c r="K139" s="4">
        <v>1.9426686290045778E-2</v>
      </c>
      <c r="L139" s="4">
        <v>0.1101576180623481</v>
      </c>
      <c r="N139" s="4">
        <v>40.833333333333336</v>
      </c>
      <c r="O139" s="4">
        <v>-1.8955997942479041E-2</v>
      </c>
      <c r="AI139" s="464">
        <f t="shared" si="16"/>
        <v>119</v>
      </c>
      <c r="AJ139" s="473">
        <v>43054</v>
      </c>
      <c r="AK139" s="474">
        <v>19693.38</v>
      </c>
      <c r="AL139" s="475">
        <v>-7.7000000000000002E-3</v>
      </c>
      <c r="AM139" s="475">
        <f t="shared" si="18"/>
        <v>-7.7202140416997578E-3</v>
      </c>
      <c r="AN139" s="464"/>
      <c r="AO139" s="464"/>
      <c r="AR139" s="464">
        <f t="shared" si="17"/>
        <v>119</v>
      </c>
      <c r="AS139" s="464" t="s">
        <v>2519</v>
      </c>
      <c r="AT139" s="381">
        <v>1.3580000000000002E-2</v>
      </c>
      <c r="AV139" s="464"/>
      <c r="AW139" s="465"/>
    </row>
    <row r="140" spans="4:49" ht="15">
      <c r="D140" s="384"/>
      <c r="J140" s="4">
        <v>26</v>
      </c>
      <c r="K140" s="4">
        <v>-4.8672679311854775E-3</v>
      </c>
      <c r="L140" s="4">
        <v>-3.950500792982508E-2</v>
      </c>
      <c r="N140" s="4">
        <v>42.500000000000007</v>
      </c>
      <c r="O140" s="4">
        <v>-1.5662574335652324E-2</v>
      </c>
      <c r="AI140" s="464">
        <f t="shared" si="16"/>
        <v>120</v>
      </c>
      <c r="AJ140" s="473">
        <v>43055</v>
      </c>
      <c r="AK140" s="474">
        <v>19850</v>
      </c>
      <c r="AL140" s="475">
        <v>8.0000000000000002E-3</v>
      </c>
      <c r="AM140" s="475">
        <f t="shared" si="18"/>
        <v>7.9529263133093497E-3</v>
      </c>
      <c r="AN140" s="464"/>
      <c r="AO140" s="464"/>
      <c r="AR140" s="464">
        <f t="shared" si="17"/>
        <v>120</v>
      </c>
      <c r="AS140" s="464" t="s">
        <v>2518</v>
      </c>
      <c r="AT140" s="381">
        <v>1.336E-2</v>
      </c>
      <c r="AV140" s="464"/>
      <c r="AW140" s="465"/>
    </row>
    <row r="141" spans="4:49" ht="15">
      <c r="D141" s="384"/>
      <c r="J141" s="4">
        <v>27</v>
      </c>
      <c r="K141" s="4">
        <v>3.6862846223221023E-2</v>
      </c>
      <c r="L141" s="4">
        <v>-5.0452974973720276E-2</v>
      </c>
      <c r="N141" s="4">
        <v>44.166666666666671</v>
      </c>
      <c r="O141" s="4">
        <v>-1.3590128750499253E-2</v>
      </c>
      <c r="AI141" s="464">
        <f t="shared" si="16"/>
        <v>121</v>
      </c>
      <c r="AJ141" s="473">
        <v>43056</v>
      </c>
      <c r="AK141" s="474">
        <v>19797.830000000002</v>
      </c>
      <c r="AL141" s="475">
        <v>-2.5999999999999999E-3</v>
      </c>
      <c r="AM141" s="475">
        <f t="shared" si="18"/>
        <v>-2.6282115869016298E-3</v>
      </c>
      <c r="AN141" s="464"/>
      <c r="AO141" s="464"/>
      <c r="AR141" s="464">
        <f t="shared" si="17"/>
        <v>121</v>
      </c>
      <c r="AS141" s="464" t="s">
        <v>2517</v>
      </c>
      <c r="AT141" s="381">
        <v>1.333E-2</v>
      </c>
      <c r="AV141" s="464"/>
      <c r="AW141" s="465"/>
    </row>
    <row r="142" spans="4:49" ht="15">
      <c r="D142" s="384"/>
      <c r="J142" s="4">
        <v>28</v>
      </c>
      <c r="K142" s="4">
        <v>1.3200057457114812E-2</v>
      </c>
      <c r="L142" s="4">
        <v>8.0887164865267064E-2</v>
      </c>
      <c r="N142" s="4">
        <v>45.833333333333336</v>
      </c>
      <c r="O142" s="4">
        <v>-1.2631477453109996E-2</v>
      </c>
      <c r="AI142" s="464">
        <f t="shared" si="16"/>
        <v>122</v>
      </c>
      <c r="AJ142" s="473">
        <v>43059</v>
      </c>
      <c r="AK142" s="474">
        <v>19871.29</v>
      </c>
      <c r="AL142" s="475">
        <v>3.7000000000000002E-3</v>
      </c>
      <c r="AM142" s="475">
        <f t="shared" si="18"/>
        <v>3.7105076667491854E-3</v>
      </c>
      <c r="AN142" s="464"/>
      <c r="AO142" s="464"/>
      <c r="AR142" s="464">
        <f t="shared" si="17"/>
        <v>122</v>
      </c>
      <c r="AS142" s="464" t="s">
        <v>2516</v>
      </c>
      <c r="AT142" s="381">
        <v>1.3440000000000001E-2</v>
      </c>
      <c r="AV142" s="464"/>
      <c r="AW142" s="465"/>
    </row>
    <row r="143" spans="4:49" ht="15">
      <c r="D143" s="384"/>
      <c r="J143" s="4">
        <v>29</v>
      </c>
      <c r="K143" s="4">
        <v>4.833409732932159E-2</v>
      </c>
      <c r="L143" s="4">
        <v>5.3587129848456927E-2</v>
      </c>
      <c r="N143" s="4">
        <v>47.500000000000007</v>
      </c>
      <c r="O143" s="4">
        <v>-1.2077345254498772E-2</v>
      </c>
      <c r="AI143" s="464">
        <f t="shared" si="16"/>
        <v>123</v>
      </c>
      <c r="AJ143" s="473">
        <v>43060</v>
      </c>
      <c r="AK143" s="474">
        <v>19943.98</v>
      </c>
      <c r="AL143" s="475">
        <v>3.7000000000000002E-3</v>
      </c>
      <c r="AM143" s="475">
        <f t="shared" si="18"/>
        <v>3.6580413249467369E-3</v>
      </c>
      <c r="AN143" s="464"/>
      <c r="AO143" s="464"/>
      <c r="AR143" s="464">
        <f t="shared" si="17"/>
        <v>123</v>
      </c>
      <c r="AS143" s="464" t="s">
        <v>2515</v>
      </c>
      <c r="AT143" s="381">
        <v>1.2619999999999999E-2</v>
      </c>
      <c r="AV143" s="464"/>
      <c r="AW143" s="465"/>
    </row>
    <row r="144" spans="4:49" ht="15">
      <c r="D144" s="384"/>
      <c r="J144" s="4">
        <v>30</v>
      </c>
      <c r="K144" s="4">
        <v>6.0230316724968189E-2</v>
      </c>
      <c r="L144" s="4">
        <v>3.1779174244398758E-2</v>
      </c>
      <c r="N144" s="4">
        <v>49.166666666666671</v>
      </c>
      <c r="O144" s="4">
        <v>-1.1652011923160233E-2</v>
      </c>
      <c r="AI144" s="464">
        <f t="shared" si="16"/>
        <v>124</v>
      </c>
      <c r="AJ144" s="473">
        <v>43061</v>
      </c>
      <c r="AK144" s="474">
        <v>20013.86</v>
      </c>
      <c r="AL144" s="475">
        <v>3.5000000000000001E-3</v>
      </c>
      <c r="AM144" s="475">
        <f t="shared" si="18"/>
        <v>3.5038141835281866E-3</v>
      </c>
      <c r="AN144" s="464"/>
      <c r="AO144" s="464"/>
      <c r="AR144" s="464">
        <f t="shared" si="17"/>
        <v>124</v>
      </c>
      <c r="AS144" s="464" t="s">
        <v>2514</v>
      </c>
      <c r="AT144" s="381">
        <v>1.2669999999999999E-2</v>
      </c>
      <c r="AV144" s="464"/>
      <c r="AW144" s="465"/>
    </row>
    <row r="145" spans="4:49" ht="15">
      <c r="D145" s="384"/>
      <c r="J145" s="4">
        <v>31</v>
      </c>
      <c r="K145" s="4">
        <v>-2.4733918751282048E-2</v>
      </c>
      <c r="L145" s="4">
        <v>-2.1829169684106541E-2</v>
      </c>
      <c r="N145" s="4">
        <v>50.833333333333336</v>
      </c>
      <c r="O145" s="4">
        <v>-6.7567327299279389E-3</v>
      </c>
      <c r="AI145" s="464">
        <f t="shared" si="16"/>
        <v>125</v>
      </c>
      <c r="AJ145" s="473">
        <v>43062</v>
      </c>
      <c r="AK145" s="474">
        <v>20006.05</v>
      </c>
      <c r="AL145" s="475">
        <v>-4.0000000000000002E-4</v>
      </c>
      <c r="AM145" s="475">
        <f t="shared" si="18"/>
        <v>-3.9022957090739663E-4</v>
      </c>
      <c r="AN145" s="464"/>
      <c r="AO145" s="464"/>
      <c r="AR145" s="464">
        <f t="shared" si="17"/>
        <v>125</v>
      </c>
      <c r="AS145" s="464" t="s">
        <v>2513</v>
      </c>
      <c r="AT145" s="381">
        <v>1.2580000000000001E-2</v>
      </c>
      <c r="AV145" s="464"/>
      <c r="AW145" s="465"/>
    </row>
    <row r="146" spans="4:49" ht="15">
      <c r="D146" s="384"/>
      <c r="J146" s="4">
        <v>32</v>
      </c>
      <c r="K146" s="4">
        <v>-7.6466795702740911E-2</v>
      </c>
      <c r="L146" s="4">
        <v>4.1583115742031287E-2</v>
      </c>
      <c r="N146" s="4">
        <v>52.500000000000007</v>
      </c>
      <c r="O146" s="4">
        <v>-3.6478501389759499E-3</v>
      </c>
      <c r="AI146" s="464">
        <f t="shared" si="16"/>
        <v>126</v>
      </c>
      <c r="AJ146" s="473">
        <v>43063</v>
      </c>
      <c r="AK146" s="474">
        <v>19944.79</v>
      </c>
      <c r="AL146" s="475">
        <v>-3.0999999999999999E-3</v>
      </c>
      <c r="AM146" s="475">
        <f t="shared" si="18"/>
        <v>-3.0620737226988437E-3</v>
      </c>
      <c r="AN146" s="464"/>
      <c r="AO146" s="464"/>
      <c r="AR146" s="464">
        <f t="shared" si="17"/>
        <v>126</v>
      </c>
      <c r="AS146" s="464" t="s">
        <v>2512</v>
      </c>
      <c r="AT146" s="381">
        <v>1.2319999999999999E-2</v>
      </c>
      <c r="AV146" s="464"/>
      <c r="AW146" s="465"/>
    </row>
    <row r="147" spans="4:49" ht="15">
      <c r="D147" s="384"/>
      <c r="J147" s="4">
        <v>33</v>
      </c>
      <c r="K147" s="4">
        <v>-0.20908305300049929</v>
      </c>
      <c r="L147" s="4">
        <v>1.4300325442626993E-2</v>
      </c>
      <c r="N147" s="4">
        <v>54.166666666666671</v>
      </c>
      <c r="O147" s="4">
        <v>-2.3836082729181696E-3</v>
      </c>
      <c r="AI147" s="464">
        <f t="shared" si="16"/>
        <v>127</v>
      </c>
      <c r="AJ147" s="473">
        <v>43066</v>
      </c>
      <c r="AK147" s="474">
        <v>19881.259999999998</v>
      </c>
      <c r="AL147" s="475">
        <v>-3.2000000000000002E-3</v>
      </c>
      <c r="AM147" s="475">
        <f t="shared" si="18"/>
        <v>-3.1852930013303027E-3</v>
      </c>
      <c r="AN147" s="464"/>
      <c r="AO147" s="464"/>
      <c r="AR147" s="464">
        <f t="shared" si="17"/>
        <v>127</v>
      </c>
      <c r="AS147" s="464" t="s">
        <v>2511</v>
      </c>
      <c r="AT147" s="381">
        <v>1.2270000000000001E-2</v>
      </c>
      <c r="AV147" s="464"/>
      <c r="AW147" s="465"/>
    </row>
    <row r="148" spans="4:49" ht="15">
      <c r="D148" s="384"/>
      <c r="J148" s="4">
        <v>34</v>
      </c>
      <c r="K148" s="4">
        <v>9.8263846232338081E-2</v>
      </c>
      <c r="L148" s="4">
        <v>-0.11392642056799041</v>
      </c>
      <c r="N148" s="4">
        <v>55.833333333333336</v>
      </c>
      <c r="O148" s="4">
        <v>9.0991562191033992E-4</v>
      </c>
      <c r="AI148" s="464">
        <f t="shared" si="16"/>
        <v>128</v>
      </c>
      <c r="AJ148" s="473">
        <v>43067</v>
      </c>
      <c r="AK148" s="474">
        <v>20026.189999999999</v>
      </c>
      <c r="AL148" s="475">
        <v>7.3000000000000001E-3</v>
      </c>
      <c r="AM148" s="475">
        <f t="shared" si="18"/>
        <v>7.2897794204189736E-3</v>
      </c>
      <c r="AN148" s="464"/>
      <c r="AO148" s="464"/>
      <c r="AR148" s="464">
        <f t="shared" si="17"/>
        <v>128</v>
      </c>
      <c r="AS148" s="464" t="s">
        <v>2510</v>
      </c>
      <c r="AT148" s="381">
        <v>1.265E-2</v>
      </c>
      <c r="AV148" s="464"/>
      <c r="AW148" s="465"/>
    </row>
    <row r="149" spans="4:49" ht="15">
      <c r="D149" s="384"/>
      <c r="J149" s="4">
        <v>35</v>
      </c>
      <c r="K149" s="4">
        <v>4.4600079036027029E-2</v>
      </c>
      <c r="L149" s="4">
        <v>-0.10579965996654939</v>
      </c>
      <c r="N149" s="4">
        <v>57.500000000000007</v>
      </c>
      <c r="O149" s="4">
        <v>2.1904843822193598E-3</v>
      </c>
      <c r="AI149" s="464">
        <f t="shared" ref="AI149:AI212" si="19">AI148+1</f>
        <v>129</v>
      </c>
      <c r="AJ149" s="473">
        <v>43068</v>
      </c>
      <c r="AK149" s="474">
        <v>20059.580000000002</v>
      </c>
      <c r="AL149" s="475">
        <v>1.6999999999999999E-3</v>
      </c>
      <c r="AM149" s="475">
        <f t="shared" si="18"/>
        <v>1.6673166488485602E-3</v>
      </c>
      <c r="AN149" s="464"/>
      <c r="AO149" s="464"/>
      <c r="AR149" s="464">
        <f t="shared" ref="AR149:AR212" si="20">AR148+1</f>
        <v>129</v>
      </c>
      <c r="AS149" s="464" t="s">
        <v>2509</v>
      </c>
      <c r="AT149" s="381">
        <v>1.341E-2</v>
      </c>
      <c r="AV149" s="464"/>
      <c r="AW149" s="465"/>
    </row>
    <row r="150" spans="4:49" ht="15">
      <c r="D150" s="384"/>
      <c r="J150" s="4">
        <v>36</v>
      </c>
      <c r="K150" s="4">
        <v>1.3415381454245291E-2</v>
      </c>
      <c r="L150" s="4">
        <v>0.14303842686601051</v>
      </c>
      <c r="N150" s="4">
        <v>59.166666666666671</v>
      </c>
      <c r="O150" s="4">
        <v>1.9650665626504304E-2</v>
      </c>
      <c r="AI150" s="464">
        <f t="shared" si="19"/>
        <v>130</v>
      </c>
      <c r="AJ150" s="473">
        <v>43069</v>
      </c>
      <c r="AK150" s="474">
        <v>19952.89</v>
      </c>
      <c r="AL150" s="475">
        <v>-5.3E-3</v>
      </c>
      <c r="AM150" s="475">
        <f t="shared" ref="AM150:AM213" si="21">AK150/AK149-1</f>
        <v>-5.3186557245965549E-3</v>
      </c>
      <c r="AN150" s="464"/>
      <c r="AO150" s="464"/>
      <c r="AR150" s="464">
        <f t="shared" si="20"/>
        <v>130</v>
      </c>
      <c r="AS150" s="464" t="s">
        <v>2508</v>
      </c>
      <c r="AT150" s="381">
        <v>1.329E-2</v>
      </c>
      <c r="AV150" s="464"/>
      <c r="AW150" s="465"/>
    </row>
    <row r="151" spans="4:49" ht="15">
      <c r="D151" s="384"/>
      <c r="J151" s="4">
        <v>37</v>
      </c>
      <c r="K151" s="4">
        <v>-1.8966549402488955E-3</v>
      </c>
      <c r="L151" s="4">
        <v>-4.5453931983450969E-2</v>
      </c>
      <c r="N151" s="4">
        <v>60.833333333333336</v>
      </c>
      <c r="O151" s="4">
        <v>2.702696319289144E-2</v>
      </c>
      <c r="AI151" s="464">
        <f t="shared" si="19"/>
        <v>131</v>
      </c>
      <c r="AJ151" s="473">
        <v>43070</v>
      </c>
      <c r="AK151" s="474">
        <v>19854.400000000001</v>
      </c>
      <c r="AL151" s="475">
        <v>-4.8999999999999998E-3</v>
      </c>
      <c r="AM151" s="475">
        <f t="shared" si="21"/>
        <v>-4.936127047259764E-3</v>
      </c>
      <c r="AN151" s="464"/>
      <c r="AO151" s="464"/>
      <c r="AR151" s="464">
        <f t="shared" si="20"/>
        <v>131</v>
      </c>
      <c r="AS151" s="464" t="s">
        <v>2507</v>
      </c>
      <c r="AT151" s="381">
        <v>1.321E-2</v>
      </c>
      <c r="AV151" s="464"/>
      <c r="AW151" s="465"/>
    </row>
    <row r="152" spans="4:49" ht="15">
      <c r="D152" s="384"/>
      <c r="J152" s="4">
        <v>38</v>
      </c>
      <c r="K152" s="4">
        <v>5.9317285552462962E-2</v>
      </c>
      <c r="L152" s="4">
        <v>5.7715467780382612E-3</v>
      </c>
      <c r="N152" s="4">
        <v>62.500000000000007</v>
      </c>
      <c r="O152" s="4">
        <v>3.7500047354833699E-2</v>
      </c>
      <c r="AI152" s="464">
        <f t="shared" si="19"/>
        <v>132</v>
      </c>
      <c r="AJ152" s="473">
        <v>43073</v>
      </c>
      <c r="AK152" s="474">
        <v>19935.95</v>
      </c>
      <c r="AL152" s="475">
        <v>4.1000000000000003E-3</v>
      </c>
      <c r="AM152" s="475">
        <f t="shared" si="21"/>
        <v>4.1074018857281125E-3</v>
      </c>
      <c r="AN152" s="464"/>
      <c r="AO152" s="464"/>
      <c r="AR152" s="464">
        <f t="shared" si="20"/>
        <v>132</v>
      </c>
      <c r="AS152" s="464" t="s">
        <v>2506</v>
      </c>
      <c r="AT152" s="381">
        <v>1.2849999999999999E-2</v>
      </c>
      <c r="AV152" s="464"/>
      <c r="AW152" s="465"/>
    </row>
    <row r="153" spans="4:49" ht="15">
      <c r="D153" s="384"/>
      <c r="J153" s="4">
        <v>39</v>
      </c>
      <c r="K153" s="4">
        <v>-1.7539008683900709E-2</v>
      </c>
      <c r="L153" s="4">
        <v>-4.6833285707080508E-3</v>
      </c>
      <c r="N153" s="4">
        <v>64.166666666666671</v>
      </c>
      <c r="O153" s="4">
        <v>4.5188784493200185E-2</v>
      </c>
      <c r="AI153" s="464">
        <f t="shared" si="19"/>
        <v>133</v>
      </c>
      <c r="AJ153" s="473">
        <v>43074</v>
      </c>
      <c r="AK153" s="474">
        <v>19871.080000000002</v>
      </c>
      <c r="AL153" s="475">
        <v>-3.3E-3</v>
      </c>
      <c r="AM153" s="475">
        <f t="shared" si="21"/>
        <v>-3.2539206809807375E-3</v>
      </c>
      <c r="AN153" s="464"/>
      <c r="AO153" s="464"/>
      <c r="AR153" s="464">
        <f t="shared" si="20"/>
        <v>133</v>
      </c>
      <c r="AS153" s="464" t="s">
        <v>2505</v>
      </c>
      <c r="AT153" s="381">
        <v>1.3089999999999999E-2</v>
      </c>
      <c r="AV153" s="464"/>
      <c r="AW153" s="465"/>
    </row>
    <row r="154" spans="4:49" ht="15">
      <c r="D154" s="384"/>
      <c r="J154" s="4">
        <v>40</v>
      </c>
      <c r="K154" s="4">
        <v>3.1520356276011838E-3</v>
      </c>
      <c r="L154" s="4">
        <v>3.4348011727232515E-2</v>
      </c>
      <c r="N154" s="4">
        <v>65.833333333333329</v>
      </c>
      <c r="O154" s="4">
        <v>5.2325623324334103E-2</v>
      </c>
      <c r="AI154" s="464">
        <f t="shared" si="19"/>
        <v>134</v>
      </c>
      <c r="AJ154" s="473">
        <v>43075</v>
      </c>
      <c r="AK154" s="474">
        <v>19828.939999999999</v>
      </c>
      <c r="AL154" s="475">
        <v>-2.0999999999999999E-3</v>
      </c>
      <c r="AM154" s="475">
        <f t="shared" si="21"/>
        <v>-2.1206698377744804E-3</v>
      </c>
      <c r="AN154" s="464"/>
      <c r="AO154" s="464"/>
      <c r="AR154" s="464">
        <f t="shared" si="20"/>
        <v>134</v>
      </c>
      <c r="AS154" s="464" t="s">
        <v>2504</v>
      </c>
      <c r="AT154" s="381">
        <v>1.2960000000000001E-2</v>
      </c>
      <c r="AV154" s="464"/>
      <c r="AW154" s="465"/>
    </row>
    <row r="155" spans="4:49" ht="15">
      <c r="D155" s="384"/>
      <c r="J155" s="4">
        <v>41</v>
      </c>
      <c r="K155" s="4">
        <v>0.13179372683449722</v>
      </c>
      <c r="L155" s="4">
        <v>-3.8494910701838331E-2</v>
      </c>
      <c r="N155" s="4">
        <v>67.5</v>
      </c>
      <c r="O155" s="4">
        <v>5.6433471759512299E-2</v>
      </c>
      <c r="AI155" s="464">
        <f t="shared" si="19"/>
        <v>135</v>
      </c>
      <c r="AJ155" s="473">
        <v>43076</v>
      </c>
      <c r="AK155" s="474">
        <v>19810.27</v>
      </c>
      <c r="AL155" s="475">
        <v>-8.9999999999999998E-4</v>
      </c>
      <c r="AM155" s="475">
        <f t="shared" si="21"/>
        <v>-9.4155310369581358E-4</v>
      </c>
      <c r="AN155" s="464"/>
      <c r="AO155" s="464"/>
      <c r="AR155" s="464">
        <f t="shared" si="20"/>
        <v>135</v>
      </c>
      <c r="AS155" s="464" t="s">
        <v>2503</v>
      </c>
      <c r="AT155" s="381">
        <v>1.2929999999999999E-2</v>
      </c>
      <c r="AV155" s="464"/>
      <c r="AW155" s="465"/>
    </row>
    <row r="156" spans="4:49" ht="15">
      <c r="D156" s="384"/>
      <c r="J156" s="4">
        <v>42</v>
      </c>
      <c r="K156" s="4">
        <v>6.8327257955238807E-2</v>
      </c>
      <c r="L156" s="4">
        <v>0.21607637645217753</v>
      </c>
      <c r="N156" s="4">
        <v>69.166666666666671</v>
      </c>
      <c r="O156" s="4">
        <v>6.2355702750549247E-2</v>
      </c>
      <c r="AI156" s="464">
        <f t="shared" si="19"/>
        <v>136</v>
      </c>
      <c r="AJ156" s="473">
        <v>43077</v>
      </c>
      <c r="AK156" s="474">
        <v>19992.54</v>
      </c>
      <c r="AL156" s="475">
        <v>9.1999999999999998E-3</v>
      </c>
      <c r="AM156" s="475">
        <f t="shared" si="21"/>
        <v>9.2007832301124193E-3</v>
      </c>
      <c r="AN156" s="464"/>
      <c r="AO156" s="464"/>
      <c r="AR156" s="464">
        <f t="shared" si="20"/>
        <v>136</v>
      </c>
      <c r="AS156" s="464" t="s">
        <v>2502</v>
      </c>
      <c r="AT156" s="381">
        <v>1.2760000000000001E-2</v>
      </c>
      <c r="AV156" s="464"/>
      <c r="AW156" s="465"/>
    </row>
    <row r="157" spans="4:49" ht="15">
      <c r="D157" s="384"/>
      <c r="J157" s="4">
        <v>43</v>
      </c>
      <c r="K157" s="4">
        <v>-3.6721064040852961E-3</v>
      </c>
      <c r="L157" s="4">
        <v>-1.6169173165312668E-2</v>
      </c>
      <c r="N157" s="4">
        <v>70.833333333333329</v>
      </c>
      <c r="O157" s="4">
        <v>6.2753078793837735E-2</v>
      </c>
      <c r="AI157" s="464">
        <f t="shared" si="19"/>
        <v>137</v>
      </c>
      <c r="AJ157" s="473">
        <v>43080</v>
      </c>
      <c r="AK157" s="474">
        <v>20064.62</v>
      </c>
      <c r="AL157" s="475">
        <v>3.5999999999999999E-3</v>
      </c>
      <c r="AM157" s="475">
        <f t="shared" si="21"/>
        <v>3.6053447936079674E-3</v>
      </c>
      <c r="AN157" s="464"/>
      <c r="AO157" s="464"/>
      <c r="AR157" s="464">
        <f t="shared" si="20"/>
        <v>137</v>
      </c>
      <c r="AS157" s="464" t="s">
        <v>2501</v>
      </c>
      <c r="AT157" s="381">
        <v>1.278E-2</v>
      </c>
      <c r="AV157" s="464"/>
      <c r="AW157" s="465"/>
    </row>
    <row r="158" spans="4:49" ht="15">
      <c r="D158" s="384"/>
      <c r="J158" s="4">
        <v>44</v>
      </c>
      <c r="K158" s="4">
        <v>4.2546213743525824E-2</v>
      </c>
      <c r="L158" s="4">
        <v>2.0206865050311912E-2</v>
      </c>
      <c r="N158" s="4">
        <v>72.5</v>
      </c>
      <c r="O158" s="4">
        <v>6.5088832330501223E-2</v>
      </c>
      <c r="AI158" s="464">
        <f t="shared" si="19"/>
        <v>138</v>
      </c>
      <c r="AJ158" s="473">
        <v>43081</v>
      </c>
      <c r="AK158" s="474">
        <v>20073.02</v>
      </c>
      <c r="AL158" s="475">
        <v>4.0000000000000002E-4</v>
      </c>
      <c r="AM158" s="475">
        <f t="shared" si="21"/>
        <v>4.1864735041086121E-4</v>
      </c>
      <c r="AN158" s="464"/>
      <c r="AO158" s="464"/>
      <c r="AR158" s="464">
        <f t="shared" si="20"/>
        <v>138</v>
      </c>
      <c r="AS158" s="464" t="s">
        <v>2500</v>
      </c>
      <c r="AT158" s="381">
        <v>1.2500000000000001E-2</v>
      </c>
      <c r="AV158" s="464"/>
      <c r="AW158" s="465"/>
    </row>
    <row r="159" spans="4:49" ht="15">
      <c r="D159" s="384"/>
      <c r="J159" s="4">
        <v>45</v>
      </c>
      <c r="K159" s="4">
        <v>3.7950816872664231E-2</v>
      </c>
      <c r="L159" s="4">
        <v>-4.9602828795824463E-2</v>
      </c>
      <c r="N159" s="4">
        <v>74.166666666666671</v>
      </c>
      <c r="O159" s="4">
        <v>6.9727793922897519E-2</v>
      </c>
      <c r="AI159" s="464">
        <f t="shared" si="19"/>
        <v>139</v>
      </c>
      <c r="AJ159" s="473">
        <v>43082</v>
      </c>
      <c r="AK159" s="474">
        <v>20061.400000000001</v>
      </c>
      <c r="AL159" s="475">
        <v>-5.9999999999999995E-4</v>
      </c>
      <c r="AM159" s="475">
        <f t="shared" si="21"/>
        <v>-5.788864854415765E-4</v>
      </c>
      <c r="AN159" s="464"/>
      <c r="AO159" s="464"/>
      <c r="AR159" s="464">
        <f t="shared" si="20"/>
        <v>139</v>
      </c>
      <c r="AS159" s="464" t="s">
        <v>2499</v>
      </c>
      <c r="AT159" s="381">
        <v>1.2509999999999999E-2</v>
      </c>
      <c r="AV159" s="464"/>
      <c r="AW159" s="465"/>
    </row>
    <row r="160" spans="4:49" ht="15">
      <c r="D160" s="384"/>
      <c r="J160" s="4">
        <v>46</v>
      </c>
      <c r="K160" s="4">
        <v>5.42801624287296E-2</v>
      </c>
      <c r="L160" s="4">
        <v>-1.9545391043954974E-3</v>
      </c>
      <c r="N160" s="4">
        <v>75.833333333333329</v>
      </c>
      <c r="O160" s="4">
        <v>7.3242136228529153E-2</v>
      </c>
      <c r="AI160" s="464">
        <f t="shared" si="19"/>
        <v>140</v>
      </c>
      <c r="AJ160" s="473">
        <v>43083</v>
      </c>
      <c r="AK160" s="474">
        <v>20006.27</v>
      </c>
      <c r="AL160" s="475">
        <v>-2.7000000000000001E-3</v>
      </c>
      <c r="AM160" s="475">
        <f t="shared" si="21"/>
        <v>-2.74806344522327E-3</v>
      </c>
      <c r="AN160" s="464"/>
      <c r="AO160" s="464"/>
      <c r="AR160" s="464">
        <f t="shared" si="20"/>
        <v>140</v>
      </c>
      <c r="AS160" s="464" t="s">
        <v>2498</v>
      </c>
      <c r="AT160" s="381">
        <v>1.2540000000000001E-2</v>
      </c>
      <c r="AV160" s="464"/>
      <c r="AW160" s="465"/>
    </row>
    <row r="161" spans="4:49" ht="15">
      <c r="D161" s="384"/>
      <c r="J161" s="4">
        <v>47</v>
      </c>
      <c r="K161" s="4">
        <v>1.7224350867954007E-2</v>
      </c>
      <c r="L161" s="4">
        <v>7.301501885853004E-2</v>
      </c>
      <c r="N161" s="4">
        <v>77.5</v>
      </c>
      <c r="O161" s="4">
        <v>8.1383459127483793E-2</v>
      </c>
      <c r="AI161" s="464">
        <f t="shared" si="19"/>
        <v>141</v>
      </c>
      <c r="AJ161" s="473">
        <v>43084</v>
      </c>
      <c r="AK161" s="474">
        <v>20048.61</v>
      </c>
      <c r="AL161" s="475">
        <v>2.0999999999999999E-3</v>
      </c>
      <c r="AM161" s="475">
        <f t="shared" si="21"/>
        <v>2.1163365284984081E-3</v>
      </c>
      <c r="AN161" s="464"/>
      <c r="AO161" s="464"/>
      <c r="AR161" s="464">
        <f t="shared" si="20"/>
        <v>141</v>
      </c>
      <c r="AS161" s="464" t="s">
        <v>2497</v>
      </c>
      <c r="AT161" s="381">
        <v>1.2540000000000001E-2</v>
      </c>
      <c r="AV161" s="464"/>
      <c r="AW161" s="465"/>
    </row>
    <row r="162" spans="4:49" ht="15">
      <c r="D162" s="384"/>
      <c r="J162" s="4">
        <v>48</v>
      </c>
      <c r="K162" s="4">
        <v>-4.5672526935308967E-3</v>
      </c>
      <c r="L162" s="4">
        <v>-2.1894800363970422E-3</v>
      </c>
      <c r="N162" s="4">
        <v>79.166666666666671</v>
      </c>
      <c r="O162" s="4">
        <v>9.0239369726484053E-2</v>
      </c>
      <c r="AI162" s="464">
        <f t="shared" si="19"/>
        <v>142</v>
      </c>
      <c r="AJ162" s="473">
        <v>43087</v>
      </c>
      <c r="AK162" s="474">
        <v>20255.400000000001</v>
      </c>
      <c r="AL162" s="475">
        <v>1.03E-2</v>
      </c>
      <c r="AM162" s="475">
        <f t="shared" si="21"/>
        <v>1.0314430775999028E-2</v>
      </c>
      <c r="AN162" s="464"/>
      <c r="AO162" s="464"/>
      <c r="AR162" s="464">
        <f t="shared" si="20"/>
        <v>142</v>
      </c>
      <c r="AS162" s="464" t="s">
        <v>2496</v>
      </c>
      <c r="AT162" s="381">
        <v>1.34E-2</v>
      </c>
      <c r="AV162" s="464"/>
      <c r="AW162" s="465"/>
    </row>
    <row r="163" spans="4:49" ht="15">
      <c r="D163" s="384"/>
      <c r="J163" s="4">
        <v>49</v>
      </c>
      <c r="K163" s="4">
        <v>3.4469592747346053E-2</v>
      </c>
      <c r="L163" s="4">
        <v>3.5258201175551465E-2</v>
      </c>
      <c r="N163" s="4">
        <v>80.833333333333329</v>
      </c>
      <c r="O163" s="4">
        <v>9.2009490969366947E-2</v>
      </c>
      <c r="AI163" s="464">
        <f t="shared" si="19"/>
        <v>143</v>
      </c>
      <c r="AJ163" s="473">
        <v>43088</v>
      </c>
      <c r="AK163" s="474">
        <v>20341.509999999998</v>
      </c>
      <c r="AL163" s="475">
        <v>4.3E-3</v>
      </c>
      <c r="AM163" s="475">
        <f t="shared" si="21"/>
        <v>4.2512120224729166E-3</v>
      </c>
      <c r="AN163" s="464"/>
      <c r="AO163" s="464"/>
      <c r="AR163" s="464">
        <f t="shared" si="20"/>
        <v>143</v>
      </c>
      <c r="AS163" s="464" t="s">
        <v>2495</v>
      </c>
      <c r="AT163" s="381">
        <v>1.3309999999999999E-2</v>
      </c>
      <c r="AV163" s="464"/>
      <c r="AW163" s="465"/>
    </row>
    <row r="164" spans="4:49" ht="15">
      <c r="D164" s="384"/>
      <c r="J164" s="4">
        <v>50</v>
      </c>
      <c r="K164" s="4">
        <v>5.9041831004722503E-2</v>
      </c>
      <c r="L164" s="4">
        <v>-3.2014867811831063E-2</v>
      </c>
      <c r="N164" s="4">
        <v>82.5</v>
      </c>
      <c r="O164" s="4">
        <v>9.3298816132658891E-2</v>
      </c>
      <c r="AI164" s="464">
        <f t="shared" si="19"/>
        <v>144</v>
      </c>
      <c r="AJ164" s="473">
        <v>43089</v>
      </c>
      <c r="AK164" s="474">
        <v>20350.29</v>
      </c>
      <c r="AL164" s="475">
        <v>4.0000000000000002E-4</v>
      </c>
      <c r="AM164" s="475">
        <f t="shared" si="21"/>
        <v>4.3162970693932934E-4</v>
      </c>
      <c r="AN164" s="464"/>
      <c r="AO164" s="464"/>
      <c r="AR164" s="464">
        <f t="shared" si="20"/>
        <v>144</v>
      </c>
      <c r="AS164" s="464" t="s">
        <v>2494</v>
      </c>
      <c r="AT164" s="381">
        <v>1.2350000000000002E-2</v>
      </c>
      <c r="AV164" s="464"/>
      <c r="AW164" s="465"/>
    </row>
    <row r="165" spans="4:49" ht="15">
      <c r="D165" s="384"/>
      <c r="J165" s="4">
        <v>51</v>
      </c>
      <c r="K165" s="4">
        <v>-3.5316008808144103E-2</v>
      </c>
      <c r="L165" s="4">
        <v>-0.16901829451373729</v>
      </c>
      <c r="N165" s="4">
        <v>84.166666666666671</v>
      </c>
      <c r="O165" s="4">
        <v>9.4087222322381869E-2</v>
      </c>
      <c r="AI165" s="464">
        <f t="shared" si="19"/>
        <v>145</v>
      </c>
      <c r="AJ165" s="473">
        <v>43090</v>
      </c>
      <c r="AK165" s="474">
        <v>20422.73</v>
      </c>
      <c r="AL165" s="475">
        <v>3.5999999999999999E-3</v>
      </c>
      <c r="AM165" s="475">
        <f t="shared" si="21"/>
        <v>3.5596544324429935E-3</v>
      </c>
      <c r="AN165" s="464"/>
      <c r="AO165" s="464"/>
      <c r="AR165" s="464">
        <f t="shared" si="20"/>
        <v>145</v>
      </c>
      <c r="AS165" s="464" t="s">
        <v>2493</v>
      </c>
      <c r="AT165" s="381">
        <v>1.286E-2</v>
      </c>
      <c r="AV165" s="464"/>
      <c r="AW165" s="465"/>
    </row>
    <row r="166" spans="4:49" ht="15">
      <c r="D166" s="384"/>
      <c r="J166" s="4">
        <v>52</v>
      </c>
      <c r="K166" s="4">
        <v>1.2218866910788554E-2</v>
      </c>
      <c r="L166" s="4">
        <v>-4.5292778700578573E-2</v>
      </c>
      <c r="N166" s="4">
        <v>85.833333333333329</v>
      </c>
      <c r="O166" s="4">
        <v>0.10192122717777852</v>
      </c>
      <c r="AI166" s="464">
        <f t="shared" si="19"/>
        <v>146</v>
      </c>
      <c r="AJ166" s="473">
        <v>43091</v>
      </c>
      <c r="AK166" s="474">
        <v>20481.07</v>
      </c>
      <c r="AL166" s="475">
        <v>2.8999999999999998E-3</v>
      </c>
      <c r="AM166" s="475">
        <f t="shared" si="21"/>
        <v>2.8566210296077088E-3</v>
      </c>
      <c r="AN166" s="464"/>
      <c r="AO166" s="464"/>
      <c r="AR166" s="464">
        <f t="shared" si="20"/>
        <v>146</v>
      </c>
      <c r="AS166" s="464" t="s">
        <v>2492</v>
      </c>
      <c r="AT166" s="381">
        <v>1.257E-2</v>
      </c>
      <c r="AV166" s="464"/>
      <c r="AW166" s="465"/>
    </row>
    <row r="167" spans="4:49" ht="15">
      <c r="D167" s="384"/>
      <c r="J167" s="4">
        <v>53</v>
      </c>
      <c r="K167" s="4">
        <v>-1.6350259826123304E-2</v>
      </c>
      <c r="L167" s="4">
        <v>-5.0617413575098039E-2</v>
      </c>
      <c r="N167" s="4">
        <v>87.5</v>
      </c>
      <c r="O167" s="4">
        <v>0.12958430435239388</v>
      </c>
      <c r="AI167" s="464">
        <f t="shared" si="19"/>
        <v>147</v>
      </c>
      <c r="AJ167" s="473">
        <v>43096</v>
      </c>
      <c r="AK167" s="474">
        <v>20640.04</v>
      </c>
      <c r="AL167" s="475">
        <v>7.7999999999999996E-3</v>
      </c>
      <c r="AM167" s="475">
        <f t="shared" si="21"/>
        <v>7.7618015074407687E-3</v>
      </c>
      <c r="AN167" s="464"/>
      <c r="AO167" s="464"/>
      <c r="AR167" s="464">
        <f t="shared" si="20"/>
        <v>147</v>
      </c>
      <c r="AS167" s="464" t="s">
        <v>2491</v>
      </c>
      <c r="AT167" s="381">
        <v>1.23E-2</v>
      </c>
      <c r="AV167" s="464"/>
      <c r="AW167" s="465"/>
    </row>
    <row r="168" spans="4:49" ht="15">
      <c r="D168" s="384"/>
      <c r="J168" s="4">
        <v>54</v>
      </c>
      <c r="K168" s="4">
        <v>5.1488191808558764E-2</v>
      </c>
      <c r="L168" s="4">
        <v>-3.183752618205446E-2</v>
      </c>
      <c r="N168" s="4">
        <v>89.166666666666671</v>
      </c>
      <c r="O168" s="4">
        <v>0.15129439061572558</v>
      </c>
      <c r="AI168" s="464">
        <f t="shared" si="19"/>
        <v>148</v>
      </c>
      <c r="AJ168" s="473">
        <v>43097</v>
      </c>
      <c r="AK168" s="474">
        <v>20642.310000000001</v>
      </c>
      <c r="AL168" s="475">
        <v>1E-4</v>
      </c>
      <c r="AM168" s="475">
        <f t="shared" si="21"/>
        <v>1.0998040701482026E-4</v>
      </c>
      <c r="AN168" s="464"/>
      <c r="AO168" s="464"/>
      <c r="AR168" s="464">
        <f t="shared" si="20"/>
        <v>148</v>
      </c>
      <c r="AS168" s="464" t="s">
        <v>2490</v>
      </c>
      <c r="AT168" s="381">
        <v>1.2529999999999999E-2</v>
      </c>
      <c r="AV168" s="464"/>
      <c r="AW168" s="465"/>
    </row>
    <row r="169" spans="4:49" ht="15">
      <c r="D169" s="384"/>
      <c r="J169" s="4">
        <v>55</v>
      </c>
      <c r="K169" s="4">
        <v>-5.699793570286521E-2</v>
      </c>
      <c r="L169" s="4">
        <v>-0.12929762959035579</v>
      </c>
      <c r="N169" s="4">
        <v>90.833333333333329</v>
      </c>
      <c r="O169" s="4">
        <v>0.15645380832025579</v>
      </c>
      <c r="AI169" s="464">
        <f t="shared" si="19"/>
        <v>149</v>
      </c>
      <c r="AJ169" s="473">
        <v>43098</v>
      </c>
      <c r="AK169" s="474">
        <v>20726.259999999998</v>
      </c>
      <c r="AL169" s="475">
        <v>4.1000000000000003E-3</v>
      </c>
      <c r="AM169" s="475">
        <f t="shared" si="21"/>
        <v>4.0668898006084309E-3</v>
      </c>
      <c r="AN169" s="464"/>
      <c r="AO169" s="464"/>
      <c r="AR169" s="464">
        <f t="shared" si="20"/>
        <v>149</v>
      </c>
      <c r="AS169" s="464" t="s">
        <v>2489</v>
      </c>
      <c r="AT169" s="381">
        <v>1.2789999999999999E-2</v>
      </c>
      <c r="AV169" s="464"/>
      <c r="AW169" s="465"/>
    </row>
    <row r="170" spans="4:49" ht="15">
      <c r="D170" s="384"/>
      <c r="J170" s="4">
        <v>56</v>
      </c>
      <c r="K170" s="4">
        <v>-2.9468545222439631E-2</v>
      </c>
      <c r="L170" s="4">
        <v>1.6837067769329635E-2</v>
      </c>
      <c r="N170" s="4">
        <v>92.5</v>
      </c>
      <c r="O170" s="4">
        <v>0.17486343729931941</v>
      </c>
      <c r="AI170" s="464">
        <f t="shared" si="19"/>
        <v>150</v>
      </c>
      <c r="AJ170" s="473">
        <v>43102</v>
      </c>
      <c r="AK170" s="474">
        <v>20681.45</v>
      </c>
      <c r="AL170" s="475">
        <v>-2.2000000000000001E-3</v>
      </c>
      <c r="AM170" s="475">
        <f t="shared" si="21"/>
        <v>-2.1619915990630512E-3</v>
      </c>
      <c r="AN170" s="464"/>
      <c r="AO170" s="464"/>
      <c r="AR170" s="464">
        <f t="shared" si="20"/>
        <v>150</v>
      </c>
      <c r="AS170" s="464" t="s">
        <v>2488</v>
      </c>
      <c r="AT170" s="381">
        <v>1.204E-2</v>
      </c>
      <c r="AV170" s="464"/>
      <c r="AW170" s="465"/>
    </row>
    <row r="171" spans="4:49" ht="15">
      <c r="D171" s="384"/>
      <c r="J171" s="4">
        <v>57</v>
      </c>
      <c r="K171" s="4">
        <v>1.2695248838445234E-2</v>
      </c>
      <c r="L171" s="4">
        <v>-3.1651246780924278E-2</v>
      </c>
      <c r="N171" s="4">
        <v>94.166666666666671</v>
      </c>
      <c r="O171" s="4">
        <v>0.18349683226625602</v>
      </c>
      <c r="AI171" s="464">
        <f t="shared" si="19"/>
        <v>151</v>
      </c>
      <c r="AJ171" s="473">
        <v>43103</v>
      </c>
      <c r="AK171" s="474">
        <v>20743.900000000001</v>
      </c>
      <c r="AL171" s="475">
        <v>3.0000000000000001E-3</v>
      </c>
      <c r="AM171" s="475">
        <f t="shared" si="21"/>
        <v>3.0196141953295896E-3</v>
      </c>
      <c r="AN171" s="464"/>
      <c r="AO171" s="464"/>
      <c r="AR171" s="464">
        <f t="shared" si="20"/>
        <v>151</v>
      </c>
      <c r="AS171" s="464" t="s">
        <v>2487</v>
      </c>
      <c r="AT171" s="381">
        <v>1.2230000000000001E-2</v>
      </c>
      <c r="AV171" s="464"/>
      <c r="AW171" s="465"/>
    </row>
    <row r="172" spans="4:49" ht="15">
      <c r="D172" s="384"/>
      <c r="J172" s="4">
        <v>58</v>
      </c>
      <c r="K172" s="4">
        <v>-1.2296028837578257E-2</v>
      </c>
      <c r="L172" s="4">
        <v>1.4486513219797617E-2</v>
      </c>
      <c r="N172" s="4">
        <v>95.833333333333329</v>
      </c>
      <c r="O172" s="4">
        <v>0.18473300101898271</v>
      </c>
      <c r="AI172" s="464">
        <f t="shared" si="19"/>
        <v>152</v>
      </c>
      <c r="AJ172" s="473">
        <v>43104</v>
      </c>
      <c r="AK172" s="474">
        <v>20820.45</v>
      </c>
      <c r="AL172" s="475">
        <v>3.7000000000000002E-3</v>
      </c>
      <c r="AM172" s="475">
        <f t="shared" si="21"/>
        <v>3.6902414685762164E-3</v>
      </c>
      <c r="AN172" s="464"/>
      <c r="AO172" s="464"/>
      <c r="AR172" s="464">
        <f t="shared" si="20"/>
        <v>152</v>
      </c>
      <c r="AS172" s="464" t="s">
        <v>2486</v>
      </c>
      <c r="AT172" s="381">
        <v>1.2150000000000001E-2</v>
      </c>
      <c r="AV172" s="464"/>
      <c r="AW172" s="465"/>
    </row>
    <row r="173" spans="4:49" ht="15">
      <c r="D173" s="384"/>
      <c r="J173" s="4">
        <v>59</v>
      </c>
      <c r="K173" s="4">
        <v>-5.031294080112025E-3</v>
      </c>
      <c r="L173" s="4">
        <v>0.17989473137943143</v>
      </c>
      <c r="N173" s="4">
        <v>97.5</v>
      </c>
      <c r="O173" s="4">
        <v>0.24714259520181425</v>
      </c>
      <c r="AI173" s="464">
        <f t="shared" si="19"/>
        <v>153</v>
      </c>
      <c r="AJ173" s="473">
        <v>43105</v>
      </c>
      <c r="AK173" s="474">
        <v>20932.560000000001</v>
      </c>
      <c r="AL173" s="475">
        <v>5.4000000000000003E-3</v>
      </c>
      <c r="AM173" s="475">
        <f t="shared" si="21"/>
        <v>5.3846098427268174E-3</v>
      </c>
      <c r="AN173" s="464"/>
      <c r="AO173" s="464"/>
      <c r="AR173" s="464">
        <f t="shared" si="20"/>
        <v>153</v>
      </c>
      <c r="AS173" s="464" t="s">
        <v>2485</v>
      </c>
      <c r="AT173" s="381">
        <v>1.175E-2</v>
      </c>
      <c r="AV173" s="464"/>
      <c r="AW173" s="465"/>
    </row>
    <row r="174" spans="4:49" ht="16" thickBot="1">
      <c r="D174" s="384"/>
      <c r="J174" s="306">
        <v>60</v>
      </c>
      <c r="K174" s="306">
        <v>-7.6504787292951335E-2</v>
      </c>
      <c r="L174" s="306">
        <v>-5.2797592024971099E-2</v>
      </c>
      <c r="N174" s="306">
        <v>99.166666666666671</v>
      </c>
      <c r="O174" s="306">
        <v>0.28440363440741634</v>
      </c>
      <c r="AI174" s="464">
        <f t="shared" si="19"/>
        <v>154</v>
      </c>
      <c r="AJ174" s="473">
        <v>43108</v>
      </c>
      <c r="AK174" s="474">
        <v>20856.560000000001</v>
      </c>
      <c r="AL174" s="475">
        <v>-3.5999999999999999E-3</v>
      </c>
      <c r="AM174" s="475">
        <f t="shared" si="21"/>
        <v>-3.6307073764508813E-3</v>
      </c>
      <c r="AN174" s="464"/>
      <c r="AO174" s="464"/>
      <c r="AR174" s="464">
        <f t="shared" si="20"/>
        <v>154</v>
      </c>
      <c r="AS174" s="464" t="s">
        <v>2484</v>
      </c>
      <c r="AT174" s="381">
        <v>1.1519999999999999E-2</v>
      </c>
      <c r="AV174" s="464"/>
      <c r="AW174" s="465"/>
    </row>
    <row r="175" spans="4:49" ht="15">
      <c r="D175" s="384"/>
      <c r="AI175" s="464">
        <f t="shared" si="19"/>
        <v>155</v>
      </c>
      <c r="AJ175" s="473">
        <v>43109</v>
      </c>
      <c r="AK175" s="474">
        <v>20874.95</v>
      </c>
      <c r="AL175" s="475">
        <v>8.9999999999999998E-4</v>
      </c>
      <c r="AM175" s="475">
        <f t="shared" si="21"/>
        <v>8.8173696908788735E-4</v>
      </c>
      <c r="AN175" s="464"/>
      <c r="AO175" s="464"/>
      <c r="AR175" s="464">
        <f t="shared" si="20"/>
        <v>155</v>
      </c>
      <c r="AS175" s="464" t="s">
        <v>2483</v>
      </c>
      <c r="AT175" s="381">
        <v>1.146E-2</v>
      </c>
      <c r="AV175" s="464"/>
      <c r="AW175" s="465"/>
    </row>
    <row r="176" spans="4:49" ht="15">
      <c r="D176" s="384"/>
      <c r="L176" s="312"/>
      <c r="AI176" s="464">
        <f t="shared" si="19"/>
        <v>156</v>
      </c>
      <c r="AJ176" s="473">
        <v>43110</v>
      </c>
      <c r="AK176" s="474">
        <v>20760</v>
      </c>
      <c r="AL176" s="475">
        <v>-5.4999999999999997E-3</v>
      </c>
      <c r="AM176" s="475">
        <f t="shared" si="21"/>
        <v>-5.5066000158084938E-3</v>
      </c>
      <c r="AN176" s="464"/>
      <c r="AO176" s="464"/>
      <c r="AR176" s="464">
        <f t="shared" si="20"/>
        <v>156</v>
      </c>
      <c r="AS176" s="464" t="s">
        <v>2482</v>
      </c>
      <c r="AT176" s="381">
        <v>1.149E-2</v>
      </c>
      <c r="AV176" s="464"/>
      <c r="AW176" s="465"/>
    </row>
    <row r="177" spans="4:49" ht="15">
      <c r="D177" s="384"/>
      <c r="L177" s="312"/>
      <c r="AI177" s="464">
        <f t="shared" si="19"/>
        <v>157</v>
      </c>
      <c r="AJ177" s="473">
        <v>43111</v>
      </c>
      <c r="AK177" s="474">
        <v>20737.919999999998</v>
      </c>
      <c r="AL177" s="475">
        <v>-1.1000000000000001E-3</v>
      </c>
      <c r="AM177" s="475">
        <f t="shared" si="21"/>
        <v>-1.0635838150290233E-3</v>
      </c>
      <c r="AN177" s="464"/>
      <c r="AO177" s="464"/>
      <c r="AR177" s="464">
        <f t="shared" si="20"/>
        <v>157</v>
      </c>
      <c r="AS177" s="464" t="s">
        <v>2481</v>
      </c>
      <c r="AT177" s="381">
        <v>1.208E-2</v>
      </c>
      <c r="AV177" s="464"/>
      <c r="AW177" s="465"/>
    </row>
    <row r="178" spans="4:49" ht="15">
      <c r="D178" s="384"/>
      <c r="L178" s="312"/>
      <c r="AI178" s="464">
        <f t="shared" si="19"/>
        <v>158</v>
      </c>
      <c r="AJ178" s="473">
        <v>43112</v>
      </c>
      <c r="AK178" s="474">
        <v>20859.349999999999</v>
      </c>
      <c r="AL178" s="475">
        <v>5.8999999999999999E-3</v>
      </c>
      <c r="AM178" s="475">
        <f t="shared" si="21"/>
        <v>5.8554570564453012E-3</v>
      </c>
      <c r="AN178" s="464"/>
      <c r="AO178" s="464"/>
      <c r="AR178" s="464">
        <f t="shared" si="20"/>
        <v>158</v>
      </c>
      <c r="AS178" s="464" t="s">
        <v>2480</v>
      </c>
      <c r="AT178" s="381">
        <v>1.252E-2</v>
      </c>
      <c r="AV178" s="464"/>
      <c r="AW178" s="465"/>
    </row>
    <row r="179" spans="4:49" ht="15">
      <c r="D179" s="384"/>
      <c r="L179" s="312"/>
      <c r="AI179" s="464">
        <f t="shared" si="19"/>
        <v>159</v>
      </c>
      <c r="AJ179" s="473">
        <v>43115</v>
      </c>
      <c r="AK179" s="474">
        <v>20832.77</v>
      </c>
      <c r="AL179" s="475">
        <v>-1.2999999999999999E-3</v>
      </c>
      <c r="AM179" s="475">
        <f t="shared" si="21"/>
        <v>-1.2742487182005879E-3</v>
      </c>
      <c r="AN179" s="464"/>
      <c r="AO179" s="464"/>
      <c r="AR179" s="464">
        <f t="shared" si="20"/>
        <v>159</v>
      </c>
      <c r="AS179" s="464" t="s">
        <v>2479</v>
      </c>
      <c r="AT179" s="381">
        <v>1.2629999999999999E-2</v>
      </c>
      <c r="AV179" s="464"/>
      <c r="AW179" s="465"/>
    </row>
    <row r="180" spans="4:49" ht="15">
      <c r="D180" s="384"/>
      <c r="L180" s="312"/>
      <c r="AI180" s="464">
        <f t="shared" si="19"/>
        <v>160</v>
      </c>
      <c r="AJ180" s="473">
        <v>43116</v>
      </c>
      <c r="AK180" s="474">
        <v>20877.3</v>
      </c>
      <c r="AL180" s="475">
        <v>2.0999999999999999E-3</v>
      </c>
      <c r="AM180" s="475">
        <f t="shared" si="21"/>
        <v>2.1374977979404797E-3</v>
      </c>
      <c r="AN180" s="464"/>
      <c r="AO180" s="464"/>
      <c r="AR180" s="464">
        <f t="shared" si="20"/>
        <v>160</v>
      </c>
      <c r="AS180" s="464" t="s">
        <v>2478</v>
      </c>
      <c r="AT180" s="381">
        <v>1.2430000000000002E-2</v>
      </c>
      <c r="AV180" s="464"/>
      <c r="AW180" s="465"/>
    </row>
    <row r="181" spans="4:49" ht="15">
      <c r="D181" s="384"/>
      <c r="L181" s="312"/>
      <c r="AI181" s="464">
        <f t="shared" si="19"/>
        <v>161</v>
      </c>
      <c r="AJ181" s="473">
        <v>43117</v>
      </c>
      <c r="AK181" s="474">
        <v>20769.36</v>
      </c>
      <c r="AL181" s="475">
        <v>-5.1999999999999998E-3</v>
      </c>
      <c r="AM181" s="475">
        <f t="shared" si="21"/>
        <v>-5.1702087913666483E-3</v>
      </c>
      <c r="AN181" s="464"/>
      <c r="AO181" s="464"/>
      <c r="AR181" s="464">
        <f t="shared" si="20"/>
        <v>161</v>
      </c>
      <c r="AS181" s="464" t="s">
        <v>2477</v>
      </c>
      <c r="AT181" s="381">
        <v>1.2430000000000002E-2</v>
      </c>
      <c r="AV181" s="464"/>
      <c r="AW181" s="465"/>
    </row>
    <row r="182" spans="4:49" ht="15">
      <c r="D182" s="384"/>
      <c r="L182" s="312"/>
      <c r="AI182" s="464">
        <f t="shared" si="19"/>
        <v>162</v>
      </c>
      <c r="AJ182" s="473">
        <v>43118</v>
      </c>
      <c r="AK182" s="474">
        <v>20665.02</v>
      </c>
      <c r="AL182" s="475">
        <v>-5.0000000000000001E-3</v>
      </c>
      <c r="AM182" s="475">
        <f t="shared" si="21"/>
        <v>-5.0237465189105768E-3</v>
      </c>
      <c r="AN182" s="464"/>
      <c r="AO182" s="464"/>
      <c r="AR182" s="464">
        <f t="shared" si="20"/>
        <v>162</v>
      </c>
      <c r="AS182" s="464" t="s">
        <v>2476</v>
      </c>
      <c r="AT182" s="381">
        <v>1.1730000000000001E-2</v>
      </c>
      <c r="AV182" s="464"/>
      <c r="AW182" s="465"/>
    </row>
    <row r="183" spans="4:49" ht="15">
      <c r="D183" s="384"/>
      <c r="L183" s="312"/>
      <c r="AI183" s="464">
        <f t="shared" si="19"/>
        <v>163</v>
      </c>
      <c r="AJ183" s="473">
        <v>43119</v>
      </c>
      <c r="AK183" s="474">
        <v>20653.32</v>
      </c>
      <c r="AL183" s="475">
        <v>-5.9999999999999995E-4</v>
      </c>
      <c r="AM183" s="475">
        <f t="shared" si="21"/>
        <v>-5.6617414355275564E-4</v>
      </c>
      <c r="AN183" s="464"/>
      <c r="AO183" s="464"/>
      <c r="AR183" s="464">
        <f t="shared" si="20"/>
        <v>163</v>
      </c>
      <c r="AS183" s="464" t="s">
        <v>2475</v>
      </c>
      <c r="AT183" s="381">
        <v>1.1979999999999999E-2</v>
      </c>
      <c r="AV183" s="464"/>
      <c r="AW183" s="465"/>
    </row>
    <row r="184" spans="4:49" ht="15">
      <c r="D184" s="384"/>
      <c r="L184" s="312"/>
      <c r="AI184" s="464">
        <f t="shared" si="19"/>
        <v>164</v>
      </c>
      <c r="AJ184" s="473">
        <v>43122</v>
      </c>
      <c r="AK184" s="474">
        <v>20655.169999999998</v>
      </c>
      <c r="AL184" s="475">
        <v>1E-4</v>
      </c>
      <c r="AM184" s="475">
        <f t="shared" si="21"/>
        <v>8.9573976484125239E-5</v>
      </c>
      <c r="AN184" s="464"/>
      <c r="AO184" s="464"/>
      <c r="AR184" s="464">
        <f t="shared" si="20"/>
        <v>164</v>
      </c>
      <c r="AS184" s="464" t="s">
        <v>2474</v>
      </c>
      <c r="AT184" s="381">
        <v>1.188E-2</v>
      </c>
      <c r="AV184" s="464"/>
      <c r="AW184" s="465"/>
    </row>
    <row r="185" spans="4:49" ht="15">
      <c r="D185" s="384"/>
      <c r="L185" s="312"/>
      <c r="AI185" s="464">
        <f t="shared" si="19"/>
        <v>165</v>
      </c>
      <c r="AJ185" s="473">
        <v>43123</v>
      </c>
      <c r="AK185" s="474">
        <v>20671.2</v>
      </c>
      <c r="AL185" s="475">
        <v>8.0000000000000004E-4</v>
      </c>
      <c r="AM185" s="475">
        <f t="shared" si="21"/>
        <v>7.760768853513067E-4</v>
      </c>
      <c r="AN185" s="464"/>
      <c r="AO185" s="464"/>
      <c r="AR185" s="464">
        <f t="shared" si="20"/>
        <v>165</v>
      </c>
      <c r="AS185" s="464" t="s">
        <v>2473</v>
      </c>
      <c r="AT185" s="381">
        <v>1.192E-2</v>
      </c>
      <c r="AV185" s="464"/>
      <c r="AW185" s="465"/>
    </row>
    <row r="186" spans="4:49" ht="15">
      <c r="D186" s="384"/>
      <c r="L186" s="312"/>
      <c r="AI186" s="464">
        <f t="shared" si="19"/>
        <v>166</v>
      </c>
      <c r="AJ186" s="473">
        <v>43124</v>
      </c>
      <c r="AK186" s="474">
        <v>20538.46</v>
      </c>
      <c r="AL186" s="475">
        <v>-6.4000000000000003E-3</v>
      </c>
      <c r="AM186" s="475">
        <f t="shared" si="21"/>
        <v>-6.4214946398855055E-3</v>
      </c>
      <c r="AN186" s="464"/>
      <c r="AO186" s="464"/>
      <c r="AR186" s="464">
        <f t="shared" si="20"/>
        <v>166</v>
      </c>
      <c r="AS186" s="464" t="s">
        <v>2472</v>
      </c>
      <c r="AT186" s="381">
        <v>1.2880000000000001E-2</v>
      </c>
      <c r="AV186" s="464"/>
      <c r="AW186" s="465"/>
    </row>
    <row r="187" spans="4:49" ht="15">
      <c r="D187" s="384"/>
      <c r="L187" s="312"/>
      <c r="AI187" s="464">
        <f t="shared" si="19"/>
        <v>167</v>
      </c>
      <c r="AJ187" s="473">
        <v>43125</v>
      </c>
      <c r="AK187" s="474">
        <v>20521.740000000002</v>
      </c>
      <c r="AL187" s="475">
        <v>-8.0000000000000004E-4</v>
      </c>
      <c r="AM187" s="475">
        <f t="shared" si="21"/>
        <v>-8.1408245798353374E-4</v>
      </c>
      <c r="AN187" s="464"/>
      <c r="AO187" s="464"/>
      <c r="AR187" s="464">
        <f t="shared" si="20"/>
        <v>167</v>
      </c>
      <c r="AS187" s="464" t="s">
        <v>2471</v>
      </c>
      <c r="AT187" s="381">
        <v>1.2150000000000001E-2</v>
      </c>
      <c r="AV187" s="464"/>
      <c r="AW187" s="465"/>
    </row>
    <row r="188" spans="4:49" ht="15">
      <c r="D188" s="384"/>
      <c r="L188" s="312"/>
      <c r="AI188" s="464">
        <f t="shared" si="19"/>
        <v>168</v>
      </c>
      <c r="AJ188" s="473">
        <v>43126</v>
      </c>
      <c r="AK188" s="474">
        <v>20615.580000000002</v>
      </c>
      <c r="AL188" s="475">
        <v>4.5999999999999999E-3</v>
      </c>
      <c r="AM188" s="475">
        <f t="shared" si="21"/>
        <v>4.5727116706477666E-3</v>
      </c>
      <c r="AN188" s="464"/>
      <c r="AO188" s="464"/>
      <c r="AR188" s="464">
        <f t="shared" si="20"/>
        <v>168</v>
      </c>
      <c r="AS188" s="464" t="s">
        <v>2470</v>
      </c>
      <c r="AT188" s="381">
        <v>1.2350000000000002E-2</v>
      </c>
      <c r="AV188" s="464"/>
      <c r="AW188" s="465"/>
    </row>
    <row r="189" spans="4:49" ht="15">
      <c r="D189" s="384"/>
      <c r="L189" s="312"/>
      <c r="AI189" s="464">
        <f t="shared" si="19"/>
        <v>169</v>
      </c>
      <c r="AJ189" s="473">
        <v>43129</v>
      </c>
      <c r="AK189" s="474">
        <v>20577.919999999998</v>
      </c>
      <c r="AL189" s="475">
        <v>-1.8E-3</v>
      </c>
      <c r="AM189" s="475">
        <f t="shared" si="21"/>
        <v>-1.8267737313237831E-3</v>
      </c>
      <c r="AN189" s="464"/>
      <c r="AO189" s="464"/>
      <c r="AR189" s="464">
        <f t="shared" si="20"/>
        <v>169</v>
      </c>
      <c r="AS189" s="464" t="s">
        <v>2469</v>
      </c>
      <c r="AT189" s="381">
        <v>1.2470000000000002E-2</v>
      </c>
      <c r="AV189" s="464"/>
      <c r="AW189" s="465"/>
    </row>
    <row r="190" spans="4:49" ht="15">
      <c r="D190" s="384"/>
      <c r="L190" s="312"/>
      <c r="AI190" s="464">
        <f t="shared" si="19"/>
        <v>170</v>
      </c>
      <c r="AJ190" s="473">
        <v>43130</v>
      </c>
      <c r="AK190" s="474">
        <v>20370.93</v>
      </c>
      <c r="AL190" s="475">
        <v>-1.01E-2</v>
      </c>
      <c r="AM190" s="475">
        <f t="shared" si="21"/>
        <v>-1.0058839766118099E-2</v>
      </c>
      <c r="AN190" s="464"/>
      <c r="AO190" s="464"/>
      <c r="AR190" s="464">
        <f t="shared" si="20"/>
        <v>170</v>
      </c>
      <c r="AS190" s="464" t="s">
        <v>2468</v>
      </c>
      <c r="AT190" s="381">
        <v>1.238E-2</v>
      </c>
      <c r="AV190" s="464"/>
      <c r="AW190" s="465"/>
    </row>
    <row r="191" spans="4:49" ht="15">
      <c r="D191" s="384"/>
      <c r="L191" s="312"/>
      <c r="AI191" s="464">
        <f t="shared" si="19"/>
        <v>171</v>
      </c>
      <c r="AJ191" s="473">
        <v>43131</v>
      </c>
      <c r="AK191" s="474">
        <v>20243.599999999999</v>
      </c>
      <c r="AL191" s="475">
        <v>-6.3E-3</v>
      </c>
      <c r="AM191" s="475">
        <f t="shared" si="21"/>
        <v>-6.2505737342380963E-3</v>
      </c>
      <c r="AN191" s="464"/>
      <c r="AO191" s="464"/>
      <c r="AR191" s="464">
        <f t="shared" si="20"/>
        <v>171</v>
      </c>
      <c r="AS191" s="464" t="s">
        <v>2467</v>
      </c>
      <c r="AT191" s="381">
        <v>1.2840000000000001E-2</v>
      </c>
      <c r="AV191" s="464"/>
      <c r="AW191" s="465"/>
    </row>
    <row r="192" spans="4:49" ht="15">
      <c r="D192" s="384"/>
      <c r="L192" s="312"/>
      <c r="AI192" s="464">
        <f t="shared" si="19"/>
        <v>172</v>
      </c>
      <c r="AJ192" s="473">
        <v>43132</v>
      </c>
      <c r="AK192" s="474">
        <v>20185.54</v>
      </c>
      <c r="AL192" s="475">
        <v>-2.8999999999999998E-3</v>
      </c>
      <c r="AM192" s="475">
        <f t="shared" si="21"/>
        <v>-2.8680669446145002E-3</v>
      </c>
      <c r="AN192" s="464"/>
      <c r="AO192" s="464"/>
      <c r="AR192" s="464">
        <f t="shared" si="20"/>
        <v>172</v>
      </c>
      <c r="AS192" s="464" t="s">
        <v>2466</v>
      </c>
      <c r="AT192" s="381">
        <v>1.2880000000000001E-2</v>
      </c>
      <c r="AV192" s="464"/>
      <c r="AW192" s="465"/>
    </row>
    <row r="193" spans="4:49" ht="15">
      <c r="D193" s="384"/>
      <c r="L193" s="312"/>
      <c r="AI193" s="464">
        <f t="shared" si="19"/>
        <v>173</v>
      </c>
      <c r="AJ193" s="473">
        <v>43133</v>
      </c>
      <c r="AK193" s="474">
        <v>19962.46</v>
      </c>
      <c r="AL193" s="475">
        <v>-1.11E-2</v>
      </c>
      <c r="AM193" s="475">
        <f t="shared" si="21"/>
        <v>-1.1051475462137805E-2</v>
      </c>
      <c r="AN193" s="464"/>
      <c r="AO193" s="464"/>
      <c r="AR193" s="464">
        <f t="shared" si="20"/>
        <v>173</v>
      </c>
      <c r="AS193" s="464" t="s">
        <v>2465</v>
      </c>
      <c r="AT193" s="381">
        <v>1.3100000000000001E-2</v>
      </c>
      <c r="AV193" s="464"/>
      <c r="AW193" s="465"/>
    </row>
    <row r="194" spans="4:49" ht="15">
      <c r="D194" s="384"/>
      <c r="L194" s="312"/>
      <c r="AI194" s="464">
        <f t="shared" si="19"/>
        <v>174</v>
      </c>
      <c r="AJ194" s="473">
        <v>43136</v>
      </c>
      <c r="AK194" s="474">
        <v>19690.490000000002</v>
      </c>
      <c r="AL194" s="475">
        <v>-1.3599999999999999E-2</v>
      </c>
      <c r="AM194" s="475">
        <f t="shared" si="21"/>
        <v>-1.3624072383864427E-2</v>
      </c>
      <c r="AN194" s="464"/>
      <c r="AO194" s="464"/>
      <c r="AR194" s="464">
        <f t="shared" si="20"/>
        <v>174</v>
      </c>
      <c r="AS194" s="464" t="s">
        <v>2464</v>
      </c>
      <c r="AT194" s="381">
        <v>1.337E-2</v>
      </c>
      <c r="AV194" s="464"/>
      <c r="AW194" s="465"/>
    </row>
    <row r="195" spans="4:49" ht="15">
      <c r="D195" s="384"/>
      <c r="L195" s="312"/>
      <c r="AI195" s="464">
        <f t="shared" si="19"/>
        <v>175</v>
      </c>
      <c r="AJ195" s="473">
        <v>43137</v>
      </c>
      <c r="AK195" s="474">
        <v>19262.560000000001</v>
      </c>
      <c r="AL195" s="475">
        <v>-2.1700000000000001E-2</v>
      </c>
      <c r="AM195" s="475">
        <f t="shared" si="21"/>
        <v>-2.1732826354245116E-2</v>
      </c>
      <c r="AN195" s="464"/>
      <c r="AO195" s="464"/>
      <c r="AR195" s="464">
        <f t="shared" si="20"/>
        <v>175</v>
      </c>
      <c r="AS195" s="464" t="s">
        <v>2463</v>
      </c>
      <c r="AT195" s="381">
        <v>1.324E-2</v>
      </c>
      <c r="AV195" s="464"/>
      <c r="AW195" s="465"/>
    </row>
    <row r="196" spans="4:49" ht="15">
      <c r="D196" s="384"/>
      <c r="AI196" s="464">
        <f t="shared" si="19"/>
        <v>176</v>
      </c>
      <c r="AJ196" s="473">
        <v>43138</v>
      </c>
      <c r="AK196" s="474">
        <v>19691.650000000001</v>
      </c>
      <c r="AL196" s="475">
        <v>2.23E-2</v>
      </c>
      <c r="AM196" s="475">
        <f t="shared" si="21"/>
        <v>2.2275855338023565E-2</v>
      </c>
      <c r="AN196" s="464"/>
      <c r="AO196" s="464"/>
      <c r="AR196" s="464">
        <f t="shared" si="20"/>
        <v>176</v>
      </c>
      <c r="AS196" s="464" t="s">
        <v>2462</v>
      </c>
      <c r="AT196" s="381">
        <v>1.3040000000000001E-2</v>
      </c>
      <c r="AV196" s="464"/>
      <c r="AW196" s="465"/>
    </row>
    <row r="197" spans="4:49" ht="15">
      <c r="D197" s="384"/>
      <c r="AI197" s="464">
        <f t="shared" si="19"/>
        <v>177</v>
      </c>
      <c r="AJ197" s="473">
        <v>43139</v>
      </c>
      <c r="AK197" s="474">
        <v>19327.689999999999</v>
      </c>
      <c r="AL197" s="475">
        <v>-1.8499999999999999E-2</v>
      </c>
      <c r="AM197" s="475">
        <f t="shared" si="21"/>
        <v>-1.8482961052019631E-2</v>
      </c>
      <c r="AN197" s="464"/>
      <c r="AO197" s="464"/>
      <c r="AR197" s="464">
        <f t="shared" si="20"/>
        <v>177</v>
      </c>
      <c r="AS197" s="464" t="s">
        <v>2461</v>
      </c>
      <c r="AT197" s="381">
        <v>1.3089999999999999E-2</v>
      </c>
      <c r="AV197" s="464"/>
      <c r="AW197" s="465"/>
    </row>
    <row r="198" spans="4:49" ht="15">
      <c r="D198" s="384"/>
      <c r="AI198" s="464">
        <f t="shared" si="19"/>
        <v>178</v>
      </c>
      <c r="AJ198" s="473">
        <v>43140</v>
      </c>
      <c r="AK198" s="474">
        <v>19217.490000000002</v>
      </c>
      <c r="AL198" s="475">
        <v>-5.7000000000000002E-3</v>
      </c>
      <c r="AM198" s="475">
        <f t="shared" si="21"/>
        <v>-5.7016642961469355E-3</v>
      </c>
      <c r="AN198" s="464"/>
      <c r="AO198" s="464"/>
      <c r="AR198" s="464">
        <f t="shared" si="20"/>
        <v>178</v>
      </c>
      <c r="AS198" s="464" t="s">
        <v>2460</v>
      </c>
      <c r="AT198" s="381">
        <v>1.333E-2</v>
      </c>
      <c r="AV198" s="464"/>
      <c r="AW198" s="465"/>
    </row>
    <row r="199" spans="4:49" ht="15">
      <c r="D199" s="384"/>
      <c r="AI199" s="464">
        <f t="shared" si="19"/>
        <v>179</v>
      </c>
      <c r="AJ199" s="473">
        <v>43143</v>
      </c>
      <c r="AK199" s="474">
        <v>19379.330000000002</v>
      </c>
      <c r="AL199" s="475">
        <v>8.3999999999999995E-3</v>
      </c>
      <c r="AM199" s="475">
        <f t="shared" si="21"/>
        <v>8.4214952108729868E-3</v>
      </c>
      <c r="AN199" s="464"/>
      <c r="AO199" s="464"/>
      <c r="AR199" s="464">
        <f t="shared" si="20"/>
        <v>179</v>
      </c>
      <c r="AS199" s="464" t="s">
        <v>2459</v>
      </c>
      <c r="AT199" s="381">
        <v>1.3389999999999999E-2</v>
      </c>
      <c r="AV199" s="464"/>
      <c r="AW199" s="465"/>
    </row>
    <row r="200" spans="4:49" ht="15">
      <c r="D200" s="384"/>
      <c r="AI200" s="464">
        <f t="shared" si="19"/>
        <v>180</v>
      </c>
      <c r="AJ200" s="473">
        <v>43144</v>
      </c>
      <c r="AK200" s="474">
        <v>19320.080000000002</v>
      </c>
      <c r="AL200" s="475">
        <v>-3.0999999999999999E-3</v>
      </c>
      <c r="AM200" s="475">
        <f t="shared" si="21"/>
        <v>-3.0573812407342915E-3</v>
      </c>
      <c r="AN200" s="464"/>
      <c r="AO200" s="464"/>
      <c r="AR200" s="464">
        <f t="shared" si="20"/>
        <v>180</v>
      </c>
      <c r="AS200" s="464" t="s">
        <v>2458</v>
      </c>
      <c r="AT200" s="381">
        <v>1.3610000000000001E-2</v>
      </c>
      <c r="AV200" s="464"/>
      <c r="AW200" s="465"/>
    </row>
    <row r="201" spans="4:49" ht="15">
      <c r="D201" s="384"/>
      <c r="AI201" s="464">
        <f t="shared" si="19"/>
        <v>181</v>
      </c>
      <c r="AJ201" s="473">
        <v>43145</v>
      </c>
      <c r="AK201" s="474">
        <v>19448.38</v>
      </c>
      <c r="AL201" s="475">
        <v>6.6E-3</v>
      </c>
      <c r="AM201" s="475">
        <f t="shared" si="21"/>
        <v>6.6407592515145275E-3</v>
      </c>
      <c r="AN201" s="464"/>
      <c r="AO201" s="464"/>
      <c r="AR201" s="464">
        <f t="shared" si="20"/>
        <v>181</v>
      </c>
      <c r="AS201" s="464" t="s">
        <v>2457</v>
      </c>
      <c r="AT201" s="381">
        <v>1.3540000000000002E-2</v>
      </c>
      <c r="AV201" s="464"/>
      <c r="AW201" s="465"/>
    </row>
    <row r="202" spans="4:49" ht="15">
      <c r="D202" s="384"/>
      <c r="AI202" s="464">
        <f t="shared" si="19"/>
        <v>182</v>
      </c>
      <c r="AJ202" s="473">
        <v>43146</v>
      </c>
      <c r="AK202" s="474">
        <v>19574.759999999998</v>
      </c>
      <c r="AL202" s="475">
        <v>6.4999999999999997E-3</v>
      </c>
      <c r="AM202" s="475">
        <f t="shared" si="21"/>
        <v>6.4982276158733754E-3</v>
      </c>
      <c r="AN202" s="464"/>
      <c r="AO202" s="464"/>
      <c r="AR202" s="464">
        <f t="shared" si="20"/>
        <v>182</v>
      </c>
      <c r="AS202" s="464" t="s">
        <v>2456</v>
      </c>
      <c r="AT202" s="381">
        <v>1.4079999999999999E-2</v>
      </c>
      <c r="AV202" s="464"/>
      <c r="AW202" s="465"/>
    </row>
    <row r="203" spans="4:49" ht="15">
      <c r="D203" s="384"/>
      <c r="AI203" s="464">
        <f t="shared" si="19"/>
        <v>183</v>
      </c>
      <c r="AJ203" s="473">
        <v>43147</v>
      </c>
      <c r="AK203" s="474">
        <v>19733.64</v>
      </c>
      <c r="AL203" s="475">
        <v>8.0999999999999996E-3</v>
      </c>
      <c r="AM203" s="475">
        <f t="shared" si="21"/>
        <v>8.1165746093438962E-3</v>
      </c>
      <c r="AN203" s="464"/>
      <c r="AO203" s="464"/>
      <c r="AR203" s="464">
        <f t="shared" si="20"/>
        <v>183</v>
      </c>
      <c r="AS203" s="464" t="s">
        <v>2455</v>
      </c>
      <c r="AT203" s="381">
        <v>1.414E-2</v>
      </c>
      <c r="AV203" s="464"/>
      <c r="AW203" s="465"/>
    </row>
    <row r="204" spans="4:49" ht="15">
      <c r="D204" s="384"/>
      <c r="AI204" s="464">
        <f t="shared" si="19"/>
        <v>184</v>
      </c>
      <c r="AJ204" s="473">
        <v>43150</v>
      </c>
      <c r="AK204" s="474">
        <v>19653.57</v>
      </c>
      <c r="AL204" s="475">
        <v>-4.1000000000000003E-3</v>
      </c>
      <c r="AM204" s="475">
        <f t="shared" si="21"/>
        <v>-4.0575382950129857E-3</v>
      </c>
      <c r="AN204" s="464"/>
      <c r="AO204" s="464"/>
      <c r="AR204" s="464">
        <f t="shared" si="20"/>
        <v>184</v>
      </c>
      <c r="AS204" s="464" t="s">
        <v>2454</v>
      </c>
      <c r="AT204" s="381">
        <v>1.444E-2</v>
      </c>
      <c r="AV204" s="464"/>
      <c r="AW204" s="465"/>
    </row>
    <row r="205" spans="4:49" ht="15">
      <c r="D205" s="384"/>
      <c r="AI205" s="464">
        <f t="shared" si="19"/>
        <v>185</v>
      </c>
      <c r="AJ205" s="473">
        <v>43151</v>
      </c>
      <c r="AK205" s="474">
        <v>19802.91</v>
      </c>
      <c r="AL205" s="475">
        <v>7.6E-3</v>
      </c>
      <c r="AM205" s="475">
        <f t="shared" si="21"/>
        <v>7.5986194874519963E-3</v>
      </c>
      <c r="AN205" s="464"/>
      <c r="AO205" s="464"/>
      <c r="AR205" s="464">
        <f t="shared" si="20"/>
        <v>185</v>
      </c>
      <c r="AS205" s="464" t="s">
        <v>2453</v>
      </c>
      <c r="AT205" s="381">
        <v>1.455E-2</v>
      </c>
      <c r="AV205" s="464"/>
      <c r="AW205" s="465"/>
    </row>
    <row r="206" spans="4:49" ht="15">
      <c r="D206" s="384"/>
      <c r="AI206" s="464">
        <f t="shared" si="19"/>
        <v>186</v>
      </c>
      <c r="AJ206" s="473">
        <v>43152</v>
      </c>
      <c r="AK206" s="474">
        <v>19788.89</v>
      </c>
      <c r="AL206" s="475">
        <v>-6.9999999999999999E-4</v>
      </c>
      <c r="AM206" s="475">
        <f t="shared" si="21"/>
        <v>-7.0797675695144502E-4</v>
      </c>
      <c r="AN206" s="464"/>
      <c r="AO206" s="464"/>
      <c r="AR206" s="464">
        <f t="shared" si="20"/>
        <v>186</v>
      </c>
      <c r="AS206" s="464" t="s">
        <v>2452</v>
      </c>
      <c r="AT206" s="381">
        <v>1.4619999999999999E-2</v>
      </c>
      <c r="AV206" s="464"/>
      <c r="AW206" s="465"/>
    </row>
    <row r="207" spans="4:49" ht="15">
      <c r="D207" s="384"/>
      <c r="AI207" s="464">
        <f t="shared" si="19"/>
        <v>187</v>
      </c>
      <c r="AJ207" s="473">
        <v>43153</v>
      </c>
      <c r="AK207" s="474">
        <v>19736.060000000001</v>
      </c>
      <c r="AL207" s="475">
        <v>-2.7000000000000001E-3</v>
      </c>
      <c r="AM207" s="475">
        <f t="shared" si="21"/>
        <v>-2.6696798051835113E-3</v>
      </c>
      <c r="AN207" s="464"/>
      <c r="AO207" s="464"/>
      <c r="AR207" s="464">
        <f t="shared" si="20"/>
        <v>187</v>
      </c>
      <c r="AS207" s="464" t="s">
        <v>2451</v>
      </c>
      <c r="AT207" s="381">
        <v>1.512E-2</v>
      </c>
      <c r="AV207" s="464"/>
      <c r="AW207" s="465"/>
    </row>
    <row r="208" spans="4:49" ht="15">
      <c r="D208" s="384"/>
      <c r="AI208" s="464">
        <f t="shared" si="19"/>
        <v>188</v>
      </c>
      <c r="AJ208" s="473">
        <v>43154</v>
      </c>
      <c r="AK208" s="474">
        <v>19801.05</v>
      </c>
      <c r="AL208" s="475">
        <v>3.3E-3</v>
      </c>
      <c r="AM208" s="475">
        <f t="shared" si="21"/>
        <v>3.292957155582199E-3</v>
      </c>
      <c r="AN208" s="464"/>
      <c r="AO208" s="464"/>
      <c r="AR208" s="464">
        <f t="shared" si="20"/>
        <v>188</v>
      </c>
      <c r="AS208" s="464" t="s">
        <v>2450</v>
      </c>
      <c r="AT208" s="381">
        <v>1.5339999999999999E-2</v>
      </c>
      <c r="AV208" s="464"/>
      <c r="AW208" s="465"/>
    </row>
    <row r="209" spans="4:49" ht="15">
      <c r="D209" s="384"/>
      <c r="AI209" s="464">
        <f t="shared" si="19"/>
        <v>189</v>
      </c>
      <c r="AJ209" s="473">
        <v>43157</v>
      </c>
      <c r="AK209" s="474">
        <v>19828.73</v>
      </c>
      <c r="AL209" s="475">
        <v>1.4E-3</v>
      </c>
      <c r="AM209" s="475">
        <f t="shared" si="21"/>
        <v>1.3979056666186818E-3</v>
      </c>
      <c r="AN209" s="464"/>
      <c r="AO209" s="464"/>
      <c r="AR209" s="464">
        <f t="shared" si="20"/>
        <v>189</v>
      </c>
      <c r="AS209" s="464" t="s">
        <v>2449</v>
      </c>
      <c r="AT209" s="381">
        <v>1.5780000000000002E-2</v>
      </c>
      <c r="AV209" s="464"/>
      <c r="AW209" s="465"/>
    </row>
    <row r="210" spans="4:49" ht="15">
      <c r="D210" s="384"/>
      <c r="AI210" s="464">
        <f t="shared" si="19"/>
        <v>190</v>
      </c>
      <c r="AJ210" s="473">
        <v>43158</v>
      </c>
      <c r="AK210" s="474">
        <v>19875.78</v>
      </c>
      <c r="AL210" s="475">
        <v>2.3999999999999998E-3</v>
      </c>
      <c r="AM210" s="475">
        <f t="shared" si="21"/>
        <v>2.3728196409955604E-3</v>
      </c>
      <c r="AN210" s="464"/>
      <c r="AO210" s="464"/>
      <c r="AR210" s="464">
        <f t="shared" si="20"/>
        <v>190</v>
      </c>
      <c r="AS210" s="464" t="s">
        <v>2448</v>
      </c>
      <c r="AT210" s="381">
        <v>1.559E-2</v>
      </c>
      <c r="AV210" s="464"/>
      <c r="AW210" s="465"/>
    </row>
    <row r="211" spans="4:49" ht="15">
      <c r="D211" s="384"/>
      <c r="AI211" s="464">
        <f t="shared" si="19"/>
        <v>191</v>
      </c>
      <c r="AJ211" s="473">
        <v>43159</v>
      </c>
      <c r="AK211" s="474">
        <v>19687.27</v>
      </c>
      <c r="AL211" s="475">
        <v>-9.4999999999999998E-3</v>
      </c>
      <c r="AM211" s="475">
        <f t="shared" si="21"/>
        <v>-9.4844076559510437E-3</v>
      </c>
      <c r="AN211" s="464"/>
      <c r="AO211" s="464"/>
      <c r="AR211" s="464">
        <f t="shared" si="20"/>
        <v>191</v>
      </c>
      <c r="AS211" s="464" t="s">
        <v>2447</v>
      </c>
      <c r="AT211" s="381">
        <v>1.5220000000000001E-2</v>
      </c>
      <c r="AV211" s="464"/>
      <c r="AW211" s="465"/>
    </row>
    <row r="212" spans="4:49" ht="15">
      <c r="D212" s="384"/>
      <c r="AI212" s="464">
        <f t="shared" si="19"/>
        <v>192</v>
      </c>
      <c r="AJ212" s="473">
        <v>43160</v>
      </c>
      <c r="AK212" s="474">
        <v>19551.7</v>
      </c>
      <c r="AL212" s="475">
        <v>-6.8999999999999999E-3</v>
      </c>
      <c r="AM212" s="475">
        <f t="shared" si="21"/>
        <v>-6.8861756861159362E-3</v>
      </c>
      <c r="AN212" s="464"/>
      <c r="AO212" s="464"/>
      <c r="AR212" s="464">
        <f t="shared" si="20"/>
        <v>192</v>
      </c>
      <c r="AS212" s="464" t="s">
        <v>2446</v>
      </c>
      <c r="AT212" s="381">
        <v>1.5520000000000001E-2</v>
      </c>
      <c r="AV212" s="464"/>
      <c r="AW212" s="465"/>
    </row>
    <row r="213" spans="4:49" ht="15">
      <c r="D213" s="384"/>
      <c r="AI213" s="464">
        <f t="shared" ref="AI213:AI276" si="22">AI212+1</f>
        <v>193</v>
      </c>
      <c r="AJ213" s="473">
        <v>43161</v>
      </c>
      <c r="AK213" s="474">
        <v>19386.54</v>
      </c>
      <c r="AL213" s="475">
        <v>-8.3999999999999995E-3</v>
      </c>
      <c r="AM213" s="475">
        <f t="shared" si="21"/>
        <v>-8.4473472894940338E-3</v>
      </c>
      <c r="AN213" s="464"/>
      <c r="AO213" s="464"/>
      <c r="AR213" s="464">
        <f t="shared" ref="AR213:AR276" si="23">AR212+1</f>
        <v>193</v>
      </c>
      <c r="AS213" s="464" t="s">
        <v>2445</v>
      </c>
      <c r="AT213" s="381">
        <v>1.619E-2</v>
      </c>
      <c r="AV213" s="464"/>
      <c r="AW213" s="465"/>
    </row>
    <row r="214" spans="4:49" ht="15">
      <c r="D214" s="384"/>
      <c r="AI214" s="464">
        <f t="shared" si="22"/>
        <v>194</v>
      </c>
      <c r="AJ214" s="473">
        <v>43164</v>
      </c>
      <c r="AK214" s="474">
        <v>19567</v>
      </c>
      <c r="AL214" s="475">
        <v>9.2999999999999992E-3</v>
      </c>
      <c r="AM214" s="475">
        <f t="shared" ref="AM214:AM277" si="24">AK214/AK213-1</f>
        <v>9.308520241363194E-3</v>
      </c>
      <c r="AN214" s="464"/>
      <c r="AO214" s="464"/>
      <c r="AR214" s="464">
        <f t="shared" si="23"/>
        <v>194</v>
      </c>
      <c r="AS214" s="464" t="s">
        <v>2444</v>
      </c>
      <c r="AT214" s="381">
        <v>1.5730000000000001E-2</v>
      </c>
      <c r="AV214" s="464"/>
      <c r="AW214" s="465"/>
    </row>
    <row r="215" spans="4:49" ht="15">
      <c r="D215" s="384"/>
      <c r="AI215" s="464">
        <f t="shared" si="22"/>
        <v>195</v>
      </c>
      <c r="AJ215" s="473">
        <v>43165</v>
      </c>
      <c r="AK215" s="474">
        <v>19690.310000000001</v>
      </c>
      <c r="AL215" s="475">
        <v>6.3E-3</v>
      </c>
      <c r="AM215" s="475">
        <f t="shared" si="24"/>
        <v>6.3019369346348775E-3</v>
      </c>
      <c r="AN215" s="464"/>
      <c r="AO215" s="464"/>
      <c r="AR215" s="464">
        <f t="shared" si="23"/>
        <v>195</v>
      </c>
      <c r="AS215" s="464" t="s">
        <v>2443</v>
      </c>
      <c r="AT215" s="381">
        <v>1.601E-2</v>
      </c>
      <c r="AV215" s="464"/>
      <c r="AW215" s="465"/>
    </row>
    <row r="216" spans="4:49" ht="15">
      <c r="D216" s="384"/>
      <c r="AI216" s="464">
        <f t="shared" si="22"/>
        <v>196</v>
      </c>
      <c r="AJ216" s="473">
        <v>43166</v>
      </c>
      <c r="AK216" s="474">
        <v>19774.169999999998</v>
      </c>
      <c r="AL216" s="475">
        <v>4.3E-3</v>
      </c>
      <c r="AM216" s="475">
        <f t="shared" si="24"/>
        <v>4.25894767527768E-3</v>
      </c>
      <c r="AN216" s="464"/>
      <c r="AO216" s="464"/>
      <c r="AR216" s="464">
        <f t="shared" si="23"/>
        <v>196</v>
      </c>
      <c r="AS216" s="464" t="s">
        <v>2442</v>
      </c>
      <c r="AT216" s="381">
        <v>1.618E-2</v>
      </c>
      <c r="AV216" s="464"/>
      <c r="AW216" s="465"/>
    </row>
    <row r="217" spans="4:49" ht="15">
      <c r="D217" s="384"/>
      <c r="AI217" s="464">
        <f t="shared" si="22"/>
        <v>197</v>
      </c>
      <c r="AJ217" s="473">
        <v>43167</v>
      </c>
      <c r="AK217" s="474">
        <v>19968.009999999998</v>
      </c>
      <c r="AL217" s="475">
        <v>9.7999999999999997E-3</v>
      </c>
      <c r="AM217" s="475">
        <f t="shared" si="24"/>
        <v>9.8026870407204036E-3</v>
      </c>
      <c r="AN217" s="464"/>
      <c r="AO217" s="464"/>
      <c r="AR217" s="464">
        <f t="shared" si="23"/>
        <v>197</v>
      </c>
      <c r="AS217" s="464" t="s">
        <v>2441</v>
      </c>
      <c r="AT217" s="381">
        <v>1.6410000000000001E-2</v>
      </c>
      <c r="AV217" s="464"/>
      <c r="AW217" s="465"/>
    </row>
    <row r="218" spans="4:49" ht="15">
      <c r="D218" s="384"/>
      <c r="AI218" s="464">
        <f t="shared" si="22"/>
        <v>198</v>
      </c>
      <c r="AJ218" s="473">
        <v>43168</v>
      </c>
      <c r="AK218" s="474">
        <v>20085.07</v>
      </c>
      <c r="AL218" s="475">
        <v>5.8999999999999999E-3</v>
      </c>
      <c r="AM218" s="475">
        <f t="shared" si="24"/>
        <v>5.8623768718064628E-3</v>
      </c>
      <c r="AN218" s="464"/>
      <c r="AO218" s="464"/>
      <c r="AR218" s="464">
        <f t="shared" si="23"/>
        <v>198</v>
      </c>
      <c r="AS218" s="464" t="s">
        <v>2440</v>
      </c>
      <c r="AT218" s="381">
        <v>1.6490000000000001E-2</v>
      </c>
      <c r="AV218" s="464"/>
      <c r="AW218" s="465"/>
    </row>
    <row r="219" spans="4:49" ht="15">
      <c r="D219" s="384"/>
      <c r="AI219" s="464">
        <f t="shared" si="22"/>
        <v>199</v>
      </c>
      <c r="AJ219" s="473">
        <v>43171</v>
      </c>
      <c r="AK219" s="474">
        <v>20117.53</v>
      </c>
      <c r="AL219" s="475">
        <v>1.6000000000000001E-3</v>
      </c>
      <c r="AM219" s="475">
        <f t="shared" si="24"/>
        <v>1.6161258088718267E-3</v>
      </c>
      <c r="AN219" s="464"/>
      <c r="AO219" s="464"/>
      <c r="AR219" s="464">
        <f t="shared" si="23"/>
        <v>199</v>
      </c>
      <c r="AS219" s="464" t="s">
        <v>2439</v>
      </c>
      <c r="AT219" s="381">
        <v>1.5820000000000001E-2</v>
      </c>
      <c r="AV219" s="464"/>
      <c r="AW219" s="465"/>
    </row>
    <row r="220" spans="4:49" ht="15">
      <c r="D220" s="384"/>
      <c r="AI220" s="464">
        <f t="shared" si="22"/>
        <v>200</v>
      </c>
      <c r="AJ220" s="473">
        <v>43172</v>
      </c>
      <c r="AK220" s="474">
        <v>19863.23</v>
      </c>
      <c r="AL220" s="475">
        <v>-1.26E-2</v>
      </c>
      <c r="AM220" s="475">
        <f t="shared" si="24"/>
        <v>-1.2640716827562737E-2</v>
      </c>
      <c r="AN220" s="464"/>
      <c r="AO220" s="464"/>
      <c r="AR220" s="464">
        <f t="shared" si="23"/>
        <v>200</v>
      </c>
      <c r="AS220" s="464" t="s">
        <v>2438</v>
      </c>
      <c r="AT220" s="381">
        <v>1.5800000000000002E-2</v>
      </c>
      <c r="AV220" s="464"/>
      <c r="AW220" s="465"/>
    </row>
    <row r="221" spans="4:49" ht="15">
      <c r="D221" s="384"/>
      <c r="AI221" s="464">
        <f t="shared" si="22"/>
        <v>201</v>
      </c>
      <c r="AJ221" s="473">
        <v>43173</v>
      </c>
      <c r="AK221" s="474">
        <v>19820.12</v>
      </c>
      <c r="AL221" s="475">
        <v>-2.2000000000000001E-3</v>
      </c>
      <c r="AM221" s="475">
        <f t="shared" si="24"/>
        <v>-2.1703418829667198E-3</v>
      </c>
      <c r="AN221" s="464"/>
      <c r="AO221" s="464"/>
      <c r="AR221" s="464">
        <f t="shared" si="23"/>
        <v>201</v>
      </c>
      <c r="AS221" s="464" t="s">
        <v>2437</v>
      </c>
      <c r="AT221" s="381">
        <v>1.6040000000000002E-2</v>
      </c>
      <c r="AV221" s="464"/>
      <c r="AW221" s="465"/>
    </row>
    <row r="222" spans="4:49" ht="15">
      <c r="D222" s="384"/>
      <c r="AI222" s="464">
        <f t="shared" si="22"/>
        <v>202</v>
      </c>
      <c r="AJ222" s="473">
        <v>43174</v>
      </c>
      <c r="AK222" s="474">
        <v>19828.41</v>
      </c>
      <c r="AL222" s="475">
        <v>4.0000000000000002E-4</v>
      </c>
      <c r="AM222" s="475">
        <f t="shared" si="24"/>
        <v>4.1826184705251457E-4</v>
      </c>
      <c r="AN222" s="464"/>
      <c r="AO222" s="464"/>
      <c r="AR222" s="464">
        <f t="shared" si="23"/>
        <v>202</v>
      </c>
      <c r="AS222" s="464" t="s">
        <v>2436</v>
      </c>
      <c r="AT222" s="381">
        <v>1.5869999999999999E-2</v>
      </c>
      <c r="AV222" s="464"/>
      <c r="AW222" s="465"/>
    </row>
    <row r="223" spans="4:49" ht="15">
      <c r="D223" s="384"/>
      <c r="AI223" s="464">
        <f t="shared" si="22"/>
        <v>203</v>
      </c>
      <c r="AJ223" s="473">
        <v>43175</v>
      </c>
      <c r="AK223" s="474">
        <v>19804.900000000001</v>
      </c>
      <c r="AL223" s="475">
        <v>-1.1999999999999999E-3</v>
      </c>
      <c r="AM223" s="475">
        <f t="shared" si="24"/>
        <v>-1.1856724770165084E-3</v>
      </c>
      <c r="AN223" s="464"/>
      <c r="AO223" s="464"/>
      <c r="AR223" s="464">
        <f t="shared" si="23"/>
        <v>203</v>
      </c>
      <c r="AS223" s="464" t="s">
        <v>2435</v>
      </c>
      <c r="AT223" s="381">
        <v>1.5560000000000001E-2</v>
      </c>
      <c r="AV223" s="464"/>
      <c r="AW223" s="465"/>
    </row>
    <row r="224" spans="4:49" ht="15">
      <c r="D224" s="384"/>
      <c r="AI224" s="464">
        <f t="shared" si="22"/>
        <v>204</v>
      </c>
      <c r="AJ224" s="473">
        <v>43178</v>
      </c>
      <c r="AK224" s="474">
        <v>19694.77</v>
      </c>
      <c r="AL224" s="475">
        <v>-5.5999999999999999E-3</v>
      </c>
      <c r="AM224" s="475">
        <f t="shared" si="24"/>
        <v>-5.5607450681397497E-3</v>
      </c>
      <c r="AN224" s="464"/>
      <c r="AO224" s="464"/>
      <c r="AR224" s="464">
        <f t="shared" si="23"/>
        <v>204</v>
      </c>
      <c r="AS224" s="464" t="s">
        <v>2434</v>
      </c>
      <c r="AT224" s="381">
        <v>1.5489999999999999E-2</v>
      </c>
      <c r="AV224" s="464"/>
      <c r="AW224" s="465"/>
    </row>
    <row r="225" spans="4:49" ht="15">
      <c r="D225" s="384"/>
      <c r="AI225" s="464">
        <f t="shared" si="22"/>
        <v>205</v>
      </c>
      <c r="AJ225" s="473">
        <v>43179</v>
      </c>
      <c r="AK225" s="474">
        <v>19723.560000000001</v>
      </c>
      <c r="AL225" s="475">
        <v>1.5E-3</v>
      </c>
      <c r="AM225" s="475">
        <f t="shared" si="24"/>
        <v>1.4618094042226915E-3</v>
      </c>
      <c r="AN225" s="464"/>
      <c r="AO225" s="464"/>
      <c r="AR225" s="464">
        <f t="shared" si="23"/>
        <v>205</v>
      </c>
      <c r="AS225" s="464" t="s">
        <v>2433</v>
      </c>
      <c r="AT225" s="381">
        <v>1.5229999999999999E-2</v>
      </c>
      <c r="AV225" s="464"/>
      <c r="AW225" s="465"/>
    </row>
    <row r="226" spans="4:49" ht="15">
      <c r="D226" s="384"/>
      <c r="AI226" s="464">
        <f t="shared" si="22"/>
        <v>206</v>
      </c>
      <c r="AJ226" s="473">
        <v>43180</v>
      </c>
      <c r="AK226" s="474">
        <v>19668.04</v>
      </c>
      <c r="AL226" s="475">
        <v>-2.8E-3</v>
      </c>
      <c r="AM226" s="475">
        <f t="shared" si="24"/>
        <v>-2.8149076535879392E-3</v>
      </c>
      <c r="AN226" s="464"/>
      <c r="AO226" s="464"/>
      <c r="AR226" s="464">
        <f t="shared" si="23"/>
        <v>206</v>
      </c>
      <c r="AS226" s="464" t="s">
        <v>2432</v>
      </c>
      <c r="AT226" s="381">
        <v>1.5109999999999998E-2</v>
      </c>
      <c r="AV226" s="464"/>
      <c r="AW226" s="465"/>
    </row>
    <row r="227" spans="4:49" ht="15">
      <c r="D227" s="384"/>
      <c r="AI227" s="464">
        <f t="shared" si="22"/>
        <v>207</v>
      </c>
      <c r="AJ227" s="473">
        <v>43181</v>
      </c>
      <c r="AK227" s="474">
        <v>19393.89</v>
      </c>
      <c r="AL227" s="475">
        <v>-1.3899999999999999E-2</v>
      </c>
      <c r="AM227" s="475">
        <f t="shared" si="24"/>
        <v>-1.393885715099219E-2</v>
      </c>
      <c r="AN227" s="464"/>
      <c r="AO227" s="464"/>
      <c r="AR227" s="464">
        <f t="shared" si="23"/>
        <v>207</v>
      </c>
      <c r="AS227" s="464" t="s">
        <v>2431</v>
      </c>
      <c r="AT227" s="381">
        <v>1.5609999999999999E-2</v>
      </c>
      <c r="AV227" s="464"/>
      <c r="AW227" s="465"/>
    </row>
    <row r="228" spans="4:49" ht="15">
      <c r="D228" s="384"/>
      <c r="AI228" s="464">
        <f t="shared" si="22"/>
        <v>208</v>
      </c>
      <c r="AJ228" s="473">
        <v>43182</v>
      </c>
      <c r="AK228" s="474">
        <v>19319.48</v>
      </c>
      <c r="AL228" s="475">
        <v>-3.8E-3</v>
      </c>
      <c r="AM228" s="475">
        <f t="shared" si="24"/>
        <v>-3.8367753967872842E-3</v>
      </c>
      <c r="AN228" s="464"/>
      <c r="AO228" s="464"/>
      <c r="AR228" s="464">
        <f t="shared" si="23"/>
        <v>208</v>
      </c>
      <c r="AS228" s="464" t="s">
        <v>2430</v>
      </c>
      <c r="AT228" s="381">
        <v>1.502E-2</v>
      </c>
      <c r="AV228" s="464"/>
      <c r="AW228" s="465"/>
    </row>
    <row r="229" spans="4:49" ht="15">
      <c r="D229" s="384"/>
      <c r="AI229" s="464">
        <f t="shared" si="22"/>
        <v>209</v>
      </c>
      <c r="AJ229" s="473">
        <v>43185</v>
      </c>
      <c r="AK229" s="474">
        <v>19187.09</v>
      </c>
      <c r="AL229" s="475">
        <v>-6.8999999999999999E-3</v>
      </c>
      <c r="AM229" s="475">
        <f t="shared" si="24"/>
        <v>-6.8526689124137619E-3</v>
      </c>
      <c r="AN229" s="464"/>
      <c r="AO229" s="464"/>
      <c r="AR229" s="464">
        <f t="shared" si="23"/>
        <v>209</v>
      </c>
      <c r="AS229" s="464" t="s">
        <v>2429</v>
      </c>
      <c r="AT229" s="381">
        <v>1.4670000000000001E-2</v>
      </c>
      <c r="AV229" s="464"/>
      <c r="AW229" s="465"/>
    </row>
    <row r="230" spans="4:49" ht="15">
      <c r="D230" s="384"/>
      <c r="AI230" s="464">
        <f t="shared" si="22"/>
        <v>210</v>
      </c>
      <c r="AJ230" s="473">
        <v>43186</v>
      </c>
      <c r="AK230" s="474">
        <v>19389.13</v>
      </c>
      <c r="AL230" s="475">
        <v>1.0500000000000001E-2</v>
      </c>
      <c r="AM230" s="475">
        <f t="shared" si="24"/>
        <v>1.0529996992769686E-2</v>
      </c>
      <c r="AN230" s="464"/>
      <c r="AO230" s="464"/>
      <c r="AR230" s="464">
        <f t="shared" si="23"/>
        <v>210</v>
      </c>
      <c r="AS230" s="464" t="s">
        <v>2428</v>
      </c>
      <c r="AT230" s="381">
        <v>1.473E-2</v>
      </c>
      <c r="AV230" s="464"/>
      <c r="AW230" s="465"/>
    </row>
    <row r="231" spans="4:49" ht="15">
      <c r="D231" s="384"/>
      <c r="AI231" s="464">
        <f t="shared" si="22"/>
        <v>211</v>
      </c>
      <c r="AJ231" s="473">
        <v>43187</v>
      </c>
      <c r="AK231" s="474">
        <v>19356.59</v>
      </c>
      <c r="AL231" s="475">
        <v>-1.6999999999999999E-3</v>
      </c>
      <c r="AM231" s="475">
        <f t="shared" si="24"/>
        <v>-1.6782599322404668E-3</v>
      </c>
      <c r="AN231" s="464"/>
      <c r="AO231" s="464"/>
      <c r="AR231" s="464">
        <f t="shared" si="23"/>
        <v>211</v>
      </c>
      <c r="AS231" s="464" t="s">
        <v>2427</v>
      </c>
      <c r="AT231" s="381">
        <v>1.498E-2</v>
      </c>
      <c r="AV231" s="464"/>
      <c r="AW231" s="465"/>
    </row>
    <row r="232" spans="4:49" ht="15">
      <c r="D232" s="384"/>
      <c r="AI232" s="464">
        <f t="shared" si="22"/>
        <v>212</v>
      </c>
      <c r="AJ232" s="473">
        <v>43188</v>
      </c>
      <c r="AK232" s="474">
        <v>19460.47</v>
      </c>
      <c r="AL232" s="475">
        <v>5.4000000000000003E-3</v>
      </c>
      <c r="AM232" s="475">
        <f t="shared" si="24"/>
        <v>5.3666477411569158E-3</v>
      </c>
      <c r="AN232" s="464"/>
      <c r="AO232" s="464"/>
      <c r="AR232" s="464">
        <f t="shared" si="23"/>
        <v>212</v>
      </c>
      <c r="AS232" s="464" t="s">
        <v>2426</v>
      </c>
      <c r="AT232" s="381">
        <v>1.5220000000000001E-2</v>
      </c>
      <c r="AV232" s="464"/>
      <c r="AW232" s="465"/>
    </row>
    <row r="233" spans="4:49" ht="15">
      <c r="D233" s="384"/>
      <c r="AI233" s="464">
        <f t="shared" si="22"/>
        <v>213</v>
      </c>
      <c r="AJ233" s="473">
        <v>43193</v>
      </c>
      <c r="AK233" s="474">
        <v>19398.009999999998</v>
      </c>
      <c r="AL233" s="475">
        <v>-3.2000000000000002E-3</v>
      </c>
      <c r="AM233" s="475">
        <f t="shared" si="24"/>
        <v>-3.2095833245550098E-3</v>
      </c>
      <c r="AN233" s="464"/>
      <c r="AO233" s="464"/>
      <c r="AR233" s="464">
        <f t="shared" si="23"/>
        <v>213</v>
      </c>
      <c r="AS233" s="464" t="s">
        <v>2425</v>
      </c>
      <c r="AT233" s="381">
        <v>1.494E-2</v>
      </c>
      <c r="AV233" s="464"/>
      <c r="AW233" s="465"/>
    </row>
    <row r="234" spans="4:49" ht="15">
      <c r="D234" s="384"/>
      <c r="AI234" s="464">
        <f t="shared" si="22"/>
        <v>214</v>
      </c>
      <c r="AJ234" s="473">
        <v>43194</v>
      </c>
      <c r="AK234" s="474">
        <v>19264.22</v>
      </c>
      <c r="AL234" s="475">
        <v>-6.8999999999999999E-3</v>
      </c>
      <c r="AM234" s="475">
        <f t="shared" si="24"/>
        <v>-6.8970992385299912E-3</v>
      </c>
      <c r="AN234" s="464"/>
      <c r="AO234" s="464"/>
      <c r="AR234" s="464">
        <f t="shared" si="23"/>
        <v>214</v>
      </c>
      <c r="AS234" s="464" t="s">
        <v>2424</v>
      </c>
      <c r="AT234" s="381">
        <v>1.474E-2</v>
      </c>
      <c r="AV234" s="464"/>
      <c r="AW234" s="465"/>
    </row>
    <row r="235" spans="4:49" ht="15">
      <c r="D235" s="384"/>
      <c r="AI235" s="464">
        <f t="shared" si="22"/>
        <v>215</v>
      </c>
      <c r="AJ235" s="473">
        <v>43195</v>
      </c>
      <c r="AK235" s="474">
        <v>19576.169999999998</v>
      </c>
      <c r="AL235" s="475">
        <v>1.6199999999999999E-2</v>
      </c>
      <c r="AM235" s="475">
        <f t="shared" si="24"/>
        <v>1.6193232843063399E-2</v>
      </c>
      <c r="AN235" s="464"/>
      <c r="AO235" s="464"/>
      <c r="AR235" s="464">
        <f t="shared" si="23"/>
        <v>215</v>
      </c>
      <c r="AS235" s="464" t="s">
        <v>2423</v>
      </c>
      <c r="AT235" s="381">
        <v>1.494E-2</v>
      </c>
      <c r="AV235" s="464"/>
      <c r="AW235" s="465"/>
    </row>
    <row r="236" spans="4:49" ht="15">
      <c r="D236" s="384"/>
      <c r="AI236" s="464">
        <f t="shared" si="22"/>
        <v>216</v>
      </c>
      <c r="AJ236" s="473">
        <v>43196</v>
      </c>
      <c r="AK236" s="474">
        <v>19530.169999999998</v>
      </c>
      <c r="AL236" s="475">
        <v>-2.3E-3</v>
      </c>
      <c r="AM236" s="475">
        <f t="shared" si="24"/>
        <v>-2.3497956954807719E-3</v>
      </c>
      <c r="AN236" s="464"/>
      <c r="AO236" s="464"/>
      <c r="AR236" s="464">
        <f t="shared" si="23"/>
        <v>216</v>
      </c>
      <c r="AS236" s="464" t="s">
        <v>2422</v>
      </c>
      <c r="AT236" s="381">
        <v>1.4970000000000001E-2</v>
      </c>
      <c r="AV236" s="464"/>
      <c r="AW236" s="465"/>
    </row>
    <row r="237" spans="4:49" ht="15">
      <c r="D237" s="384"/>
      <c r="AI237" s="464">
        <f t="shared" si="22"/>
        <v>217</v>
      </c>
      <c r="AJ237" s="473">
        <v>43199</v>
      </c>
      <c r="AK237" s="474">
        <v>19484.349999999999</v>
      </c>
      <c r="AL237" s="475">
        <v>-2.3E-3</v>
      </c>
      <c r="AM237" s="475">
        <f t="shared" si="24"/>
        <v>-2.346113730704813E-3</v>
      </c>
      <c r="AN237" s="464"/>
      <c r="AO237" s="464"/>
      <c r="AR237" s="464">
        <f t="shared" si="23"/>
        <v>217</v>
      </c>
      <c r="AS237" s="464" t="s">
        <v>2421</v>
      </c>
      <c r="AT237" s="381">
        <v>1.4879999999999999E-2</v>
      </c>
      <c r="AV237" s="464"/>
      <c r="AW237" s="465"/>
    </row>
    <row r="238" spans="4:49" ht="15">
      <c r="D238" s="384"/>
      <c r="AI238" s="464">
        <f t="shared" si="22"/>
        <v>218</v>
      </c>
      <c r="AJ238" s="473">
        <v>43200</v>
      </c>
      <c r="AK238" s="474">
        <v>19675.48</v>
      </c>
      <c r="AL238" s="475">
        <v>9.7999999999999997E-3</v>
      </c>
      <c r="AM238" s="475">
        <f t="shared" si="24"/>
        <v>9.809411142789104E-3</v>
      </c>
      <c r="AN238" s="464"/>
      <c r="AO238" s="464"/>
      <c r="AR238" s="464">
        <f t="shared" si="23"/>
        <v>218</v>
      </c>
      <c r="AS238" s="464" t="s">
        <v>2420</v>
      </c>
      <c r="AT238" s="381">
        <v>1.439E-2</v>
      </c>
      <c r="AV238" s="464"/>
      <c r="AW238" s="465"/>
    </row>
    <row r="239" spans="4:49" ht="15">
      <c r="D239" s="384"/>
      <c r="AI239" s="464">
        <f t="shared" si="22"/>
        <v>219</v>
      </c>
      <c r="AJ239" s="473">
        <v>43201</v>
      </c>
      <c r="AK239" s="474">
        <v>19654.96</v>
      </c>
      <c r="AL239" s="475">
        <v>-1E-3</v>
      </c>
      <c r="AM239" s="475">
        <f t="shared" si="24"/>
        <v>-1.0429224598332842E-3</v>
      </c>
      <c r="AN239" s="464"/>
      <c r="AO239" s="464"/>
      <c r="AR239" s="464">
        <f t="shared" si="23"/>
        <v>219</v>
      </c>
      <c r="AS239" s="464" t="s">
        <v>2419</v>
      </c>
      <c r="AT239" s="381">
        <v>1.44E-2</v>
      </c>
      <c r="AV239" s="464"/>
      <c r="AW239" s="465"/>
    </row>
    <row r="240" spans="4:49" ht="15">
      <c r="D240" s="384"/>
      <c r="AI240" s="464">
        <f t="shared" si="22"/>
        <v>220</v>
      </c>
      <c r="AJ240" s="473">
        <v>43202</v>
      </c>
      <c r="AK240" s="474">
        <v>19772.93</v>
      </c>
      <c r="AL240" s="475">
        <v>6.0000000000000001E-3</v>
      </c>
      <c r="AM240" s="475">
        <f t="shared" si="24"/>
        <v>6.0020473203710178E-3</v>
      </c>
      <c r="AN240" s="464"/>
      <c r="AO240" s="464"/>
      <c r="AR240" s="464">
        <f t="shared" si="23"/>
        <v>220</v>
      </c>
      <c r="AS240" s="464" t="s">
        <v>2418</v>
      </c>
      <c r="AT240" s="381">
        <v>1.431E-2</v>
      </c>
      <c r="AV240" s="464"/>
      <c r="AW240" s="465"/>
    </row>
    <row r="241" spans="4:49" ht="15">
      <c r="D241" s="384"/>
      <c r="AI241" s="464">
        <f t="shared" si="22"/>
        <v>221</v>
      </c>
      <c r="AJ241" s="473">
        <v>43203</v>
      </c>
      <c r="AK241" s="474">
        <v>19838.54</v>
      </c>
      <c r="AL241" s="475">
        <v>3.3E-3</v>
      </c>
      <c r="AM241" s="475">
        <f t="shared" si="24"/>
        <v>3.3181728757447626E-3</v>
      </c>
      <c r="AN241" s="464"/>
      <c r="AO241" s="464"/>
      <c r="AR241" s="464">
        <f t="shared" si="23"/>
        <v>221</v>
      </c>
      <c r="AS241" s="464" t="s">
        <v>2417</v>
      </c>
      <c r="AT241" s="381">
        <v>1.4450000000000001E-2</v>
      </c>
      <c r="AV241" s="464"/>
      <c r="AW241" s="465"/>
    </row>
    <row r="242" spans="4:49" ht="15">
      <c r="D242" s="384"/>
      <c r="AI242" s="464">
        <f t="shared" si="22"/>
        <v>222</v>
      </c>
      <c r="AJ242" s="473">
        <v>43206</v>
      </c>
      <c r="AK242" s="474">
        <v>19771.52</v>
      </c>
      <c r="AL242" s="475">
        <v>-3.3999999999999998E-3</v>
      </c>
      <c r="AM242" s="475">
        <f t="shared" si="24"/>
        <v>-3.3782727962844428E-3</v>
      </c>
      <c r="AN242" s="464"/>
      <c r="AO242" s="464"/>
      <c r="AR242" s="464">
        <f t="shared" si="23"/>
        <v>222</v>
      </c>
      <c r="AS242" s="464" t="s">
        <v>2416</v>
      </c>
      <c r="AT242" s="381">
        <v>1.485E-2</v>
      </c>
      <c r="AV242" s="464"/>
      <c r="AW242" s="465"/>
    </row>
    <row r="243" spans="4:49" ht="15">
      <c r="D243" s="384"/>
      <c r="AI243" s="464">
        <f t="shared" si="22"/>
        <v>223</v>
      </c>
      <c r="AJ243" s="473">
        <v>43207</v>
      </c>
      <c r="AK243" s="474">
        <v>19829.39</v>
      </c>
      <c r="AL243" s="475">
        <v>2.8999999999999998E-3</v>
      </c>
      <c r="AM243" s="475">
        <f t="shared" si="24"/>
        <v>2.9269373320817138E-3</v>
      </c>
      <c r="AN243" s="464"/>
      <c r="AO243" s="464"/>
      <c r="AR243" s="464">
        <f t="shared" si="23"/>
        <v>223</v>
      </c>
      <c r="AS243" s="464" t="s">
        <v>2415</v>
      </c>
      <c r="AT243" s="381">
        <v>1.529E-2</v>
      </c>
      <c r="AV243" s="464"/>
      <c r="AW243" s="465"/>
    </row>
    <row r="244" spans="4:49" ht="15">
      <c r="D244" s="384"/>
      <c r="AI244" s="464">
        <f t="shared" si="22"/>
        <v>224</v>
      </c>
      <c r="AJ244" s="473">
        <v>43208</v>
      </c>
      <c r="AK244" s="474">
        <v>20012.009999999998</v>
      </c>
      <c r="AL244" s="475">
        <v>9.1999999999999998E-3</v>
      </c>
      <c r="AM244" s="475">
        <f t="shared" si="24"/>
        <v>9.209562170091834E-3</v>
      </c>
      <c r="AN244" s="464"/>
      <c r="AO244" s="464"/>
      <c r="AR244" s="464">
        <f t="shared" si="23"/>
        <v>224</v>
      </c>
      <c r="AS244" s="464" t="s">
        <v>2414</v>
      </c>
      <c r="AT244" s="381">
        <v>1.439E-2</v>
      </c>
      <c r="AV244" s="464"/>
      <c r="AW244" s="465"/>
    </row>
    <row r="245" spans="4:49">
      <c r="AI245" s="464">
        <f t="shared" si="22"/>
        <v>225</v>
      </c>
      <c r="AJ245" s="473">
        <v>43209</v>
      </c>
      <c r="AK245" s="474">
        <v>20147.16</v>
      </c>
      <c r="AL245" s="475">
        <v>6.7999999999999996E-3</v>
      </c>
      <c r="AM245" s="475">
        <f t="shared" si="24"/>
        <v>6.7534445565438084E-3</v>
      </c>
      <c r="AN245" s="464"/>
      <c r="AO245" s="464"/>
      <c r="AR245" s="464">
        <f t="shared" si="23"/>
        <v>225</v>
      </c>
      <c r="AS245" s="464" t="s">
        <v>2413</v>
      </c>
      <c r="AT245" s="381">
        <v>1.4459999999999999E-2</v>
      </c>
      <c r="AV245" s="464"/>
      <c r="AW245" s="465"/>
    </row>
    <row r="246" spans="4:49">
      <c r="AI246" s="464">
        <f t="shared" si="22"/>
        <v>226</v>
      </c>
      <c r="AJ246" s="473">
        <v>43210</v>
      </c>
      <c r="AK246" s="474">
        <v>20220.77</v>
      </c>
      <c r="AL246" s="475">
        <v>3.7000000000000002E-3</v>
      </c>
      <c r="AM246" s="475">
        <f t="shared" si="24"/>
        <v>3.6536166884066912E-3</v>
      </c>
      <c r="AN246" s="464"/>
      <c r="AO246" s="464"/>
      <c r="AR246" s="464">
        <f t="shared" si="23"/>
        <v>226</v>
      </c>
      <c r="AS246" s="464" t="s">
        <v>2412</v>
      </c>
      <c r="AT246" s="381">
        <v>1.44E-2</v>
      </c>
      <c r="AV246" s="464"/>
      <c r="AW246" s="465"/>
    </row>
    <row r="247" spans="4:49">
      <c r="AI247" s="464">
        <f t="shared" si="22"/>
        <v>227</v>
      </c>
      <c r="AJ247" s="473">
        <v>43213</v>
      </c>
      <c r="AK247" s="474">
        <v>20316.37</v>
      </c>
      <c r="AL247" s="475">
        <v>4.7000000000000002E-3</v>
      </c>
      <c r="AM247" s="475">
        <f t="shared" si="24"/>
        <v>4.7278120467222351E-3</v>
      </c>
      <c r="AN247" s="464"/>
      <c r="AO247" s="464"/>
      <c r="AR247" s="464">
        <f t="shared" si="23"/>
        <v>227</v>
      </c>
      <c r="AS247" s="464" t="s">
        <v>2411</v>
      </c>
      <c r="AT247" s="381">
        <v>1.4190000000000001E-2</v>
      </c>
      <c r="AV247" s="464"/>
      <c r="AW247" s="465"/>
    </row>
    <row r="248" spans="4:49">
      <c r="AI248" s="464">
        <f t="shared" si="22"/>
        <v>228</v>
      </c>
      <c r="AJ248" s="473">
        <v>43214</v>
      </c>
      <c r="AK248" s="474">
        <v>20195.310000000001</v>
      </c>
      <c r="AL248" s="475">
        <v>-6.0000000000000001E-3</v>
      </c>
      <c r="AM248" s="475">
        <f t="shared" si="24"/>
        <v>-5.9587416452839825E-3</v>
      </c>
      <c r="AN248" s="464"/>
      <c r="AO248" s="464"/>
      <c r="AR248" s="464">
        <f t="shared" si="23"/>
        <v>228</v>
      </c>
      <c r="AS248" s="464" t="s">
        <v>2410</v>
      </c>
      <c r="AT248" s="381">
        <v>1.367E-2</v>
      </c>
      <c r="AV248" s="464"/>
      <c r="AW248" s="465"/>
    </row>
    <row r="249" spans="4:49">
      <c r="AI249" s="464">
        <f t="shared" si="22"/>
        <v>229</v>
      </c>
      <c r="AJ249" s="473">
        <v>43215</v>
      </c>
      <c r="AK249" s="474">
        <v>20019.080000000002</v>
      </c>
      <c r="AL249" s="475">
        <v>-8.6999999999999994E-3</v>
      </c>
      <c r="AM249" s="475">
        <f t="shared" si="24"/>
        <v>-8.7262834786888677E-3</v>
      </c>
      <c r="AN249" s="464"/>
      <c r="AO249" s="464"/>
      <c r="AR249" s="464">
        <f t="shared" si="23"/>
        <v>229</v>
      </c>
      <c r="AS249" s="464" t="s">
        <v>2409</v>
      </c>
      <c r="AT249" s="381">
        <v>1.3500000000000002E-2</v>
      </c>
      <c r="AV249" s="464"/>
      <c r="AW249" s="465"/>
    </row>
    <row r="250" spans="4:49">
      <c r="AI250" s="464">
        <f t="shared" si="22"/>
        <v>230</v>
      </c>
      <c r="AJ250" s="473">
        <v>43216</v>
      </c>
      <c r="AK250" s="474">
        <v>20137.62</v>
      </c>
      <c r="AL250" s="475">
        <v>5.8999999999999999E-3</v>
      </c>
      <c r="AM250" s="475">
        <f t="shared" si="24"/>
        <v>5.9213510311162398E-3</v>
      </c>
      <c r="AN250" s="464"/>
      <c r="AO250" s="464"/>
      <c r="AR250" s="464">
        <f t="shared" si="23"/>
        <v>230</v>
      </c>
      <c r="AS250" s="464" t="s">
        <v>2408</v>
      </c>
      <c r="AT250" s="381">
        <v>1.3429999999999999E-2</v>
      </c>
      <c r="AV250" s="464"/>
      <c r="AW250" s="465"/>
    </row>
    <row r="251" spans="4:49">
      <c r="AI251" s="464">
        <f t="shared" si="22"/>
        <v>231</v>
      </c>
      <c r="AJ251" s="473">
        <v>43217</v>
      </c>
      <c r="AK251" s="474">
        <v>20271.63</v>
      </c>
      <c r="AL251" s="475">
        <v>6.7000000000000002E-3</v>
      </c>
      <c r="AM251" s="475">
        <f t="shared" si="24"/>
        <v>6.6547089477306809E-3</v>
      </c>
      <c r="AN251" s="464"/>
      <c r="AO251" s="464"/>
      <c r="AR251" s="464">
        <f t="shared" si="23"/>
        <v>231</v>
      </c>
      <c r="AS251" s="464" t="s">
        <v>2407</v>
      </c>
      <c r="AT251" s="381">
        <v>1.359E-2</v>
      </c>
      <c r="AV251" s="464"/>
      <c r="AW251" s="465"/>
    </row>
    <row r="252" spans="4:49">
      <c r="AI252" s="464">
        <f t="shared" si="22"/>
        <v>232</v>
      </c>
      <c r="AJ252" s="473">
        <v>43220</v>
      </c>
      <c r="AK252" s="474">
        <v>20285.05</v>
      </c>
      <c r="AL252" s="475">
        <v>6.9999999999999999E-4</v>
      </c>
      <c r="AM252" s="475">
        <f t="shared" si="24"/>
        <v>6.6200892577450432E-4</v>
      </c>
      <c r="AN252" s="464"/>
      <c r="AO252" s="464"/>
      <c r="AR252" s="464">
        <f t="shared" si="23"/>
        <v>232</v>
      </c>
      <c r="AS252" s="464" t="s">
        <v>2406</v>
      </c>
      <c r="AT252" s="381">
        <v>1.3680000000000001E-2</v>
      </c>
      <c r="AV252" s="464"/>
      <c r="AW252" s="465"/>
    </row>
    <row r="253" spans="4:49">
      <c r="AI253" s="464">
        <f t="shared" si="22"/>
        <v>233</v>
      </c>
      <c r="AJ253" s="473">
        <v>43221</v>
      </c>
      <c r="AK253" s="474">
        <v>20348.32</v>
      </c>
      <c r="AL253" s="475">
        <v>3.0999999999999999E-3</v>
      </c>
      <c r="AM253" s="475">
        <f t="shared" si="24"/>
        <v>3.1190457997392063E-3</v>
      </c>
      <c r="AN253" s="464"/>
      <c r="AO253" s="464"/>
      <c r="AR253" s="464">
        <f t="shared" si="23"/>
        <v>233</v>
      </c>
      <c r="AS253" s="464" t="s">
        <v>2405</v>
      </c>
      <c r="AT253" s="381">
        <v>1.418E-2</v>
      </c>
      <c r="AV253" s="464"/>
      <c r="AW253" s="465"/>
    </row>
    <row r="254" spans="4:49">
      <c r="AI254" s="464">
        <f t="shared" si="22"/>
        <v>234</v>
      </c>
      <c r="AJ254" s="473">
        <v>43222</v>
      </c>
      <c r="AK254" s="474">
        <v>20506.27</v>
      </c>
      <c r="AL254" s="475">
        <v>7.7999999999999996E-3</v>
      </c>
      <c r="AM254" s="475">
        <f t="shared" si="24"/>
        <v>7.7623115814966503E-3</v>
      </c>
      <c r="AN254" s="464"/>
      <c r="AO254" s="464"/>
      <c r="AR254" s="464">
        <f t="shared" si="23"/>
        <v>234</v>
      </c>
      <c r="AS254" s="464" t="s">
        <v>2404</v>
      </c>
      <c r="AT254" s="381">
        <v>1.3950000000000001E-2</v>
      </c>
      <c r="AV254" s="464"/>
      <c r="AW254" s="465"/>
    </row>
    <row r="255" spans="4:49">
      <c r="AI255" s="464">
        <f t="shared" si="22"/>
        <v>235</v>
      </c>
      <c r="AJ255" s="473">
        <v>43223</v>
      </c>
      <c r="AK255" s="474">
        <v>20365.87</v>
      </c>
      <c r="AL255" s="475">
        <v>-6.7999999999999996E-3</v>
      </c>
      <c r="AM255" s="475">
        <f t="shared" si="24"/>
        <v>-6.8466864037195485E-3</v>
      </c>
      <c r="AN255" s="464"/>
      <c r="AO255" s="464"/>
      <c r="AR255" s="464">
        <f t="shared" si="23"/>
        <v>235</v>
      </c>
      <c r="AS255" s="464" t="s">
        <v>2403</v>
      </c>
      <c r="AT255" s="381">
        <v>1.406E-2</v>
      </c>
      <c r="AV255" s="464"/>
      <c r="AW255" s="465"/>
    </row>
    <row r="256" spans="4:49">
      <c r="AI256" s="464">
        <f t="shared" si="22"/>
        <v>236</v>
      </c>
      <c r="AJ256" s="473">
        <v>43224</v>
      </c>
      <c r="AK256" s="474">
        <v>20421.88</v>
      </c>
      <c r="AL256" s="475">
        <v>2.8E-3</v>
      </c>
      <c r="AM256" s="475">
        <f t="shared" si="24"/>
        <v>2.7501894100276925E-3</v>
      </c>
      <c r="AN256" s="464"/>
      <c r="AO256" s="464"/>
      <c r="AR256" s="464">
        <f t="shared" si="23"/>
        <v>236</v>
      </c>
      <c r="AS256" s="464" t="s">
        <v>2402</v>
      </c>
      <c r="AT256" s="381">
        <v>1.4070000000000001E-2</v>
      </c>
      <c r="AV256" s="464"/>
      <c r="AW256" s="465"/>
    </row>
    <row r="257" spans="35:49">
      <c r="AI257" s="464">
        <f t="shared" si="22"/>
        <v>237</v>
      </c>
      <c r="AJ257" s="473">
        <v>43228</v>
      </c>
      <c r="AK257" s="474">
        <v>20594.72</v>
      </c>
      <c r="AL257" s="475">
        <v>8.5000000000000006E-3</v>
      </c>
      <c r="AM257" s="475">
        <f t="shared" si="24"/>
        <v>8.4634715315141662E-3</v>
      </c>
      <c r="AN257" s="464"/>
      <c r="AO257" s="464"/>
      <c r="AR257" s="464">
        <f t="shared" si="23"/>
        <v>237</v>
      </c>
      <c r="AS257" s="464" t="s">
        <v>2401</v>
      </c>
      <c r="AT257" s="381">
        <v>1.3879999999999998E-2</v>
      </c>
      <c r="AV257" s="464"/>
      <c r="AW257" s="465"/>
    </row>
    <row r="258" spans="35:49">
      <c r="AI258" s="464">
        <f t="shared" si="22"/>
        <v>238</v>
      </c>
      <c r="AJ258" s="473">
        <v>43229</v>
      </c>
      <c r="AK258" s="474">
        <v>20681.95</v>
      </c>
      <c r="AL258" s="475">
        <v>4.1999999999999997E-3</v>
      </c>
      <c r="AM258" s="475">
        <f t="shared" si="24"/>
        <v>4.2355516365359946E-3</v>
      </c>
      <c r="AN258" s="464"/>
      <c r="AO258" s="464"/>
      <c r="AR258" s="464">
        <f t="shared" si="23"/>
        <v>238</v>
      </c>
      <c r="AS258" s="464" t="s">
        <v>2400</v>
      </c>
      <c r="AT258" s="381">
        <v>1.4570000000000001E-2</v>
      </c>
      <c r="AV258" s="464"/>
      <c r="AW258" s="465"/>
    </row>
    <row r="259" spans="35:49">
      <c r="AI259" s="464">
        <f t="shared" si="22"/>
        <v>239</v>
      </c>
      <c r="AJ259" s="473">
        <v>43230</v>
      </c>
      <c r="AK259" s="474">
        <v>20699.41</v>
      </c>
      <c r="AL259" s="475">
        <v>8.0000000000000004E-4</v>
      </c>
      <c r="AM259" s="475">
        <f t="shared" si="24"/>
        <v>8.4421439951265498E-4</v>
      </c>
      <c r="AN259" s="464"/>
      <c r="AO259" s="464"/>
      <c r="AR259" s="464">
        <f t="shared" si="23"/>
        <v>239</v>
      </c>
      <c r="AS259" s="464" t="s">
        <v>2399</v>
      </c>
      <c r="AT259" s="381">
        <v>1.436E-2</v>
      </c>
      <c r="AV259" s="464"/>
      <c r="AW259" s="465"/>
    </row>
    <row r="260" spans="35:49">
      <c r="AI260" s="464">
        <f t="shared" si="22"/>
        <v>240</v>
      </c>
      <c r="AJ260" s="473">
        <v>43231</v>
      </c>
      <c r="AK260" s="474">
        <v>20785.560000000001</v>
      </c>
      <c r="AL260" s="475">
        <v>4.1999999999999997E-3</v>
      </c>
      <c r="AM260" s="475">
        <f t="shared" si="24"/>
        <v>4.1619543745450294E-3</v>
      </c>
      <c r="AN260" s="464"/>
      <c r="AO260" s="464"/>
      <c r="AR260" s="464">
        <f t="shared" si="23"/>
        <v>240</v>
      </c>
      <c r="AS260" s="464" t="s">
        <v>2398</v>
      </c>
      <c r="AT260" s="381">
        <v>1.464E-2</v>
      </c>
      <c r="AV260" s="464"/>
      <c r="AW260" s="465"/>
    </row>
    <row r="261" spans="35:49">
      <c r="AI261" s="464">
        <f t="shared" si="22"/>
        <v>241</v>
      </c>
      <c r="AJ261" s="473">
        <v>43234</v>
      </c>
      <c r="AK261" s="474">
        <v>20800.95</v>
      </c>
      <c r="AL261" s="475">
        <v>6.9999999999999999E-4</v>
      </c>
      <c r="AM261" s="475">
        <f t="shared" si="24"/>
        <v>7.4041786701917189E-4</v>
      </c>
      <c r="AN261" s="464"/>
      <c r="AO261" s="464"/>
      <c r="AR261" s="464">
        <f t="shared" si="23"/>
        <v>241</v>
      </c>
      <c r="AS261" s="464" t="s">
        <v>2397</v>
      </c>
      <c r="AT261" s="381">
        <v>1.4370000000000001E-2</v>
      </c>
      <c r="AV261" s="464"/>
      <c r="AW261" s="465"/>
    </row>
    <row r="262" spans="35:49">
      <c r="AI262" s="464">
        <f t="shared" si="22"/>
        <v>242</v>
      </c>
      <c r="AJ262" s="473">
        <v>43235</v>
      </c>
      <c r="AK262" s="474">
        <v>20784.919999999998</v>
      </c>
      <c r="AL262" s="475">
        <v>-8.0000000000000004E-4</v>
      </c>
      <c r="AM262" s="475">
        <f t="shared" si="24"/>
        <v>-7.7063787952003082E-4</v>
      </c>
      <c r="AN262" s="464"/>
      <c r="AO262" s="464"/>
      <c r="AR262" s="464">
        <f t="shared" si="23"/>
        <v>242</v>
      </c>
      <c r="AS262" s="464" t="s">
        <v>2396</v>
      </c>
      <c r="AT262" s="381">
        <v>1.4159999999999999E-2</v>
      </c>
      <c r="AV262" s="464"/>
      <c r="AW262" s="465"/>
    </row>
    <row r="263" spans="35:49">
      <c r="AI263" s="464">
        <f t="shared" si="22"/>
        <v>243</v>
      </c>
      <c r="AJ263" s="473">
        <v>43236</v>
      </c>
      <c r="AK263" s="474">
        <v>20828.79</v>
      </c>
      <c r="AL263" s="475">
        <v>2.0999999999999999E-3</v>
      </c>
      <c r="AM263" s="475">
        <f t="shared" si="24"/>
        <v>2.1106648473991907E-3</v>
      </c>
      <c r="AN263" s="464"/>
      <c r="AO263" s="464"/>
      <c r="AR263" s="464">
        <f t="shared" si="23"/>
        <v>243</v>
      </c>
      <c r="AS263" s="464" t="s">
        <v>2395</v>
      </c>
      <c r="AT263" s="381">
        <v>1.516E-2</v>
      </c>
      <c r="AV263" s="464"/>
      <c r="AW263" s="465"/>
    </row>
    <row r="264" spans="35:49">
      <c r="AI264" s="464">
        <f t="shared" si="22"/>
        <v>244</v>
      </c>
      <c r="AJ264" s="473">
        <v>43237</v>
      </c>
      <c r="AK264" s="474">
        <v>21019.439999999999</v>
      </c>
      <c r="AL264" s="475">
        <v>9.1999999999999998E-3</v>
      </c>
      <c r="AM264" s="475">
        <f t="shared" si="24"/>
        <v>9.1531961290116648E-3</v>
      </c>
      <c r="AN264" s="464"/>
      <c r="AO264" s="464"/>
      <c r="AR264" s="464">
        <f t="shared" si="23"/>
        <v>244</v>
      </c>
      <c r="AS264" s="464" t="s">
        <v>2394</v>
      </c>
      <c r="AT264" s="381">
        <v>1.481E-2</v>
      </c>
      <c r="AV264" s="464"/>
      <c r="AW264" s="465"/>
    </row>
    <row r="265" spans="35:49">
      <c r="AI265" s="464">
        <f t="shared" si="22"/>
        <v>245</v>
      </c>
      <c r="AJ265" s="473">
        <v>43238</v>
      </c>
      <c r="AK265" s="474">
        <v>20989.77</v>
      </c>
      <c r="AL265" s="475">
        <v>-1.4E-3</v>
      </c>
      <c r="AM265" s="475">
        <f t="shared" si="24"/>
        <v>-1.4115504504400578E-3</v>
      </c>
      <c r="AN265" s="464"/>
      <c r="AO265" s="464"/>
      <c r="AR265" s="464">
        <f t="shared" si="23"/>
        <v>245</v>
      </c>
      <c r="AS265" s="464" t="s">
        <v>2393</v>
      </c>
      <c r="AT265" s="381">
        <v>1.537E-2</v>
      </c>
      <c r="AV265" s="464"/>
      <c r="AW265" s="465"/>
    </row>
    <row r="266" spans="35:49">
      <c r="AI266" s="464">
        <f t="shared" si="22"/>
        <v>246</v>
      </c>
      <c r="AJ266" s="473">
        <v>43241</v>
      </c>
      <c r="AK266" s="474">
        <v>21137.66</v>
      </c>
      <c r="AL266" s="475">
        <v>7.0000000000000001E-3</v>
      </c>
      <c r="AM266" s="475">
        <f t="shared" si="24"/>
        <v>7.0458132699882103E-3</v>
      </c>
      <c r="AN266" s="464"/>
      <c r="AO266" s="464"/>
      <c r="AR266" s="464">
        <f t="shared" si="23"/>
        <v>246</v>
      </c>
      <c r="AS266" s="464" t="s">
        <v>2392</v>
      </c>
      <c r="AT266" s="381">
        <v>1.541E-2</v>
      </c>
      <c r="AV266" s="464"/>
      <c r="AW266" s="465"/>
    </row>
    <row r="267" spans="35:49">
      <c r="AI267" s="464">
        <f t="shared" si="22"/>
        <v>247</v>
      </c>
      <c r="AJ267" s="473">
        <v>43242</v>
      </c>
      <c r="AK267" s="474">
        <v>21191.439999999999</v>
      </c>
      <c r="AL267" s="475">
        <v>2.5000000000000001E-3</v>
      </c>
      <c r="AM267" s="475">
        <f t="shared" si="24"/>
        <v>2.5442740587178214E-3</v>
      </c>
      <c r="AN267" s="464"/>
      <c r="AO267" s="464"/>
      <c r="AR267" s="464">
        <f t="shared" si="23"/>
        <v>247</v>
      </c>
      <c r="AS267" s="464" t="s">
        <v>2391</v>
      </c>
      <c r="AT267" s="381">
        <v>1.541E-2</v>
      </c>
      <c r="AV267" s="464"/>
      <c r="AW267" s="465"/>
    </row>
    <row r="268" spans="35:49">
      <c r="AI268" s="464">
        <f t="shared" si="22"/>
        <v>248</v>
      </c>
      <c r="AJ268" s="473">
        <v>43243</v>
      </c>
      <c r="AK268" s="474">
        <v>21004.9</v>
      </c>
      <c r="AL268" s="475">
        <v>-8.8000000000000005E-3</v>
      </c>
      <c r="AM268" s="475">
        <f t="shared" si="24"/>
        <v>-8.8026108655191448E-3</v>
      </c>
      <c r="AN268" s="464"/>
      <c r="AO268" s="464"/>
      <c r="AR268" s="464">
        <f t="shared" si="23"/>
        <v>248</v>
      </c>
      <c r="AS268" s="464" t="s">
        <v>2390</v>
      </c>
      <c r="AT268" s="381">
        <v>1.506E-2</v>
      </c>
      <c r="AV268" s="464"/>
      <c r="AW268" s="465"/>
    </row>
    <row r="269" spans="35:49">
      <c r="AI269" s="464">
        <f t="shared" si="22"/>
        <v>249</v>
      </c>
      <c r="AJ269" s="473">
        <v>43244</v>
      </c>
      <c r="AK269" s="474">
        <v>20989.49</v>
      </c>
      <c r="AL269" s="475">
        <v>-6.9999999999999999E-4</v>
      </c>
      <c r="AM269" s="475">
        <f t="shared" si="24"/>
        <v>-7.3363834152984087E-4</v>
      </c>
      <c r="AN269" s="464"/>
      <c r="AO269" s="464"/>
      <c r="AR269" s="464">
        <f t="shared" si="23"/>
        <v>249</v>
      </c>
      <c r="AS269" s="464" t="s">
        <v>2389</v>
      </c>
      <c r="AT269" s="381">
        <v>1.4459999999999999E-2</v>
      </c>
      <c r="AV269" s="464"/>
      <c r="AW269" s="465"/>
    </row>
    <row r="270" spans="35:49">
      <c r="AI270" s="464">
        <f t="shared" si="22"/>
        <v>250</v>
      </c>
      <c r="AJ270" s="473">
        <v>43245</v>
      </c>
      <c r="AK270" s="474">
        <v>21110.53</v>
      </c>
      <c r="AL270" s="475">
        <v>5.7999999999999996E-3</v>
      </c>
      <c r="AM270" s="475">
        <f t="shared" si="24"/>
        <v>5.7666956176638529E-3</v>
      </c>
      <c r="AN270" s="464"/>
      <c r="AO270" s="464"/>
      <c r="AR270" s="464">
        <f t="shared" si="23"/>
        <v>250</v>
      </c>
      <c r="AS270" s="464" t="s">
        <v>2388</v>
      </c>
      <c r="AT270" s="381">
        <v>1.418E-2</v>
      </c>
      <c r="AV270" s="464"/>
      <c r="AW270" s="465"/>
    </row>
    <row r="271" spans="35:49">
      <c r="AI271" s="464">
        <f t="shared" si="22"/>
        <v>251</v>
      </c>
      <c r="AJ271" s="473">
        <v>43249</v>
      </c>
      <c r="AK271" s="474">
        <v>20746.759999999998</v>
      </c>
      <c r="AL271" s="475">
        <v>-1.72E-2</v>
      </c>
      <c r="AM271" s="475">
        <f t="shared" si="24"/>
        <v>-1.7231684851114593E-2</v>
      </c>
      <c r="AN271" s="464"/>
      <c r="AO271" s="464"/>
      <c r="AR271" s="464">
        <f t="shared" si="23"/>
        <v>251</v>
      </c>
      <c r="AS271" s="464" t="s">
        <v>2387</v>
      </c>
      <c r="AT271" s="381">
        <v>1.4070000000000001E-2</v>
      </c>
      <c r="AV271" s="464"/>
      <c r="AW271" s="465"/>
    </row>
    <row r="272" spans="35:49">
      <c r="AI272" s="464">
        <f t="shared" si="22"/>
        <v>252</v>
      </c>
      <c r="AJ272" s="473">
        <v>43250</v>
      </c>
      <c r="AK272" s="474">
        <v>20822.669999999998</v>
      </c>
      <c r="AL272" s="475">
        <v>3.7000000000000002E-3</v>
      </c>
      <c r="AM272" s="475">
        <f t="shared" si="24"/>
        <v>3.6588845679998983E-3</v>
      </c>
      <c r="AN272" s="464"/>
      <c r="AO272" s="464"/>
      <c r="AR272" s="464">
        <f t="shared" si="23"/>
        <v>252</v>
      </c>
      <c r="AS272" s="464" t="s">
        <v>2386</v>
      </c>
      <c r="AT272" s="381">
        <v>1.4579999999999999E-2</v>
      </c>
      <c r="AV272" s="464"/>
      <c r="AW272" s="465"/>
    </row>
    <row r="273" spans="35:49">
      <c r="AI273" s="464">
        <f t="shared" si="22"/>
        <v>253</v>
      </c>
      <c r="AJ273" s="473">
        <v>43251</v>
      </c>
      <c r="AK273" s="474">
        <v>20846.259999999998</v>
      </c>
      <c r="AL273" s="475">
        <v>1.1000000000000001E-3</v>
      </c>
      <c r="AM273" s="475">
        <f t="shared" si="24"/>
        <v>1.1328998634660969E-3</v>
      </c>
      <c r="AN273" s="464"/>
      <c r="AO273" s="464"/>
      <c r="AR273" s="464">
        <f t="shared" si="23"/>
        <v>253</v>
      </c>
      <c r="AS273" s="464" t="s">
        <v>2385</v>
      </c>
      <c r="AT273" s="381">
        <v>1.391E-2</v>
      </c>
      <c r="AV273" s="464"/>
      <c r="AW273" s="465"/>
    </row>
    <row r="274" spans="35:49">
      <c r="AI274" s="464">
        <f t="shared" si="22"/>
        <v>254</v>
      </c>
      <c r="AJ274" s="473">
        <v>43252</v>
      </c>
      <c r="AK274" s="474">
        <v>20984.92</v>
      </c>
      <c r="AL274" s="475">
        <v>6.7000000000000002E-3</v>
      </c>
      <c r="AM274" s="475">
        <f t="shared" si="24"/>
        <v>6.6515528444910377E-3</v>
      </c>
      <c r="AN274" s="464"/>
      <c r="AO274" s="464"/>
      <c r="AR274" s="464">
        <f t="shared" si="23"/>
        <v>254</v>
      </c>
      <c r="AS274" s="464" t="s">
        <v>2384</v>
      </c>
      <c r="AT274" s="381">
        <v>1.3999999999999999E-2</v>
      </c>
      <c r="AV274" s="464"/>
      <c r="AW274" s="465"/>
    </row>
    <row r="275" spans="35:49">
      <c r="AI275" s="464">
        <f t="shared" si="22"/>
        <v>255</v>
      </c>
      <c r="AJ275" s="473">
        <v>43255</v>
      </c>
      <c r="AK275" s="474">
        <v>21110.6</v>
      </c>
      <c r="AL275" s="475">
        <v>6.0000000000000001E-3</v>
      </c>
      <c r="AM275" s="475">
        <f t="shared" si="24"/>
        <v>5.9890626221115184E-3</v>
      </c>
      <c r="AN275" s="464"/>
      <c r="AO275" s="464"/>
      <c r="AR275" s="464">
        <f t="shared" si="23"/>
        <v>255</v>
      </c>
      <c r="AS275" s="464" t="s">
        <v>2383</v>
      </c>
      <c r="AT275" s="381">
        <v>1.3990000000000001E-2</v>
      </c>
      <c r="AV275" s="464"/>
      <c r="AW275" s="465"/>
    </row>
    <row r="276" spans="35:49">
      <c r="AI276" s="464">
        <f t="shared" si="22"/>
        <v>256</v>
      </c>
      <c r="AJ276" s="473">
        <v>43256</v>
      </c>
      <c r="AK276" s="474">
        <v>21051.86</v>
      </c>
      <c r="AL276" s="475">
        <v>-2.8E-3</v>
      </c>
      <c r="AM276" s="475">
        <f t="shared" si="24"/>
        <v>-2.7824884181405496E-3</v>
      </c>
      <c r="AN276" s="464"/>
      <c r="AO276" s="464"/>
      <c r="AR276" s="464">
        <f t="shared" si="23"/>
        <v>256</v>
      </c>
      <c r="AS276" s="464" t="s">
        <v>2382</v>
      </c>
      <c r="AT276" s="381">
        <v>1.4450000000000001E-2</v>
      </c>
      <c r="AV276" s="464"/>
      <c r="AW276" s="465"/>
    </row>
    <row r="277" spans="35:49">
      <c r="AI277" s="464">
        <f t="shared" ref="AI277:AI340" si="25">AI276+1</f>
        <v>257</v>
      </c>
      <c r="AJ277" s="473">
        <v>43257</v>
      </c>
      <c r="AK277" s="474">
        <v>21171.4</v>
      </c>
      <c r="AL277" s="475">
        <v>5.7000000000000002E-3</v>
      </c>
      <c r="AM277" s="475">
        <f t="shared" si="24"/>
        <v>5.6783581118249327E-3</v>
      </c>
      <c r="AN277" s="464"/>
      <c r="AO277" s="464"/>
      <c r="AR277" s="464">
        <f t="shared" ref="AR277:AR340" si="26">AR276+1</f>
        <v>257</v>
      </c>
      <c r="AS277" s="464" t="s">
        <v>2381</v>
      </c>
      <c r="AT277" s="381">
        <v>1.4590000000000001E-2</v>
      </c>
      <c r="AV277" s="464"/>
      <c r="AW277" s="465"/>
    </row>
    <row r="278" spans="35:49">
      <c r="AI278" s="464">
        <f t="shared" si="25"/>
        <v>258</v>
      </c>
      <c r="AJ278" s="473">
        <v>43258</v>
      </c>
      <c r="AK278" s="474">
        <v>21154.71</v>
      </c>
      <c r="AL278" s="475">
        <v>-8.0000000000000004E-4</v>
      </c>
      <c r="AM278" s="475">
        <f t="shared" ref="AM278:AM341" si="27">AK278/AK277-1</f>
        <v>-7.8832764956504597E-4</v>
      </c>
      <c r="AN278" s="464"/>
      <c r="AO278" s="464"/>
      <c r="AR278" s="464">
        <f t="shared" si="26"/>
        <v>258</v>
      </c>
      <c r="AS278" s="464" t="s">
        <v>2380</v>
      </c>
      <c r="AT278" s="381">
        <v>1.43E-2</v>
      </c>
      <c r="AV278" s="464"/>
      <c r="AW278" s="465"/>
    </row>
    <row r="279" spans="35:49">
      <c r="AI279" s="464">
        <f t="shared" si="25"/>
        <v>259</v>
      </c>
      <c r="AJ279" s="473">
        <v>43259</v>
      </c>
      <c r="AK279" s="474">
        <v>21160.54</v>
      </c>
      <c r="AL279" s="475">
        <v>2.9999999999999997E-4</v>
      </c>
      <c r="AM279" s="475">
        <f t="shared" si="27"/>
        <v>2.7558874595778882E-4</v>
      </c>
      <c r="AN279" s="464"/>
      <c r="AO279" s="464"/>
      <c r="AR279" s="464">
        <f t="shared" si="26"/>
        <v>259</v>
      </c>
      <c r="AS279" s="464" t="s">
        <v>2379</v>
      </c>
      <c r="AT279" s="381">
        <v>1.439E-2</v>
      </c>
      <c r="AV279" s="464"/>
      <c r="AW279" s="465"/>
    </row>
    <row r="280" spans="35:49">
      <c r="AI280" s="464">
        <f t="shared" si="25"/>
        <v>260</v>
      </c>
      <c r="AJ280" s="473">
        <v>43262</v>
      </c>
      <c r="AK280" s="474">
        <v>21318.77</v>
      </c>
      <c r="AL280" s="475">
        <v>7.4999999999999997E-3</v>
      </c>
      <c r="AM280" s="475">
        <f t="shared" si="27"/>
        <v>7.4775974526168909E-3</v>
      </c>
      <c r="AN280" s="464"/>
      <c r="AO280" s="464"/>
      <c r="AR280" s="464">
        <f t="shared" si="26"/>
        <v>260</v>
      </c>
      <c r="AS280" s="464" t="s">
        <v>2378</v>
      </c>
      <c r="AT280" s="381">
        <v>1.4410000000000001E-2</v>
      </c>
      <c r="AV280" s="464"/>
      <c r="AW280" s="465"/>
    </row>
    <row r="281" spans="35:49">
      <c r="AI281" s="464">
        <f t="shared" si="25"/>
        <v>261</v>
      </c>
      <c r="AJ281" s="473">
        <v>43263</v>
      </c>
      <c r="AK281" s="474">
        <v>21241.64</v>
      </c>
      <c r="AL281" s="475">
        <v>-3.5999999999999999E-3</v>
      </c>
      <c r="AM281" s="475">
        <f t="shared" si="27"/>
        <v>-3.6179385583690049E-3</v>
      </c>
      <c r="AN281" s="464"/>
      <c r="AO281" s="464"/>
      <c r="AR281" s="464">
        <f t="shared" si="26"/>
        <v>261</v>
      </c>
      <c r="AS281" s="464" t="s">
        <v>2377</v>
      </c>
      <c r="AT281" s="381">
        <v>1.472E-2</v>
      </c>
      <c r="AV281" s="464"/>
      <c r="AW281" s="465"/>
    </row>
    <row r="282" spans="35:49">
      <c r="AI282" s="464">
        <f t="shared" si="25"/>
        <v>262</v>
      </c>
      <c r="AJ282" s="473">
        <v>43264</v>
      </c>
      <c r="AK282" s="474">
        <v>21232.87</v>
      </c>
      <c r="AL282" s="475">
        <v>-4.0000000000000002E-4</v>
      </c>
      <c r="AM282" s="475">
        <f t="shared" si="27"/>
        <v>-4.128683096031871E-4</v>
      </c>
      <c r="AN282" s="464"/>
      <c r="AO282" s="464"/>
      <c r="AR282" s="464">
        <f t="shared" si="26"/>
        <v>262</v>
      </c>
      <c r="AS282" s="464" t="s">
        <v>2376</v>
      </c>
      <c r="AT282" s="381">
        <v>1.5180000000000001E-2</v>
      </c>
      <c r="AV282" s="464"/>
      <c r="AW282" s="465"/>
    </row>
    <row r="283" spans="35:49">
      <c r="AI283" s="464">
        <f t="shared" si="25"/>
        <v>263</v>
      </c>
      <c r="AJ283" s="473">
        <v>43265</v>
      </c>
      <c r="AK283" s="474">
        <v>21324.02</v>
      </c>
      <c r="AL283" s="475">
        <v>4.3E-3</v>
      </c>
      <c r="AM283" s="475">
        <f t="shared" si="27"/>
        <v>4.2928723248436551E-3</v>
      </c>
      <c r="AN283" s="464"/>
      <c r="AO283" s="464"/>
      <c r="AR283" s="464">
        <f t="shared" si="26"/>
        <v>263</v>
      </c>
      <c r="AS283" s="464" t="s">
        <v>2375</v>
      </c>
      <c r="AT283" s="381">
        <v>1.5029999999999998E-2</v>
      </c>
      <c r="AV283" s="464"/>
      <c r="AW283" s="465"/>
    </row>
    <row r="284" spans="35:49">
      <c r="AI284" s="464">
        <f t="shared" si="25"/>
        <v>264</v>
      </c>
      <c r="AJ284" s="473">
        <v>43266</v>
      </c>
      <c r="AK284" s="474">
        <v>21005.52</v>
      </c>
      <c r="AL284" s="475">
        <v>-1.49E-2</v>
      </c>
      <c r="AM284" s="475">
        <f t="shared" si="27"/>
        <v>-1.4936208088343617E-2</v>
      </c>
      <c r="AN284" s="464"/>
      <c r="AO284" s="464"/>
      <c r="AR284" s="464">
        <f t="shared" si="26"/>
        <v>264</v>
      </c>
      <c r="AS284" s="464" t="s">
        <v>2374</v>
      </c>
      <c r="AT284" s="381">
        <v>1.562E-2</v>
      </c>
      <c r="AV284" s="464"/>
      <c r="AW284" s="465"/>
    </row>
    <row r="285" spans="35:49">
      <c r="AI285" s="464">
        <f t="shared" si="25"/>
        <v>265</v>
      </c>
      <c r="AJ285" s="473">
        <v>43269</v>
      </c>
      <c r="AK285" s="474">
        <v>20999.599999999999</v>
      </c>
      <c r="AL285" s="475">
        <v>-2.9999999999999997E-4</v>
      </c>
      <c r="AM285" s="475">
        <f t="shared" si="27"/>
        <v>-2.8183068069731476E-4</v>
      </c>
      <c r="AN285" s="464"/>
      <c r="AO285" s="464"/>
      <c r="AR285" s="464">
        <f t="shared" si="26"/>
        <v>265</v>
      </c>
      <c r="AS285" s="464" t="s">
        <v>2373</v>
      </c>
      <c r="AT285" s="381">
        <v>1.4999999999999999E-2</v>
      </c>
      <c r="AV285" s="464"/>
      <c r="AW285" s="465"/>
    </row>
    <row r="286" spans="35:49">
      <c r="AI286" s="464">
        <f t="shared" si="25"/>
        <v>266</v>
      </c>
      <c r="AJ286" s="473">
        <v>43270</v>
      </c>
      <c r="AK286" s="474">
        <v>20835.78</v>
      </c>
      <c r="AL286" s="475">
        <v>-7.7999999999999996E-3</v>
      </c>
      <c r="AM286" s="475">
        <f t="shared" si="27"/>
        <v>-7.8011009733518488E-3</v>
      </c>
      <c r="AN286" s="464"/>
      <c r="AO286" s="464"/>
      <c r="AR286" s="464">
        <f t="shared" si="26"/>
        <v>266</v>
      </c>
      <c r="AS286" s="464" t="s">
        <v>2372</v>
      </c>
      <c r="AT286" s="381">
        <v>1.5009999999999999E-2</v>
      </c>
      <c r="AV286" s="464"/>
      <c r="AW286" s="465"/>
    </row>
    <row r="287" spans="35:49">
      <c r="AI287" s="464">
        <f t="shared" si="25"/>
        <v>267</v>
      </c>
      <c r="AJ287" s="473">
        <v>43271</v>
      </c>
      <c r="AK287" s="474">
        <v>20926.38</v>
      </c>
      <c r="AL287" s="475">
        <v>4.3E-3</v>
      </c>
      <c r="AM287" s="475">
        <f t="shared" si="27"/>
        <v>4.3482893369004572E-3</v>
      </c>
      <c r="AN287" s="464"/>
      <c r="AO287" s="464"/>
      <c r="AR287" s="464">
        <f t="shared" si="26"/>
        <v>267</v>
      </c>
      <c r="AS287" s="464" t="s">
        <v>2371</v>
      </c>
      <c r="AT287" s="381">
        <v>1.4760000000000001E-2</v>
      </c>
      <c r="AV287" s="464"/>
      <c r="AW287" s="465"/>
    </row>
    <row r="288" spans="35:49">
      <c r="AI288" s="464">
        <f t="shared" si="25"/>
        <v>268</v>
      </c>
      <c r="AJ288" s="473">
        <v>43272</v>
      </c>
      <c r="AK288" s="474">
        <v>20729.05</v>
      </c>
      <c r="AL288" s="475">
        <v>-9.4000000000000004E-3</v>
      </c>
      <c r="AM288" s="475">
        <f t="shared" si="27"/>
        <v>-9.42972458686131E-3</v>
      </c>
      <c r="AN288" s="464"/>
      <c r="AO288" s="464"/>
      <c r="AR288" s="464">
        <f t="shared" si="26"/>
        <v>268</v>
      </c>
      <c r="AS288" s="464" t="s">
        <v>2370</v>
      </c>
      <c r="AT288" s="381">
        <v>1.5220000000000001E-2</v>
      </c>
      <c r="AV288" s="464"/>
      <c r="AW288" s="465"/>
    </row>
    <row r="289" spans="35:49">
      <c r="AI289" s="464">
        <f t="shared" si="25"/>
        <v>269</v>
      </c>
      <c r="AJ289" s="473">
        <v>43273</v>
      </c>
      <c r="AK289" s="474">
        <v>21009.89</v>
      </c>
      <c r="AL289" s="475">
        <v>1.35E-2</v>
      </c>
      <c r="AM289" s="475">
        <f t="shared" si="27"/>
        <v>1.3548136552326229E-2</v>
      </c>
      <c r="AN289" s="464"/>
      <c r="AO289" s="464"/>
      <c r="AR289" s="464">
        <f t="shared" si="26"/>
        <v>269</v>
      </c>
      <c r="AS289" s="464" t="s">
        <v>2369</v>
      </c>
      <c r="AT289" s="381">
        <v>1.439E-2</v>
      </c>
      <c r="AV289" s="464"/>
      <c r="AW289" s="465"/>
    </row>
    <row r="290" spans="35:49">
      <c r="AI290" s="464">
        <f t="shared" si="25"/>
        <v>270</v>
      </c>
      <c r="AJ290" s="473">
        <v>43276</v>
      </c>
      <c r="AK290" s="474">
        <v>20774.419999999998</v>
      </c>
      <c r="AL290" s="475">
        <v>-1.12E-2</v>
      </c>
      <c r="AM290" s="475">
        <f t="shared" si="27"/>
        <v>-1.1207578906886284E-2</v>
      </c>
      <c r="AN290" s="464"/>
      <c r="AO290" s="464"/>
      <c r="AR290" s="464">
        <f t="shared" si="26"/>
        <v>270</v>
      </c>
      <c r="AS290" s="464" t="s">
        <v>2368</v>
      </c>
      <c r="AT290" s="381">
        <v>1.401E-2</v>
      </c>
      <c r="AV290" s="464"/>
      <c r="AW290" s="465"/>
    </row>
    <row r="291" spans="35:49">
      <c r="AI291" s="464">
        <f t="shared" si="25"/>
        <v>271</v>
      </c>
      <c r="AJ291" s="473">
        <v>43277</v>
      </c>
      <c r="AK291" s="474">
        <v>20757.21</v>
      </c>
      <c r="AL291" s="475">
        <v>-8.0000000000000004E-4</v>
      </c>
      <c r="AM291" s="475">
        <f t="shared" si="27"/>
        <v>-8.2842264669724663E-4</v>
      </c>
      <c r="AN291" s="464"/>
      <c r="AO291" s="464"/>
      <c r="AR291" s="464">
        <f t="shared" si="26"/>
        <v>271</v>
      </c>
      <c r="AS291" s="464" t="s">
        <v>2367</v>
      </c>
      <c r="AT291" s="381">
        <v>1.3229999999999999E-2</v>
      </c>
      <c r="AV291" s="464"/>
      <c r="AW291" s="465"/>
    </row>
    <row r="292" spans="35:49">
      <c r="AI292" s="464">
        <f t="shared" si="25"/>
        <v>272</v>
      </c>
      <c r="AJ292" s="473">
        <v>43278</v>
      </c>
      <c r="AK292" s="474">
        <v>20844.14</v>
      </c>
      <c r="AL292" s="475">
        <v>4.1999999999999997E-3</v>
      </c>
      <c r="AM292" s="475">
        <f t="shared" si="27"/>
        <v>4.187942406518097E-3</v>
      </c>
      <c r="AN292" s="464"/>
      <c r="AO292" s="464"/>
      <c r="AR292" s="464">
        <f t="shared" si="26"/>
        <v>272</v>
      </c>
      <c r="AS292" s="464" t="s">
        <v>2366</v>
      </c>
      <c r="AT292" s="381">
        <v>1.325E-2</v>
      </c>
      <c r="AV292" s="464"/>
      <c r="AW292" s="465"/>
    </row>
    <row r="293" spans="35:49">
      <c r="AI293" s="464">
        <f t="shared" si="25"/>
        <v>273</v>
      </c>
      <c r="AJ293" s="473">
        <v>43279</v>
      </c>
      <c r="AK293" s="474">
        <v>20684.16</v>
      </c>
      <c r="AL293" s="475">
        <v>-7.7000000000000002E-3</v>
      </c>
      <c r="AM293" s="475">
        <f t="shared" si="27"/>
        <v>-7.6750587935026093E-3</v>
      </c>
      <c r="AN293" s="464"/>
      <c r="AO293" s="464"/>
      <c r="AR293" s="464">
        <f t="shared" si="26"/>
        <v>273</v>
      </c>
      <c r="AS293" s="464" t="s">
        <v>2365</v>
      </c>
      <c r="AT293" s="381">
        <v>1.325E-2</v>
      </c>
      <c r="AV293" s="464"/>
      <c r="AW293" s="465"/>
    </row>
    <row r="294" spans="35:49">
      <c r="AI294" s="464">
        <f t="shared" si="25"/>
        <v>274</v>
      </c>
      <c r="AJ294" s="473">
        <v>43280</v>
      </c>
      <c r="AK294" s="474">
        <v>20830.97</v>
      </c>
      <c r="AL294" s="475">
        <v>7.1000000000000004E-3</v>
      </c>
      <c r="AM294" s="475">
        <f t="shared" si="27"/>
        <v>7.0977018162692307E-3</v>
      </c>
      <c r="AN294" s="464"/>
      <c r="AO294" s="464"/>
      <c r="AR294" s="464">
        <f t="shared" si="26"/>
        <v>274</v>
      </c>
      <c r="AS294" s="464" t="s">
        <v>2364</v>
      </c>
      <c r="AT294" s="381">
        <v>1.1950000000000001E-2</v>
      </c>
      <c r="AV294" s="464"/>
      <c r="AW294" s="465"/>
    </row>
    <row r="295" spans="35:49">
      <c r="AI295" s="464">
        <f t="shared" si="25"/>
        <v>275</v>
      </c>
      <c r="AJ295" s="473">
        <v>43283</v>
      </c>
      <c r="AK295" s="474">
        <v>20605.86</v>
      </c>
      <c r="AL295" s="475">
        <v>-1.0800000000000001E-2</v>
      </c>
      <c r="AM295" s="475">
        <f t="shared" si="27"/>
        <v>-1.0806505890028184E-2</v>
      </c>
      <c r="AN295" s="464"/>
      <c r="AO295" s="464"/>
      <c r="AR295" s="464">
        <f t="shared" si="26"/>
        <v>275</v>
      </c>
      <c r="AS295" s="464" t="s">
        <v>2363</v>
      </c>
      <c r="AT295" s="381">
        <v>1.257E-2</v>
      </c>
      <c r="AV295" s="464"/>
      <c r="AW295" s="465"/>
    </row>
    <row r="296" spans="35:49">
      <c r="AI296" s="464">
        <f t="shared" si="25"/>
        <v>276</v>
      </c>
      <c r="AJ296" s="473">
        <v>43284</v>
      </c>
      <c r="AK296" s="474">
        <v>20665.22</v>
      </c>
      <c r="AL296" s="475">
        <v>2.8999999999999998E-3</v>
      </c>
      <c r="AM296" s="475">
        <f t="shared" si="27"/>
        <v>2.8807339271450516E-3</v>
      </c>
      <c r="AN296" s="464"/>
      <c r="AO296" s="464"/>
      <c r="AR296" s="464">
        <f t="shared" si="26"/>
        <v>276</v>
      </c>
      <c r="AS296" s="464" t="s">
        <v>2362</v>
      </c>
      <c r="AT296" s="381">
        <v>1.2290000000000001E-2</v>
      </c>
      <c r="AV296" s="464"/>
      <c r="AW296" s="465"/>
    </row>
    <row r="297" spans="35:49">
      <c r="AI297" s="464">
        <f t="shared" si="25"/>
        <v>277</v>
      </c>
      <c r="AJ297" s="473">
        <v>43285</v>
      </c>
      <c r="AK297" s="474">
        <v>20652.509999999998</v>
      </c>
      <c r="AL297" s="475">
        <v>-5.9999999999999995E-4</v>
      </c>
      <c r="AM297" s="475">
        <f t="shared" si="27"/>
        <v>-6.1504305301385287E-4</v>
      </c>
      <c r="AN297" s="464"/>
      <c r="AO297" s="464"/>
      <c r="AR297" s="464">
        <f t="shared" si="26"/>
        <v>277</v>
      </c>
      <c r="AS297" s="464" t="s">
        <v>2361</v>
      </c>
      <c r="AT297" s="381">
        <v>1.2829999999999999E-2</v>
      </c>
      <c r="AV297" s="464"/>
      <c r="AW297" s="465"/>
    </row>
    <row r="298" spans="35:49">
      <c r="AI298" s="464">
        <f t="shared" si="25"/>
        <v>278</v>
      </c>
      <c r="AJ298" s="473">
        <v>43286</v>
      </c>
      <c r="AK298" s="474">
        <v>20621.09</v>
      </c>
      <c r="AL298" s="475">
        <v>-1.5E-3</v>
      </c>
      <c r="AM298" s="475">
        <f t="shared" si="27"/>
        <v>-1.5213647154751486E-3</v>
      </c>
      <c r="AN298" s="464"/>
      <c r="AO298" s="464"/>
      <c r="AR298" s="464">
        <f t="shared" si="26"/>
        <v>278</v>
      </c>
      <c r="AS298" s="464" t="s">
        <v>2360</v>
      </c>
      <c r="AT298" s="381">
        <v>1.2969999999999999E-2</v>
      </c>
      <c r="AV298" s="464"/>
      <c r="AW298" s="465"/>
    </row>
    <row r="299" spans="35:49">
      <c r="AI299" s="464">
        <f t="shared" si="25"/>
        <v>279</v>
      </c>
      <c r="AJ299" s="473">
        <v>43287</v>
      </c>
      <c r="AK299" s="474">
        <v>20618.34</v>
      </c>
      <c r="AL299" s="475">
        <v>-1E-4</v>
      </c>
      <c r="AM299" s="475">
        <f t="shared" si="27"/>
        <v>-1.3335861489383039E-4</v>
      </c>
      <c r="AN299" s="464"/>
      <c r="AO299" s="464"/>
      <c r="AR299" s="464">
        <f t="shared" si="26"/>
        <v>279</v>
      </c>
      <c r="AS299" s="464" t="s">
        <v>2359</v>
      </c>
      <c r="AT299" s="381">
        <v>1.2849999999999999E-2</v>
      </c>
      <c r="AV299" s="464"/>
      <c r="AW299" s="465"/>
    </row>
    <row r="300" spans="35:49">
      <c r="AI300" s="464">
        <f t="shared" si="25"/>
        <v>280</v>
      </c>
      <c r="AJ300" s="473">
        <v>43290</v>
      </c>
      <c r="AK300" s="474">
        <v>20821.16</v>
      </c>
      <c r="AL300" s="475">
        <v>9.7999999999999997E-3</v>
      </c>
      <c r="AM300" s="475">
        <f t="shared" si="27"/>
        <v>9.8368733855391799E-3</v>
      </c>
      <c r="AN300" s="464"/>
      <c r="AO300" s="464"/>
      <c r="AR300" s="464">
        <f t="shared" si="26"/>
        <v>280</v>
      </c>
      <c r="AS300" s="464" t="s">
        <v>2358</v>
      </c>
      <c r="AT300" s="381">
        <v>1.374E-2</v>
      </c>
      <c r="AV300" s="464"/>
      <c r="AW300" s="465"/>
    </row>
    <row r="301" spans="35:49">
      <c r="AI301" s="464">
        <f t="shared" si="25"/>
        <v>281</v>
      </c>
      <c r="AJ301" s="473">
        <v>43291</v>
      </c>
      <c r="AK301" s="474">
        <v>20851.560000000001</v>
      </c>
      <c r="AL301" s="475">
        <v>1.5E-3</v>
      </c>
      <c r="AM301" s="475">
        <f t="shared" si="27"/>
        <v>1.4600531382498172E-3</v>
      </c>
      <c r="AN301" s="464"/>
      <c r="AO301" s="464"/>
      <c r="AR301" s="464">
        <f t="shared" si="26"/>
        <v>281</v>
      </c>
      <c r="AS301" s="464" t="s">
        <v>2357</v>
      </c>
      <c r="AT301" s="381">
        <v>1.3990000000000001E-2</v>
      </c>
      <c r="AV301" s="464"/>
      <c r="AW301" s="465"/>
    </row>
    <row r="302" spans="35:49">
      <c r="AI302" s="464">
        <f t="shared" si="25"/>
        <v>282</v>
      </c>
      <c r="AJ302" s="473">
        <v>43292</v>
      </c>
      <c r="AK302" s="474">
        <v>20642.27</v>
      </c>
      <c r="AL302" s="475">
        <v>-0.01</v>
      </c>
      <c r="AM302" s="475">
        <f t="shared" si="27"/>
        <v>-1.003713870808709E-2</v>
      </c>
      <c r="AN302" s="464"/>
      <c r="AO302" s="464"/>
      <c r="AR302" s="464">
        <f t="shared" si="26"/>
        <v>282</v>
      </c>
      <c r="AS302" s="464" t="s">
        <v>2356</v>
      </c>
      <c r="AT302" s="381">
        <v>1.389E-2</v>
      </c>
      <c r="AV302" s="464"/>
      <c r="AW302" s="465"/>
    </row>
    <row r="303" spans="35:49">
      <c r="AI303" s="464">
        <f t="shared" si="25"/>
        <v>283</v>
      </c>
      <c r="AJ303" s="473">
        <v>43293</v>
      </c>
      <c r="AK303" s="474">
        <v>20779.77</v>
      </c>
      <c r="AL303" s="475">
        <v>6.7000000000000002E-3</v>
      </c>
      <c r="AM303" s="475">
        <f t="shared" si="27"/>
        <v>6.6610891147145246E-3</v>
      </c>
      <c r="AN303" s="464"/>
      <c r="AO303" s="464"/>
      <c r="AR303" s="464">
        <f t="shared" si="26"/>
        <v>283</v>
      </c>
      <c r="AS303" s="464" t="s">
        <v>2355</v>
      </c>
      <c r="AT303" s="381">
        <v>1.391E-2</v>
      </c>
      <c r="AV303" s="464"/>
      <c r="AW303" s="465"/>
    </row>
    <row r="304" spans="35:49">
      <c r="AI304" s="464">
        <f t="shared" si="25"/>
        <v>284</v>
      </c>
      <c r="AJ304" s="473">
        <v>43294</v>
      </c>
      <c r="AK304" s="474">
        <v>20813.12</v>
      </c>
      <c r="AL304" s="475">
        <v>1.6000000000000001E-3</v>
      </c>
      <c r="AM304" s="475">
        <f t="shared" si="27"/>
        <v>1.6049263297908123E-3</v>
      </c>
      <c r="AN304" s="464"/>
      <c r="AO304" s="464"/>
      <c r="AR304" s="464">
        <f t="shared" si="26"/>
        <v>284</v>
      </c>
      <c r="AS304" s="464" t="s">
        <v>2354</v>
      </c>
      <c r="AT304" s="381">
        <v>1.406E-2</v>
      </c>
      <c r="AV304" s="464"/>
      <c r="AW304" s="465"/>
    </row>
    <row r="305" spans="35:49">
      <c r="AI305" s="464">
        <f t="shared" si="25"/>
        <v>285</v>
      </c>
      <c r="AJ305" s="473">
        <v>43297</v>
      </c>
      <c r="AK305" s="474">
        <v>20800.55</v>
      </c>
      <c r="AL305" s="475">
        <v>-5.9999999999999995E-4</v>
      </c>
      <c r="AM305" s="475">
        <f t="shared" si="27"/>
        <v>-6.039459725404317E-4</v>
      </c>
      <c r="AN305" s="464"/>
      <c r="AO305" s="464"/>
      <c r="AR305" s="464">
        <f t="shared" si="26"/>
        <v>285</v>
      </c>
      <c r="AS305" s="464" t="s">
        <v>2353</v>
      </c>
      <c r="AT305" s="381">
        <v>1.3999999999999999E-2</v>
      </c>
      <c r="AV305" s="464"/>
      <c r="AW305" s="465"/>
    </row>
    <row r="306" spans="35:49">
      <c r="AI306" s="464">
        <f t="shared" si="25"/>
        <v>286</v>
      </c>
      <c r="AJ306" s="473">
        <v>43298</v>
      </c>
      <c r="AK306" s="474">
        <v>20871.27</v>
      </c>
      <c r="AL306" s="475">
        <v>3.3999999999999998E-3</v>
      </c>
      <c r="AM306" s="475">
        <f t="shared" si="27"/>
        <v>3.3999100985311337E-3</v>
      </c>
      <c r="AN306" s="464"/>
      <c r="AO306" s="464"/>
      <c r="AR306" s="464">
        <f t="shared" si="26"/>
        <v>286</v>
      </c>
      <c r="AS306" s="464" t="s">
        <v>2352</v>
      </c>
      <c r="AT306" s="381">
        <v>1.3680000000000001E-2</v>
      </c>
      <c r="AV306" s="464"/>
      <c r="AW306" s="465"/>
    </row>
    <row r="307" spans="35:49">
      <c r="AI307" s="464">
        <f t="shared" si="25"/>
        <v>287</v>
      </c>
      <c r="AJ307" s="473">
        <v>43299</v>
      </c>
      <c r="AK307" s="474">
        <v>20984.2</v>
      </c>
      <c r="AL307" s="475">
        <v>5.4000000000000003E-3</v>
      </c>
      <c r="AM307" s="475">
        <f t="shared" si="27"/>
        <v>5.4107871729895951E-3</v>
      </c>
      <c r="AN307" s="464"/>
      <c r="AO307" s="464"/>
      <c r="AR307" s="464">
        <f t="shared" si="26"/>
        <v>287</v>
      </c>
      <c r="AS307" s="464" t="s">
        <v>2351</v>
      </c>
      <c r="AT307" s="381">
        <v>1.3349999999999999E-2</v>
      </c>
      <c r="AV307" s="464"/>
      <c r="AW307" s="465"/>
    </row>
    <row r="308" spans="35:49">
      <c r="AI308" s="464">
        <f t="shared" si="25"/>
        <v>288</v>
      </c>
      <c r="AJ308" s="473">
        <v>43300</v>
      </c>
      <c r="AK308" s="474">
        <v>20907.16</v>
      </c>
      <c r="AL308" s="475">
        <v>-3.7000000000000002E-3</v>
      </c>
      <c r="AM308" s="475">
        <f t="shared" si="27"/>
        <v>-3.6713336700946453E-3</v>
      </c>
      <c r="AN308" s="464"/>
      <c r="AO308" s="464"/>
      <c r="AR308" s="464">
        <f t="shared" si="26"/>
        <v>288</v>
      </c>
      <c r="AS308" s="464" t="s">
        <v>2350</v>
      </c>
      <c r="AT308" s="381">
        <v>1.3260000000000001E-2</v>
      </c>
      <c r="AV308" s="464"/>
      <c r="AW308" s="465"/>
    </row>
    <row r="309" spans="35:49">
      <c r="AI309" s="464">
        <f t="shared" si="25"/>
        <v>289</v>
      </c>
      <c r="AJ309" s="473">
        <v>43301</v>
      </c>
      <c r="AK309" s="474">
        <v>20925.68</v>
      </c>
      <c r="AL309" s="475">
        <v>8.9999999999999998E-4</v>
      </c>
      <c r="AM309" s="475">
        <f t="shared" si="27"/>
        <v>8.8582093407230111E-4</v>
      </c>
      <c r="AN309" s="464"/>
      <c r="AO309" s="464"/>
      <c r="AR309" s="464">
        <f t="shared" si="26"/>
        <v>289</v>
      </c>
      <c r="AS309" s="464" t="s">
        <v>2349</v>
      </c>
      <c r="AT309" s="381">
        <v>1.329E-2</v>
      </c>
      <c r="AV309" s="464"/>
      <c r="AW309" s="465"/>
    </row>
    <row r="310" spans="35:49">
      <c r="AI310" s="464">
        <f t="shared" si="25"/>
        <v>290</v>
      </c>
      <c r="AJ310" s="473">
        <v>43304</v>
      </c>
      <c r="AK310" s="474">
        <v>20770.38</v>
      </c>
      <c r="AL310" s="475">
        <v>-7.4000000000000003E-3</v>
      </c>
      <c r="AM310" s="475">
        <f t="shared" si="27"/>
        <v>-7.4215031482847138E-3</v>
      </c>
      <c r="AN310" s="464"/>
      <c r="AO310" s="464"/>
      <c r="AR310" s="464">
        <f t="shared" si="26"/>
        <v>290</v>
      </c>
      <c r="AS310" s="464" t="s">
        <v>2348</v>
      </c>
      <c r="AT310" s="381">
        <v>1.3229999999999999E-2</v>
      </c>
      <c r="AV310" s="464"/>
      <c r="AW310" s="465"/>
    </row>
    <row r="311" spans="35:49">
      <c r="AI311" s="464">
        <f t="shared" si="25"/>
        <v>291</v>
      </c>
      <c r="AJ311" s="473">
        <v>43305</v>
      </c>
      <c r="AK311" s="474">
        <v>20852.87</v>
      </c>
      <c r="AL311" s="475">
        <v>4.0000000000000001E-3</v>
      </c>
      <c r="AM311" s="475">
        <f t="shared" si="27"/>
        <v>3.9715209832462683E-3</v>
      </c>
      <c r="AN311" s="464"/>
      <c r="AO311" s="464"/>
      <c r="AR311" s="464">
        <f t="shared" si="26"/>
        <v>291</v>
      </c>
      <c r="AS311" s="464" t="s">
        <v>2347</v>
      </c>
      <c r="AT311" s="381">
        <v>1.2809999999999998E-2</v>
      </c>
      <c r="AV311" s="464"/>
      <c r="AW311" s="465"/>
    </row>
    <row r="312" spans="35:49">
      <c r="AI312" s="464">
        <f t="shared" si="25"/>
        <v>292</v>
      </c>
      <c r="AJ312" s="473">
        <v>43306</v>
      </c>
      <c r="AK312" s="474">
        <v>20753.599999999999</v>
      </c>
      <c r="AL312" s="475">
        <v>-4.7999999999999996E-3</v>
      </c>
      <c r="AM312" s="475">
        <f t="shared" si="27"/>
        <v>-4.7604957974609619E-3</v>
      </c>
      <c r="AN312" s="464"/>
      <c r="AO312" s="464"/>
      <c r="AR312" s="464">
        <f t="shared" si="26"/>
        <v>292</v>
      </c>
      <c r="AS312" s="464" t="s">
        <v>2346</v>
      </c>
      <c r="AT312" s="381">
        <v>1.299E-2</v>
      </c>
      <c r="AV312" s="464"/>
      <c r="AW312" s="465"/>
    </row>
    <row r="313" spans="35:49">
      <c r="AI313" s="464">
        <f t="shared" si="25"/>
        <v>293</v>
      </c>
      <c r="AJ313" s="473">
        <v>43307</v>
      </c>
      <c r="AK313" s="474">
        <v>20768.61</v>
      </c>
      <c r="AL313" s="475">
        <v>6.9999999999999999E-4</v>
      </c>
      <c r="AM313" s="475">
        <f t="shared" si="27"/>
        <v>7.2324801480228018E-4</v>
      </c>
      <c r="AN313" s="464"/>
      <c r="AO313" s="464"/>
      <c r="AR313" s="464">
        <f t="shared" si="26"/>
        <v>293</v>
      </c>
      <c r="AS313" s="464" t="s">
        <v>2345</v>
      </c>
      <c r="AT313" s="381">
        <v>1.2769999999999998E-2</v>
      </c>
      <c r="AV313" s="464"/>
      <c r="AW313" s="465"/>
    </row>
    <row r="314" spans="35:49">
      <c r="AI314" s="464">
        <f t="shared" si="25"/>
        <v>294</v>
      </c>
      <c r="AJ314" s="473">
        <v>43308</v>
      </c>
      <c r="AK314" s="474">
        <v>20868.939999999999</v>
      </c>
      <c r="AL314" s="475">
        <v>4.7999999999999996E-3</v>
      </c>
      <c r="AM314" s="475">
        <f t="shared" si="27"/>
        <v>4.8308480923855424E-3</v>
      </c>
      <c r="AN314" s="464"/>
      <c r="AO314" s="464"/>
      <c r="AR314" s="464">
        <f t="shared" si="26"/>
        <v>294</v>
      </c>
      <c r="AS314" s="464" t="s">
        <v>2344</v>
      </c>
      <c r="AT314" s="381">
        <v>1.32E-2</v>
      </c>
      <c r="AV314" s="464"/>
      <c r="AW314" s="465"/>
    </row>
    <row r="315" spans="35:49">
      <c r="AI315" s="464">
        <f t="shared" si="25"/>
        <v>295</v>
      </c>
      <c r="AJ315" s="473">
        <v>43311</v>
      </c>
      <c r="AK315" s="474">
        <v>20878.25</v>
      </c>
      <c r="AL315" s="475">
        <v>4.0000000000000002E-4</v>
      </c>
      <c r="AM315" s="475">
        <f t="shared" si="27"/>
        <v>4.4611753160439527E-4</v>
      </c>
      <c r="AN315" s="464"/>
      <c r="AO315" s="464"/>
      <c r="AR315" s="464">
        <f t="shared" si="26"/>
        <v>295</v>
      </c>
      <c r="AS315" s="464" t="s">
        <v>2343</v>
      </c>
      <c r="AT315" s="381">
        <v>1.3220000000000001E-2</v>
      </c>
      <c r="AV315" s="464"/>
      <c r="AW315" s="465"/>
    </row>
    <row r="316" spans="35:49">
      <c r="AI316" s="464">
        <f t="shared" si="25"/>
        <v>296</v>
      </c>
      <c r="AJ316" s="473">
        <v>43312</v>
      </c>
      <c r="AK316" s="474">
        <v>20877.87</v>
      </c>
      <c r="AL316" s="475">
        <v>0</v>
      </c>
      <c r="AM316" s="475">
        <f t="shared" si="27"/>
        <v>-1.8200759163256031E-5</v>
      </c>
      <c r="AN316" s="464"/>
      <c r="AO316" s="464"/>
      <c r="AR316" s="464">
        <f t="shared" si="26"/>
        <v>296</v>
      </c>
      <c r="AS316" s="464" t="s">
        <v>2342</v>
      </c>
      <c r="AT316" s="381">
        <v>1.2920000000000001E-2</v>
      </c>
      <c r="AV316" s="464"/>
      <c r="AW316" s="465"/>
    </row>
    <row r="317" spans="35:49">
      <c r="AI317" s="464">
        <f t="shared" si="25"/>
        <v>297</v>
      </c>
      <c r="AJ317" s="473">
        <v>43313</v>
      </c>
      <c r="AK317" s="474">
        <v>20801.47</v>
      </c>
      <c r="AL317" s="475">
        <v>-3.7000000000000002E-3</v>
      </c>
      <c r="AM317" s="475">
        <f t="shared" si="27"/>
        <v>-3.6593771299465727E-3</v>
      </c>
      <c r="AN317" s="464"/>
      <c r="AO317" s="464"/>
      <c r="AR317" s="464">
        <f t="shared" si="26"/>
        <v>297</v>
      </c>
      <c r="AS317" s="464" t="s">
        <v>2341</v>
      </c>
      <c r="AT317" s="381">
        <v>1.3040000000000001E-2</v>
      </c>
      <c r="AV317" s="464"/>
      <c r="AW317" s="465"/>
    </row>
    <row r="318" spans="35:49">
      <c r="AI318" s="464">
        <f t="shared" si="25"/>
        <v>298</v>
      </c>
      <c r="AJ318" s="473">
        <v>43314</v>
      </c>
      <c r="AK318" s="474">
        <v>20548.97</v>
      </c>
      <c r="AL318" s="475">
        <v>-1.21E-2</v>
      </c>
      <c r="AM318" s="475">
        <f t="shared" si="27"/>
        <v>-1.2138565207170493E-2</v>
      </c>
      <c r="AN318" s="464"/>
      <c r="AO318" s="464"/>
      <c r="AR318" s="464">
        <f t="shared" si="26"/>
        <v>298</v>
      </c>
      <c r="AS318" s="464" t="s">
        <v>2340</v>
      </c>
      <c r="AT318" s="381">
        <v>1.2470000000000002E-2</v>
      </c>
      <c r="AV318" s="464"/>
      <c r="AW318" s="465"/>
    </row>
    <row r="319" spans="35:49">
      <c r="AI319" s="464">
        <f t="shared" si="25"/>
        <v>299</v>
      </c>
      <c r="AJ319" s="473">
        <v>43315</v>
      </c>
      <c r="AK319" s="474">
        <v>20635.330000000002</v>
      </c>
      <c r="AL319" s="475">
        <v>4.1999999999999997E-3</v>
      </c>
      <c r="AM319" s="475">
        <f t="shared" si="27"/>
        <v>4.2026437334816702E-3</v>
      </c>
      <c r="AN319" s="464"/>
      <c r="AO319" s="464"/>
      <c r="AR319" s="464">
        <f t="shared" si="26"/>
        <v>299</v>
      </c>
      <c r="AS319" s="464" t="s">
        <v>2339</v>
      </c>
      <c r="AT319" s="381">
        <v>1.2629999999999999E-2</v>
      </c>
      <c r="AV319" s="464"/>
      <c r="AW319" s="465"/>
    </row>
    <row r="320" spans="35:49">
      <c r="AI320" s="464">
        <f t="shared" si="25"/>
        <v>300</v>
      </c>
      <c r="AJ320" s="473">
        <v>43318</v>
      </c>
      <c r="AK320" s="474">
        <v>20639.38</v>
      </c>
      <c r="AL320" s="475">
        <v>2.0000000000000001E-4</v>
      </c>
      <c r="AM320" s="475">
        <f t="shared" si="27"/>
        <v>1.9626533716676775E-4</v>
      </c>
      <c r="AN320" s="464"/>
      <c r="AO320" s="464"/>
      <c r="AR320" s="464">
        <f t="shared" si="26"/>
        <v>300</v>
      </c>
      <c r="AS320" s="464" t="s">
        <v>2338</v>
      </c>
      <c r="AT320" s="381">
        <v>1.278E-2</v>
      </c>
      <c r="AV320" s="464"/>
      <c r="AW320" s="465"/>
    </row>
    <row r="321" spans="35:49">
      <c r="AI321" s="464">
        <f t="shared" si="25"/>
        <v>301</v>
      </c>
      <c r="AJ321" s="473">
        <v>43319</v>
      </c>
      <c r="AK321" s="474">
        <v>20675.64</v>
      </c>
      <c r="AL321" s="475">
        <v>1.8E-3</v>
      </c>
      <c r="AM321" s="475">
        <f t="shared" si="27"/>
        <v>1.7568357189023942E-3</v>
      </c>
      <c r="AN321" s="464"/>
      <c r="AO321" s="464"/>
      <c r="AR321" s="464">
        <f t="shared" si="26"/>
        <v>301</v>
      </c>
      <c r="AS321" s="464" t="s">
        <v>2337</v>
      </c>
      <c r="AT321" s="381">
        <v>1.2549999999999999E-2</v>
      </c>
      <c r="AV321" s="464"/>
      <c r="AW321" s="465"/>
    </row>
    <row r="322" spans="35:49">
      <c r="AI322" s="464">
        <f t="shared" si="25"/>
        <v>302</v>
      </c>
      <c r="AJ322" s="473">
        <v>43320</v>
      </c>
      <c r="AK322" s="474">
        <v>20770.64</v>
      </c>
      <c r="AL322" s="475">
        <v>4.5999999999999999E-3</v>
      </c>
      <c r="AM322" s="475">
        <f t="shared" si="27"/>
        <v>4.5947791700764462E-3</v>
      </c>
      <c r="AN322" s="464"/>
      <c r="AO322" s="464"/>
      <c r="AR322" s="464">
        <f t="shared" si="26"/>
        <v>302</v>
      </c>
      <c r="AS322" s="464" t="s">
        <v>2336</v>
      </c>
      <c r="AT322" s="381">
        <v>1.2430000000000002E-2</v>
      </c>
      <c r="AV322" s="464"/>
      <c r="AW322" s="465"/>
    </row>
    <row r="323" spans="35:49">
      <c r="AI323" s="464">
        <f t="shared" si="25"/>
        <v>303</v>
      </c>
      <c r="AJ323" s="473">
        <v>43321</v>
      </c>
      <c r="AK323" s="474">
        <v>20806.21</v>
      </c>
      <c r="AL323" s="475">
        <v>1.6999999999999999E-3</v>
      </c>
      <c r="AM323" s="475">
        <f t="shared" si="27"/>
        <v>1.7125134324218472E-3</v>
      </c>
      <c r="AN323" s="464"/>
      <c r="AO323" s="464"/>
      <c r="AR323" s="464">
        <f t="shared" si="26"/>
        <v>303</v>
      </c>
      <c r="AS323" s="464" t="s">
        <v>2335</v>
      </c>
      <c r="AT323" s="381">
        <v>1.2749999999999999E-2</v>
      </c>
      <c r="AV323" s="464"/>
      <c r="AW323" s="465"/>
    </row>
    <row r="324" spans="35:49">
      <c r="AI324" s="464">
        <f t="shared" si="25"/>
        <v>304</v>
      </c>
      <c r="AJ324" s="473">
        <v>43322</v>
      </c>
      <c r="AK324" s="474">
        <v>20667.45</v>
      </c>
      <c r="AL324" s="475">
        <v>-6.7000000000000002E-3</v>
      </c>
      <c r="AM324" s="475">
        <f t="shared" si="27"/>
        <v>-6.6691627163235623E-3</v>
      </c>
      <c r="AN324" s="464"/>
      <c r="AO324" s="464"/>
      <c r="AR324" s="464">
        <f t="shared" si="26"/>
        <v>304</v>
      </c>
      <c r="AS324" s="464" t="s">
        <v>2334</v>
      </c>
      <c r="AT324" s="381">
        <v>1.2589999999999999E-2</v>
      </c>
      <c r="AV324" s="464"/>
      <c r="AW324" s="465"/>
    </row>
    <row r="325" spans="35:49">
      <c r="AI325" s="464">
        <f t="shared" si="25"/>
        <v>305</v>
      </c>
      <c r="AJ325" s="473">
        <v>43325</v>
      </c>
      <c r="AK325" s="474">
        <v>20575.11</v>
      </c>
      <c r="AL325" s="475">
        <v>-4.4999999999999997E-3</v>
      </c>
      <c r="AM325" s="475">
        <f t="shared" si="27"/>
        <v>-4.4678951684895551E-3</v>
      </c>
      <c r="AN325" s="464"/>
      <c r="AO325" s="464"/>
      <c r="AR325" s="464">
        <f t="shared" si="26"/>
        <v>305</v>
      </c>
      <c r="AS325" s="464" t="s">
        <v>2333</v>
      </c>
      <c r="AT325" s="381">
        <v>1.268E-2</v>
      </c>
      <c r="AV325" s="464"/>
      <c r="AW325" s="465"/>
    </row>
    <row r="326" spans="35:49">
      <c r="AI326" s="464">
        <f t="shared" si="25"/>
        <v>306</v>
      </c>
      <c r="AJ326" s="473">
        <v>43326</v>
      </c>
      <c r="AK326" s="474">
        <v>20509.759999999998</v>
      </c>
      <c r="AL326" s="475">
        <v>-3.2000000000000002E-3</v>
      </c>
      <c r="AM326" s="475">
        <f t="shared" si="27"/>
        <v>-3.176167709431521E-3</v>
      </c>
      <c r="AN326" s="464"/>
      <c r="AO326" s="464"/>
      <c r="AR326" s="464">
        <f t="shared" si="26"/>
        <v>306</v>
      </c>
      <c r="AS326" s="464" t="s">
        <v>2332</v>
      </c>
      <c r="AT326" s="381">
        <v>1.268E-2</v>
      </c>
      <c r="AV326" s="464"/>
      <c r="AW326" s="465"/>
    </row>
    <row r="327" spans="35:49">
      <c r="AI327" s="464">
        <f t="shared" si="25"/>
        <v>307</v>
      </c>
      <c r="AJ327" s="473">
        <v>43327</v>
      </c>
      <c r="AK327" s="474">
        <v>20320.349999999999</v>
      </c>
      <c r="AL327" s="475">
        <v>-9.1999999999999998E-3</v>
      </c>
      <c r="AM327" s="475">
        <f t="shared" si="27"/>
        <v>-9.2351153792146201E-3</v>
      </c>
      <c r="AN327" s="464"/>
      <c r="AO327" s="464"/>
      <c r="AR327" s="464">
        <f t="shared" si="26"/>
        <v>307</v>
      </c>
      <c r="AS327" s="464" t="s">
        <v>2331</v>
      </c>
      <c r="AT327" s="381">
        <v>1.257E-2</v>
      </c>
      <c r="AV327" s="464"/>
      <c r="AW327" s="465"/>
    </row>
    <row r="328" spans="35:49">
      <c r="AI328" s="464">
        <f t="shared" si="25"/>
        <v>308</v>
      </c>
      <c r="AJ328" s="473">
        <v>43328</v>
      </c>
      <c r="AK328" s="474">
        <v>20462.259999999998</v>
      </c>
      <c r="AL328" s="475">
        <v>7.0000000000000001E-3</v>
      </c>
      <c r="AM328" s="475">
        <f t="shared" si="27"/>
        <v>6.983639553452603E-3</v>
      </c>
      <c r="AN328" s="464"/>
      <c r="AO328" s="464"/>
      <c r="AR328" s="464">
        <f t="shared" si="26"/>
        <v>308</v>
      </c>
      <c r="AS328" s="464" t="s">
        <v>2330</v>
      </c>
      <c r="AT328" s="381">
        <v>1.302E-2</v>
      </c>
      <c r="AV328" s="464"/>
      <c r="AW328" s="465"/>
    </row>
    <row r="329" spans="35:49">
      <c r="AI329" s="464">
        <f t="shared" si="25"/>
        <v>309</v>
      </c>
      <c r="AJ329" s="473">
        <v>43329</v>
      </c>
      <c r="AK329" s="474">
        <v>20444.36</v>
      </c>
      <c r="AL329" s="475">
        <v>-8.9999999999999998E-4</v>
      </c>
      <c r="AM329" s="475">
        <f t="shared" si="27"/>
        <v>-8.747811825281504E-4</v>
      </c>
      <c r="AN329" s="464"/>
      <c r="AO329" s="464"/>
      <c r="AR329" s="464">
        <f t="shared" si="26"/>
        <v>309</v>
      </c>
      <c r="AS329" s="464" t="s">
        <v>2329</v>
      </c>
      <c r="AT329" s="381">
        <v>1.295E-2</v>
      </c>
      <c r="AV329" s="464"/>
      <c r="AW329" s="465"/>
    </row>
    <row r="330" spans="35:49">
      <c r="AI330" s="464">
        <f t="shared" si="25"/>
        <v>310</v>
      </c>
      <c r="AJ330" s="473">
        <v>43332</v>
      </c>
      <c r="AK330" s="474">
        <v>20531.150000000001</v>
      </c>
      <c r="AL330" s="475">
        <v>4.1999999999999997E-3</v>
      </c>
      <c r="AM330" s="475">
        <f t="shared" si="27"/>
        <v>4.2451805779197826E-3</v>
      </c>
      <c r="AN330" s="464"/>
      <c r="AO330" s="464"/>
      <c r="AR330" s="464">
        <f t="shared" si="26"/>
        <v>310</v>
      </c>
      <c r="AS330" s="464" t="s">
        <v>2328</v>
      </c>
      <c r="AT330" s="381">
        <v>1.2829999999999999E-2</v>
      </c>
      <c r="AV330" s="464"/>
      <c r="AW330" s="465"/>
    </row>
    <row r="331" spans="35:49">
      <c r="AI331" s="464">
        <f t="shared" si="25"/>
        <v>311</v>
      </c>
      <c r="AJ331" s="473">
        <v>43333</v>
      </c>
      <c r="AK331" s="474">
        <v>20642.86</v>
      </c>
      <c r="AL331" s="475">
        <v>5.4000000000000003E-3</v>
      </c>
      <c r="AM331" s="475">
        <f t="shared" si="27"/>
        <v>5.4410006258782673E-3</v>
      </c>
      <c r="AN331" s="464"/>
      <c r="AO331" s="464"/>
      <c r="AR331" s="464">
        <f t="shared" si="26"/>
        <v>311</v>
      </c>
      <c r="AS331" s="464" t="s">
        <v>2327</v>
      </c>
      <c r="AT331" s="381">
        <v>1.2729999999999998E-2</v>
      </c>
      <c r="AV331" s="464"/>
      <c r="AW331" s="465"/>
    </row>
    <row r="332" spans="35:49">
      <c r="AI332" s="464">
        <f t="shared" si="25"/>
        <v>312</v>
      </c>
      <c r="AJ332" s="473">
        <v>43334</v>
      </c>
      <c r="AK332" s="474">
        <v>20642.5</v>
      </c>
      <c r="AL332" s="475">
        <v>0</v>
      </c>
      <c r="AM332" s="475">
        <f t="shared" si="27"/>
        <v>-1.7439443953048972E-5</v>
      </c>
      <c r="AN332" s="464"/>
      <c r="AO332" s="464"/>
      <c r="AR332" s="464">
        <f t="shared" si="26"/>
        <v>312</v>
      </c>
      <c r="AS332" s="464" t="s">
        <v>2326</v>
      </c>
      <c r="AT332" s="381">
        <v>1.274E-2</v>
      </c>
      <c r="AV332" s="464"/>
      <c r="AW332" s="465"/>
    </row>
    <row r="333" spans="35:49">
      <c r="AI333" s="464">
        <f t="shared" si="25"/>
        <v>313</v>
      </c>
      <c r="AJ333" s="473">
        <v>43335</v>
      </c>
      <c r="AK333" s="474">
        <v>20665.47</v>
      </c>
      <c r="AL333" s="475">
        <v>1.1000000000000001E-3</v>
      </c>
      <c r="AM333" s="475">
        <f t="shared" si="27"/>
        <v>1.1127528157928168E-3</v>
      </c>
      <c r="AN333" s="464"/>
      <c r="AO333" s="464"/>
      <c r="AR333" s="464">
        <f t="shared" si="26"/>
        <v>313</v>
      </c>
      <c r="AS333" s="464" t="s">
        <v>2325</v>
      </c>
      <c r="AT333" s="381">
        <v>1.2809999999999998E-2</v>
      </c>
      <c r="AV333" s="464"/>
      <c r="AW333" s="465"/>
    </row>
    <row r="334" spans="35:49">
      <c r="AI334" s="464">
        <f t="shared" si="25"/>
        <v>314</v>
      </c>
      <c r="AJ334" s="473">
        <v>43336</v>
      </c>
      <c r="AK334" s="474">
        <v>20691.41</v>
      </c>
      <c r="AL334" s="475">
        <v>1.2999999999999999E-3</v>
      </c>
      <c r="AM334" s="475">
        <f t="shared" si="27"/>
        <v>1.2552339724185568E-3</v>
      </c>
      <c r="AN334" s="464"/>
      <c r="AO334" s="464"/>
      <c r="AR334" s="464">
        <f t="shared" si="26"/>
        <v>314</v>
      </c>
      <c r="AS334" s="464" t="s">
        <v>2324</v>
      </c>
      <c r="AT334" s="381">
        <v>1.261E-2</v>
      </c>
      <c r="AV334" s="464"/>
      <c r="AW334" s="465"/>
    </row>
    <row r="335" spans="35:49">
      <c r="AI335" s="464">
        <f t="shared" si="25"/>
        <v>315</v>
      </c>
      <c r="AJ335" s="473">
        <v>43340</v>
      </c>
      <c r="AK335" s="474">
        <v>20849.240000000002</v>
      </c>
      <c r="AL335" s="475">
        <v>7.6E-3</v>
      </c>
      <c r="AM335" s="475">
        <f t="shared" si="27"/>
        <v>7.6278030351726311E-3</v>
      </c>
      <c r="AN335" s="464"/>
      <c r="AO335" s="464"/>
      <c r="AR335" s="464">
        <f t="shared" si="26"/>
        <v>315</v>
      </c>
      <c r="AS335" s="464" t="s">
        <v>2323</v>
      </c>
      <c r="AT335" s="381">
        <v>1.2279999999999999E-2</v>
      </c>
      <c r="AV335" s="464"/>
      <c r="AW335" s="465"/>
    </row>
    <row r="336" spans="35:49">
      <c r="AI336" s="464">
        <f t="shared" si="25"/>
        <v>316</v>
      </c>
      <c r="AJ336" s="473">
        <v>43341</v>
      </c>
      <c r="AK336" s="474">
        <v>20736.88</v>
      </c>
      <c r="AL336" s="475">
        <v>-5.4000000000000003E-3</v>
      </c>
      <c r="AM336" s="475">
        <f t="shared" si="27"/>
        <v>-5.3891652645372545E-3</v>
      </c>
      <c r="AN336" s="464"/>
      <c r="AO336" s="464"/>
      <c r="AR336" s="464">
        <f t="shared" si="26"/>
        <v>316</v>
      </c>
      <c r="AS336" s="464" t="s">
        <v>2322</v>
      </c>
      <c r="AT336" s="381">
        <v>1.1859999999999999E-2</v>
      </c>
      <c r="AV336" s="464"/>
      <c r="AW336" s="465"/>
    </row>
    <row r="337" spans="35:49">
      <c r="AI337" s="464">
        <f t="shared" si="25"/>
        <v>317</v>
      </c>
      <c r="AJ337" s="473">
        <v>43342</v>
      </c>
      <c r="AK337" s="474">
        <v>20691.75</v>
      </c>
      <c r="AL337" s="475">
        <v>-2.2000000000000001E-3</v>
      </c>
      <c r="AM337" s="475">
        <f t="shared" si="27"/>
        <v>-2.1763158199304966E-3</v>
      </c>
      <c r="AN337" s="464"/>
      <c r="AO337" s="464"/>
      <c r="AR337" s="464">
        <f t="shared" si="26"/>
        <v>317</v>
      </c>
      <c r="AS337" s="464" t="s">
        <v>2321</v>
      </c>
      <c r="AT337" s="381">
        <v>1.2319999999999999E-2</v>
      </c>
      <c r="AV337" s="464"/>
      <c r="AW337" s="465"/>
    </row>
    <row r="338" spans="35:49">
      <c r="AI338" s="464">
        <f t="shared" si="25"/>
        <v>318</v>
      </c>
      <c r="AJ338" s="473">
        <v>43343</v>
      </c>
      <c r="AK338" s="474">
        <v>20689</v>
      </c>
      <c r="AL338" s="475">
        <v>-1E-4</v>
      </c>
      <c r="AM338" s="475">
        <f t="shared" si="27"/>
        <v>-1.3290321021663942E-4</v>
      </c>
      <c r="AN338" s="464"/>
      <c r="AO338" s="464"/>
      <c r="AR338" s="464">
        <f t="shared" si="26"/>
        <v>318</v>
      </c>
      <c r="AS338" s="464" t="s">
        <v>2320</v>
      </c>
      <c r="AT338" s="381">
        <v>1.2330000000000001E-2</v>
      </c>
      <c r="AV338" s="464"/>
      <c r="AW338" s="465"/>
    </row>
    <row r="339" spans="35:49">
      <c r="AI339" s="464">
        <f t="shared" si="25"/>
        <v>319</v>
      </c>
      <c r="AJ339" s="473">
        <v>43346</v>
      </c>
      <c r="AK339" s="474">
        <v>20695.849999999999</v>
      </c>
      <c r="AL339" s="475">
        <v>2.9999999999999997E-4</v>
      </c>
      <c r="AM339" s="475">
        <f t="shared" si="27"/>
        <v>3.3109381797080673E-4</v>
      </c>
      <c r="AN339" s="464"/>
      <c r="AO339" s="464"/>
      <c r="AR339" s="464">
        <f t="shared" si="26"/>
        <v>319</v>
      </c>
      <c r="AS339" s="464" t="s">
        <v>2319</v>
      </c>
      <c r="AT339" s="381">
        <v>1.2709999999999999E-2</v>
      </c>
      <c r="AV339" s="464"/>
      <c r="AW339" s="465"/>
    </row>
    <row r="340" spans="35:49">
      <c r="AI340" s="464">
        <f t="shared" si="25"/>
        <v>320</v>
      </c>
      <c r="AJ340" s="473">
        <v>43347</v>
      </c>
      <c r="AK340" s="474">
        <v>20548.61</v>
      </c>
      <c r="AL340" s="475">
        <v>-7.1000000000000004E-3</v>
      </c>
      <c r="AM340" s="475">
        <f t="shared" si="27"/>
        <v>-7.1144698091645253E-3</v>
      </c>
      <c r="AN340" s="464"/>
      <c r="AO340" s="464"/>
      <c r="AR340" s="464">
        <f t="shared" si="26"/>
        <v>320</v>
      </c>
      <c r="AS340" s="464" t="s">
        <v>2318</v>
      </c>
      <c r="AT340" s="381">
        <v>1.2760000000000001E-2</v>
      </c>
      <c r="AV340" s="464"/>
      <c r="AW340" s="465"/>
    </row>
    <row r="341" spans="35:49">
      <c r="AI341" s="464">
        <f t="shared" ref="AI341:AI404" si="28">AI340+1</f>
        <v>321</v>
      </c>
      <c r="AJ341" s="473">
        <v>43348</v>
      </c>
      <c r="AK341" s="474">
        <v>20388.47</v>
      </c>
      <c r="AL341" s="475">
        <v>-7.7999999999999996E-3</v>
      </c>
      <c r="AM341" s="475">
        <f t="shared" si="27"/>
        <v>-7.7932278631012153E-3</v>
      </c>
      <c r="AN341" s="464"/>
      <c r="AO341" s="464"/>
      <c r="AR341" s="464">
        <f t="shared" ref="AR341:AR404" si="29">AR340+1</f>
        <v>321</v>
      </c>
      <c r="AS341" s="464" t="s">
        <v>2317</v>
      </c>
      <c r="AT341" s="381">
        <v>1.2729999999999998E-2</v>
      </c>
      <c r="AV341" s="464"/>
      <c r="AW341" s="465"/>
    </row>
    <row r="342" spans="35:49">
      <c r="AI342" s="464">
        <f t="shared" si="28"/>
        <v>322</v>
      </c>
      <c r="AJ342" s="473">
        <v>43349</v>
      </c>
      <c r="AK342" s="474">
        <v>20283.490000000002</v>
      </c>
      <c r="AL342" s="475">
        <v>-5.1000000000000004E-3</v>
      </c>
      <c r="AM342" s="475">
        <f t="shared" ref="AM342:AM405" si="30">AK342/AK341-1</f>
        <v>-5.148988619548156E-3</v>
      </c>
      <c r="AN342" s="464"/>
      <c r="AO342" s="464"/>
      <c r="AR342" s="464">
        <f t="shared" si="29"/>
        <v>322</v>
      </c>
      <c r="AS342" s="464" t="s">
        <v>2316</v>
      </c>
      <c r="AT342" s="381">
        <v>1.2789999999999999E-2</v>
      </c>
      <c r="AV342" s="464"/>
      <c r="AW342" s="465"/>
    </row>
    <row r="343" spans="35:49">
      <c r="AI343" s="464">
        <f t="shared" si="28"/>
        <v>323</v>
      </c>
      <c r="AJ343" s="473">
        <v>43350</v>
      </c>
      <c r="AK343" s="474">
        <v>20209.61</v>
      </c>
      <c r="AL343" s="475">
        <v>-3.5999999999999999E-3</v>
      </c>
      <c r="AM343" s="475">
        <f t="shared" si="30"/>
        <v>-3.6423712092938931E-3</v>
      </c>
      <c r="AN343" s="464"/>
      <c r="AO343" s="464"/>
      <c r="AR343" s="464">
        <f t="shared" si="29"/>
        <v>323</v>
      </c>
      <c r="AS343" s="464" t="s">
        <v>2315</v>
      </c>
      <c r="AT343" s="381">
        <v>1.2800000000000001E-2</v>
      </c>
      <c r="AV343" s="464"/>
      <c r="AW343" s="465"/>
    </row>
    <row r="344" spans="35:49">
      <c r="AI344" s="464">
        <f t="shared" si="28"/>
        <v>324</v>
      </c>
      <c r="AJ344" s="473">
        <v>43353</v>
      </c>
      <c r="AK344" s="474">
        <v>20259.830000000002</v>
      </c>
      <c r="AL344" s="475">
        <v>2.5000000000000001E-3</v>
      </c>
      <c r="AM344" s="475">
        <f t="shared" si="30"/>
        <v>2.4849564142999103E-3</v>
      </c>
      <c r="AN344" s="464"/>
      <c r="AO344" s="464"/>
      <c r="AR344" s="464">
        <f t="shared" si="29"/>
        <v>324</v>
      </c>
      <c r="AS344" s="464" t="s">
        <v>2314</v>
      </c>
      <c r="AT344" s="381">
        <v>1.2809999999999998E-2</v>
      </c>
      <c r="AV344" s="464"/>
      <c r="AW344" s="465"/>
    </row>
    <row r="345" spans="35:49">
      <c r="AI345" s="464">
        <f t="shared" si="28"/>
        <v>325</v>
      </c>
      <c r="AJ345" s="473">
        <v>43354</v>
      </c>
      <c r="AK345" s="474">
        <v>20226.419999999998</v>
      </c>
      <c r="AL345" s="475">
        <v>-1.6000000000000001E-3</v>
      </c>
      <c r="AM345" s="475">
        <f t="shared" si="30"/>
        <v>-1.6490760287724004E-3</v>
      </c>
      <c r="AN345" s="464"/>
      <c r="AO345" s="464"/>
      <c r="AR345" s="464">
        <f t="shared" si="29"/>
        <v>325</v>
      </c>
      <c r="AS345" s="464" t="s">
        <v>2313</v>
      </c>
      <c r="AT345" s="381">
        <v>1.3440000000000001E-2</v>
      </c>
      <c r="AV345" s="464"/>
      <c r="AW345" s="465"/>
    </row>
    <row r="346" spans="35:49">
      <c r="AI346" s="464">
        <f t="shared" si="28"/>
        <v>326</v>
      </c>
      <c r="AJ346" s="473">
        <v>43355</v>
      </c>
      <c r="AK346" s="474">
        <v>20380.53</v>
      </c>
      <c r="AL346" s="475">
        <v>7.6E-3</v>
      </c>
      <c r="AM346" s="475">
        <f t="shared" si="30"/>
        <v>7.6192425550345444E-3</v>
      </c>
      <c r="AN346" s="464"/>
      <c r="AO346" s="464"/>
      <c r="AR346" s="464">
        <f t="shared" si="29"/>
        <v>326</v>
      </c>
      <c r="AS346" s="464" t="s">
        <v>2312</v>
      </c>
      <c r="AT346" s="381">
        <v>1.3309999999999999E-2</v>
      </c>
      <c r="AV346" s="464"/>
      <c r="AW346" s="465"/>
    </row>
    <row r="347" spans="35:49">
      <c r="AI347" s="464">
        <f t="shared" si="28"/>
        <v>327</v>
      </c>
      <c r="AJ347" s="473">
        <v>43356</v>
      </c>
      <c r="AK347" s="474">
        <v>20243.61</v>
      </c>
      <c r="AL347" s="475">
        <v>-6.7000000000000002E-3</v>
      </c>
      <c r="AM347" s="475">
        <f t="shared" si="30"/>
        <v>-6.7181766126788167E-3</v>
      </c>
      <c r="AN347" s="464"/>
      <c r="AO347" s="464"/>
      <c r="AR347" s="464">
        <f t="shared" si="29"/>
        <v>327</v>
      </c>
      <c r="AS347" s="464" t="s">
        <v>2311</v>
      </c>
      <c r="AT347" s="381">
        <v>1.38E-2</v>
      </c>
      <c r="AV347" s="464"/>
      <c r="AW347" s="465"/>
    </row>
    <row r="348" spans="35:49">
      <c r="AI348" s="464">
        <f t="shared" si="28"/>
        <v>328</v>
      </c>
      <c r="AJ348" s="473">
        <v>43357</v>
      </c>
      <c r="AK348" s="474">
        <v>20375.87</v>
      </c>
      <c r="AL348" s="475">
        <v>6.4999999999999997E-3</v>
      </c>
      <c r="AM348" s="475">
        <f t="shared" si="30"/>
        <v>6.5334196815685086E-3</v>
      </c>
      <c r="AN348" s="464"/>
      <c r="AO348" s="464"/>
      <c r="AR348" s="464">
        <f t="shared" si="29"/>
        <v>328</v>
      </c>
      <c r="AS348" s="464" t="s">
        <v>2310</v>
      </c>
      <c r="AT348" s="381">
        <v>1.3769999999999999E-2</v>
      </c>
      <c r="AV348" s="464"/>
      <c r="AW348" s="465"/>
    </row>
    <row r="349" spans="35:49">
      <c r="AI349" s="464">
        <f t="shared" si="28"/>
        <v>329</v>
      </c>
      <c r="AJ349" s="473">
        <v>43360</v>
      </c>
      <c r="AK349" s="474">
        <v>20374.39</v>
      </c>
      <c r="AL349" s="475">
        <v>-1E-4</v>
      </c>
      <c r="AM349" s="475">
        <f t="shared" si="30"/>
        <v>-7.2634935342597018E-5</v>
      </c>
      <c r="AN349" s="464"/>
      <c r="AO349" s="464"/>
      <c r="AR349" s="464">
        <f t="shared" si="29"/>
        <v>329</v>
      </c>
      <c r="AS349" s="464" t="s">
        <v>2309</v>
      </c>
      <c r="AT349" s="381">
        <v>1.329E-2</v>
      </c>
      <c r="AV349" s="464"/>
      <c r="AW349" s="465"/>
    </row>
    <row r="350" spans="35:49">
      <c r="AI350" s="464">
        <f t="shared" si="28"/>
        <v>330</v>
      </c>
      <c r="AJ350" s="473">
        <v>43361</v>
      </c>
      <c r="AK350" s="474">
        <v>20458.27</v>
      </c>
      <c r="AL350" s="475">
        <v>4.1000000000000003E-3</v>
      </c>
      <c r="AM350" s="475">
        <f t="shared" si="30"/>
        <v>4.1169330713706209E-3</v>
      </c>
      <c r="AN350" s="464"/>
      <c r="AO350" s="464"/>
      <c r="AR350" s="464">
        <f t="shared" si="29"/>
        <v>330</v>
      </c>
      <c r="AS350" s="464" t="s">
        <v>2308</v>
      </c>
      <c r="AT350" s="381">
        <v>1.3300000000000001E-2</v>
      </c>
      <c r="AV350" s="464"/>
      <c r="AW350" s="465"/>
    </row>
    <row r="351" spans="35:49">
      <c r="AI351" s="464">
        <f t="shared" si="28"/>
        <v>331</v>
      </c>
      <c r="AJ351" s="473">
        <v>43362</v>
      </c>
      <c r="AK351" s="474">
        <v>20500.45</v>
      </c>
      <c r="AL351" s="475">
        <v>2.0999999999999999E-3</v>
      </c>
      <c r="AM351" s="475">
        <f t="shared" si="30"/>
        <v>2.061757910126305E-3</v>
      </c>
      <c r="AN351" s="464"/>
      <c r="AO351" s="464"/>
      <c r="AR351" s="464">
        <f t="shared" si="29"/>
        <v>331</v>
      </c>
      <c r="AS351" s="464" t="s">
        <v>2307</v>
      </c>
      <c r="AT351" s="381">
        <v>1.3040000000000001E-2</v>
      </c>
      <c r="AV351" s="464"/>
      <c r="AW351" s="465"/>
    </row>
    <row r="352" spans="35:49">
      <c r="AI352" s="464">
        <f t="shared" si="28"/>
        <v>332</v>
      </c>
      <c r="AJ352" s="473">
        <v>43363</v>
      </c>
      <c r="AK352" s="474">
        <v>20551.259999999998</v>
      </c>
      <c r="AL352" s="475">
        <v>2.5000000000000001E-3</v>
      </c>
      <c r="AM352" s="475">
        <f t="shared" si="30"/>
        <v>2.4784821796592915E-3</v>
      </c>
      <c r="AN352" s="464"/>
      <c r="AO352" s="464"/>
      <c r="AR352" s="464">
        <f t="shared" si="29"/>
        <v>332</v>
      </c>
      <c r="AS352" s="464" t="s">
        <v>2306</v>
      </c>
      <c r="AT352" s="381">
        <v>1.3260000000000001E-2</v>
      </c>
      <c r="AV352" s="464"/>
      <c r="AW352" s="465"/>
    </row>
    <row r="353" spans="35:49">
      <c r="AI353" s="464">
        <f t="shared" si="28"/>
        <v>333</v>
      </c>
      <c r="AJ353" s="473">
        <v>43364</v>
      </c>
      <c r="AK353" s="474">
        <v>20590.36</v>
      </c>
      <c r="AL353" s="475">
        <v>1.9E-3</v>
      </c>
      <c r="AM353" s="475">
        <f t="shared" si="30"/>
        <v>1.9025597457285048E-3</v>
      </c>
      <c r="AN353" s="464"/>
      <c r="AO353" s="464"/>
      <c r="AR353" s="464">
        <f t="shared" si="29"/>
        <v>333</v>
      </c>
      <c r="AS353" s="464" t="s">
        <v>2305</v>
      </c>
      <c r="AT353" s="381">
        <v>1.3140000000000001E-2</v>
      </c>
      <c r="AV353" s="464"/>
      <c r="AW353" s="465"/>
    </row>
    <row r="354" spans="35:49">
      <c r="AI354" s="464">
        <f t="shared" si="28"/>
        <v>334</v>
      </c>
      <c r="AJ354" s="473">
        <v>43367</v>
      </c>
      <c r="AK354" s="474">
        <v>20488.07</v>
      </c>
      <c r="AL354" s="475">
        <v>-5.0000000000000001E-3</v>
      </c>
      <c r="AM354" s="475">
        <f t="shared" si="30"/>
        <v>-4.9678587455489476E-3</v>
      </c>
      <c r="AN354" s="464"/>
      <c r="AO354" s="464"/>
      <c r="AR354" s="464">
        <f t="shared" si="29"/>
        <v>334</v>
      </c>
      <c r="AS354" s="464" t="s">
        <v>2304</v>
      </c>
      <c r="AT354" s="381">
        <v>1.2969999999999999E-2</v>
      </c>
      <c r="AV354" s="464"/>
      <c r="AW354" s="465"/>
    </row>
    <row r="355" spans="35:49">
      <c r="AI355" s="464">
        <f t="shared" si="28"/>
        <v>335</v>
      </c>
      <c r="AJ355" s="473">
        <v>43368</v>
      </c>
      <c r="AK355" s="474">
        <v>20461.060000000001</v>
      </c>
      <c r="AL355" s="475">
        <v>-1.2999999999999999E-3</v>
      </c>
      <c r="AM355" s="475">
        <f t="shared" si="30"/>
        <v>-1.3183281783007983E-3</v>
      </c>
      <c r="AN355" s="464"/>
      <c r="AO355" s="464"/>
      <c r="AR355" s="464">
        <f t="shared" si="29"/>
        <v>335</v>
      </c>
      <c r="AS355" s="464" t="s">
        <v>2303</v>
      </c>
      <c r="AT355" s="381">
        <v>1.244E-2</v>
      </c>
      <c r="AV355" s="464"/>
      <c r="AW355" s="465"/>
    </row>
    <row r="356" spans="35:49">
      <c r="AI356" s="464">
        <f t="shared" si="28"/>
        <v>336</v>
      </c>
      <c r="AJ356" s="473">
        <v>43369</v>
      </c>
      <c r="AK356" s="474">
        <v>20436.48</v>
      </c>
      <c r="AL356" s="475">
        <v>-1.1999999999999999E-3</v>
      </c>
      <c r="AM356" s="475">
        <f t="shared" si="30"/>
        <v>-1.2013062861846446E-3</v>
      </c>
      <c r="AN356" s="464"/>
      <c r="AO356" s="464"/>
      <c r="AR356" s="464">
        <f t="shared" si="29"/>
        <v>336</v>
      </c>
      <c r="AS356" s="464" t="s">
        <v>2302</v>
      </c>
      <c r="AT356" s="381">
        <v>1.2540000000000001E-2</v>
      </c>
      <c r="AV356" s="464"/>
      <c r="AW356" s="465"/>
    </row>
    <row r="357" spans="35:49">
      <c r="AI357" s="464">
        <f t="shared" si="28"/>
        <v>337</v>
      </c>
      <c r="AJ357" s="473">
        <v>43370</v>
      </c>
      <c r="AK357" s="474">
        <v>20374.21</v>
      </c>
      <c r="AL357" s="475">
        <v>-3.0000000000000001E-3</v>
      </c>
      <c r="AM357" s="475">
        <f t="shared" si="30"/>
        <v>-3.0470022234748706E-3</v>
      </c>
      <c r="AN357" s="464"/>
      <c r="AO357" s="464"/>
      <c r="AR357" s="464">
        <f t="shared" si="29"/>
        <v>337</v>
      </c>
      <c r="AS357" s="464" t="s">
        <v>2301</v>
      </c>
      <c r="AT357" s="381">
        <v>1.261E-2</v>
      </c>
      <c r="AV357" s="464"/>
      <c r="AW357" s="465"/>
    </row>
    <row r="358" spans="35:49">
      <c r="AI358" s="464">
        <f t="shared" si="28"/>
        <v>338</v>
      </c>
      <c r="AJ358" s="473">
        <v>43371</v>
      </c>
      <c r="AK358" s="474">
        <v>20307.04</v>
      </c>
      <c r="AL358" s="475">
        <v>-3.3E-3</v>
      </c>
      <c r="AM358" s="475">
        <f t="shared" si="30"/>
        <v>-3.2968149439903671E-3</v>
      </c>
      <c r="AN358" s="464"/>
      <c r="AO358" s="464"/>
      <c r="AR358" s="464">
        <f t="shared" si="29"/>
        <v>338</v>
      </c>
      <c r="AS358" s="464" t="s">
        <v>2300</v>
      </c>
      <c r="AT358" s="381">
        <v>1.226E-2</v>
      </c>
      <c r="AV358" s="464"/>
      <c r="AW358" s="465"/>
    </row>
    <row r="359" spans="35:49">
      <c r="AI359" s="464">
        <f t="shared" si="28"/>
        <v>339</v>
      </c>
      <c r="AJ359" s="473">
        <v>43374</v>
      </c>
      <c r="AK359" s="474">
        <v>20401.21</v>
      </c>
      <c r="AL359" s="475">
        <v>4.5999999999999999E-3</v>
      </c>
      <c r="AM359" s="475">
        <f t="shared" si="30"/>
        <v>4.6373080468644634E-3</v>
      </c>
      <c r="AN359" s="464"/>
      <c r="AO359" s="464"/>
      <c r="AR359" s="464">
        <f t="shared" si="29"/>
        <v>339</v>
      </c>
      <c r="AS359" s="464" t="s">
        <v>2299</v>
      </c>
      <c r="AT359" s="381">
        <v>1.2390000000000002E-2</v>
      </c>
      <c r="AV359" s="464"/>
      <c r="AW359" s="465"/>
    </row>
    <row r="360" spans="35:49">
      <c r="AI360" s="464">
        <f t="shared" si="28"/>
        <v>340</v>
      </c>
      <c r="AJ360" s="473">
        <v>43375</v>
      </c>
      <c r="AK360" s="474">
        <v>20264.86</v>
      </c>
      <c r="AL360" s="475">
        <v>-6.7000000000000002E-3</v>
      </c>
      <c r="AM360" s="475">
        <f t="shared" si="30"/>
        <v>-6.6834271104507792E-3</v>
      </c>
      <c r="AN360" s="464"/>
      <c r="AO360" s="464"/>
      <c r="AR360" s="464">
        <f t="shared" si="29"/>
        <v>340</v>
      </c>
      <c r="AS360" s="464" t="s">
        <v>2298</v>
      </c>
      <c r="AT360" s="381">
        <v>1.2350000000000002E-2</v>
      </c>
      <c r="AV360" s="464"/>
      <c r="AW360" s="465"/>
    </row>
    <row r="361" spans="35:49">
      <c r="AI361" s="464">
        <f t="shared" si="28"/>
        <v>341</v>
      </c>
      <c r="AJ361" s="473">
        <v>43376</v>
      </c>
      <c r="AK361" s="474">
        <v>20300</v>
      </c>
      <c r="AL361" s="475">
        <v>1.6999999999999999E-3</v>
      </c>
      <c r="AM361" s="475">
        <f t="shared" si="30"/>
        <v>1.7340361591444697E-3</v>
      </c>
      <c r="AN361" s="464"/>
      <c r="AO361" s="464"/>
      <c r="AR361" s="464">
        <f t="shared" si="29"/>
        <v>341</v>
      </c>
      <c r="AS361" s="464" t="s">
        <v>2297</v>
      </c>
      <c r="AT361" s="381">
        <v>1.2350000000000002E-2</v>
      </c>
      <c r="AV361" s="464"/>
      <c r="AW361" s="465"/>
    </row>
    <row r="362" spans="35:49">
      <c r="AI362" s="464">
        <f t="shared" si="28"/>
        <v>342</v>
      </c>
      <c r="AJ362" s="473">
        <v>43377</v>
      </c>
      <c r="AK362" s="474">
        <v>20088.7</v>
      </c>
      <c r="AL362" s="475">
        <v>-1.04E-2</v>
      </c>
      <c r="AM362" s="475">
        <f t="shared" si="30"/>
        <v>-1.0408866995073818E-2</v>
      </c>
      <c r="AN362" s="464"/>
      <c r="AO362" s="464"/>
      <c r="AR362" s="464">
        <f t="shared" si="29"/>
        <v>342</v>
      </c>
      <c r="AS362" s="464" t="s">
        <v>2296</v>
      </c>
      <c r="AT362" s="381">
        <v>1.2239999999999999E-2</v>
      </c>
      <c r="AV362" s="464"/>
      <c r="AW362" s="465"/>
    </row>
    <row r="363" spans="35:49">
      <c r="AI363" s="464">
        <f t="shared" si="28"/>
        <v>343</v>
      </c>
      <c r="AJ363" s="473">
        <v>43378</v>
      </c>
      <c r="AK363" s="474">
        <v>19918.03</v>
      </c>
      <c r="AL363" s="475">
        <v>-8.5000000000000006E-3</v>
      </c>
      <c r="AM363" s="475">
        <f t="shared" si="30"/>
        <v>-8.4958210337156004E-3</v>
      </c>
      <c r="AN363" s="464"/>
      <c r="AO363" s="464"/>
      <c r="AR363" s="464">
        <f t="shared" si="29"/>
        <v>343</v>
      </c>
      <c r="AS363" s="464" t="s">
        <v>2295</v>
      </c>
      <c r="AT363" s="381">
        <v>1.2669999999999999E-2</v>
      </c>
      <c r="AV363" s="464"/>
      <c r="AW363" s="465"/>
    </row>
    <row r="364" spans="35:49">
      <c r="AI364" s="464">
        <f t="shared" si="28"/>
        <v>344</v>
      </c>
      <c r="AJ364" s="473">
        <v>43381</v>
      </c>
      <c r="AK364" s="474">
        <v>19646.080000000002</v>
      </c>
      <c r="AL364" s="475">
        <v>-1.37E-2</v>
      </c>
      <c r="AM364" s="475">
        <f t="shared" si="30"/>
        <v>-1.3653458700483734E-2</v>
      </c>
      <c r="AN364" s="464"/>
      <c r="AO364" s="464"/>
      <c r="AR364" s="464">
        <f t="shared" si="29"/>
        <v>344</v>
      </c>
      <c r="AS364" s="464" t="s">
        <v>2294</v>
      </c>
      <c r="AT364" s="381">
        <v>1.2729999999999998E-2</v>
      </c>
      <c r="AV364" s="464"/>
      <c r="AW364" s="465"/>
    </row>
    <row r="365" spans="35:49">
      <c r="AI365" s="464">
        <f t="shared" si="28"/>
        <v>345</v>
      </c>
      <c r="AJ365" s="473">
        <v>43382</v>
      </c>
      <c r="AK365" s="474">
        <v>19549.599999999999</v>
      </c>
      <c r="AL365" s="475">
        <v>-4.8999999999999998E-3</v>
      </c>
      <c r="AM365" s="475">
        <f t="shared" si="30"/>
        <v>-4.9109033456039564E-3</v>
      </c>
      <c r="AN365" s="464"/>
      <c r="AO365" s="464"/>
      <c r="AR365" s="464">
        <f t="shared" si="29"/>
        <v>345</v>
      </c>
      <c r="AS365" s="464" t="s">
        <v>2293</v>
      </c>
      <c r="AT365" s="381">
        <v>1.2709999999999999E-2</v>
      </c>
      <c r="AV365" s="464"/>
      <c r="AW365" s="465"/>
    </row>
    <row r="366" spans="35:49">
      <c r="AI366" s="464">
        <f t="shared" si="28"/>
        <v>346</v>
      </c>
      <c r="AJ366" s="473">
        <v>43383</v>
      </c>
      <c r="AK366" s="474">
        <v>19239.16</v>
      </c>
      <c r="AL366" s="475">
        <v>-1.5900000000000001E-2</v>
      </c>
      <c r="AM366" s="475">
        <f t="shared" si="30"/>
        <v>-1.5879608789949651E-2</v>
      </c>
      <c r="AN366" s="464"/>
      <c r="AO366" s="464"/>
      <c r="AR366" s="464">
        <f t="shared" si="29"/>
        <v>346</v>
      </c>
      <c r="AS366" s="464" t="s">
        <v>2292</v>
      </c>
      <c r="AT366" s="381">
        <v>1.278E-2</v>
      </c>
      <c r="AV366" s="464"/>
      <c r="AW366" s="465"/>
    </row>
    <row r="367" spans="35:49">
      <c r="AI367" s="464">
        <f t="shared" si="28"/>
        <v>347</v>
      </c>
      <c r="AJ367" s="473">
        <v>43384</v>
      </c>
      <c r="AK367" s="474">
        <v>18827.75</v>
      </c>
      <c r="AL367" s="475">
        <v>-2.1399999999999999E-2</v>
      </c>
      <c r="AM367" s="475">
        <f t="shared" si="30"/>
        <v>-2.1383989737597697E-2</v>
      </c>
      <c r="AN367" s="464"/>
      <c r="AO367" s="464"/>
      <c r="AR367" s="464">
        <f t="shared" si="29"/>
        <v>347</v>
      </c>
      <c r="AS367" s="464" t="s">
        <v>2291</v>
      </c>
      <c r="AT367" s="381">
        <v>1.2789999999999999E-2</v>
      </c>
      <c r="AV367" s="464"/>
      <c r="AW367" s="465"/>
    </row>
    <row r="368" spans="35:49">
      <c r="AI368" s="464">
        <f t="shared" si="28"/>
        <v>348</v>
      </c>
      <c r="AJ368" s="473">
        <v>43385</v>
      </c>
      <c r="AK368" s="474">
        <v>18973.45</v>
      </c>
      <c r="AL368" s="475">
        <v>7.7000000000000002E-3</v>
      </c>
      <c r="AM368" s="475">
        <f t="shared" si="30"/>
        <v>7.7385773658562584E-3</v>
      </c>
      <c r="AN368" s="464"/>
      <c r="AO368" s="464"/>
      <c r="AR368" s="464">
        <f t="shared" si="29"/>
        <v>348</v>
      </c>
      <c r="AS368" s="464" t="s">
        <v>2290</v>
      </c>
      <c r="AT368" s="381">
        <v>1.274E-2</v>
      </c>
      <c r="AV368" s="464"/>
      <c r="AW368" s="465"/>
    </row>
    <row r="369" spans="35:49">
      <c r="AI369" s="464">
        <f t="shared" si="28"/>
        <v>349</v>
      </c>
      <c r="AJ369" s="473">
        <v>43388</v>
      </c>
      <c r="AK369" s="474">
        <v>18803.45</v>
      </c>
      <c r="AL369" s="475">
        <v>-8.9999999999999993E-3</v>
      </c>
      <c r="AM369" s="475">
        <f t="shared" si="30"/>
        <v>-8.9598886865593919E-3</v>
      </c>
      <c r="AN369" s="464"/>
      <c r="AO369" s="464"/>
      <c r="AR369" s="464">
        <f t="shared" si="29"/>
        <v>349</v>
      </c>
      <c r="AS369" s="464" t="s">
        <v>2289</v>
      </c>
      <c r="AT369" s="381">
        <v>1.452E-2</v>
      </c>
      <c r="AV369" s="464"/>
      <c r="AW369" s="465"/>
    </row>
    <row r="370" spans="35:49">
      <c r="AI370" s="464">
        <f t="shared" si="28"/>
        <v>350</v>
      </c>
      <c r="AJ370" s="473">
        <v>43389</v>
      </c>
      <c r="AK370" s="474">
        <v>19149.87</v>
      </c>
      <c r="AL370" s="475">
        <v>1.84E-2</v>
      </c>
      <c r="AM370" s="475">
        <f t="shared" si="30"/>
        <v>1.8423214888757089E-2</v>
      </c>
      <c r="AN370" s="464"/>
      <c r="AO370" s="464"/>
      <c r="AR370" s="464">
        <f t="shared" si="29"/>
        <v>350</v>
      </c>
      <c r="AS370" s="464" t="s">
        <v>2288</v>
      </c>
      <c r="AT370" s="381">
        <v>1.4919999999999999E-2</v>
      </c>
      <c r="AV370" s="464"/>
      <c r="AW370" s="465"/>
    </row>
    <row r="371" spans="35:49">
      <c r="AI371" s="464">
        <f t="shared" si="28"/>
        <v>351</v>
      </c>
      <c r="AJ371" s="473">
        <v>43390</v>
      </c>
      <c r="AK371" s="474">
        <v>19013.97</v>
      </c>
      <c r="AL371" s="475">
        <v>-7.1000000000000004E-3</v>
      </c>
      <c r="AM371" s="475">
        <f t="shared" si="30"/>
        <v>-7.0966539198437095E-3</v>
      </c>
      <c r="AN371" s="464"/>
      <c r="AO371" s="464"/>
      <c r="AR371" s="464">
        <f t="shared" si="29"/>
        <v>351</v>
      </c>
      <c r="AS371" s="464" t="s">
        <v>2287</v>
      </c>
      <c r="AT371" s="381">
        <v>1.4539999999999999E-2</v>
      </c>
      <c r="AV371" s="464"/>
      <c r="AW371" s="465"/>
    </row>
    <row r="372" spans="35:49">
      <c r="AI372" s="464">
        <f t="shared" si="28"/>
        <v>352</v>
      </c>
      <c r="AJ372" s="473">
        <v>43391</v>
      </c>
      <c r="AK372" s="474">
        <v>18961.349999999999</v>
      </c>
      <c r="AL372" s="475">
        <v>-2.8E-3</v>
      </c>
      <c r="AM372" s="475">
        <f t="shared" si="30"/>
        <v>-2.76743888835429E-3</v>
      </c>
      <c r="AN372" s="464"/>
      <c r="AO372" s="464"/>
      <c r="AR372" s="464">
        <f t="shared" si="29"/>
        <v>352</v>
      </c>
      <c r="AS372" s="464" t="s">
        <v>2286</v>
      </c>
      <c r="AT372" s="381">
        <v>1.4290000000000001E-2</v>
      </c>
      <c r="AV372" s="464"/>
      <c r="AW372" s="465"/>
    </row>
    <row r="373" spans="35:49">
      <c r="AI373" s="464">
        <f t="shared" si="28"/>
        <v>353</v>
      </c>
      <c r="AJ373" s="473">
        <v>43392</v>
      </c>
      <c r="AK373" s="474">
        <v>18795.75</v>
      </c>
      <c r="AL373" s="475">
        <v>-8.6999999999999994E-3</v>
      </c>
      <c r="AM373" s="475">
        <f t="shared" si="30"/>
        <v>-8.7335553639376062E-3</v>
      </c>
      <c r="AN373" s="464"/>
      <c r="AO373" s="464"/>
      <c r="AR373" s="464">
        <f t="shared" si="29"/>
        <v>353</v>
      </c>
      <c r="AS373" s="464" t="s">
        <v>2285</v>
      </c>
      <c r="AT373" s="381">
        <v>1.431E-2</v>
      </c>
      <c r="AV373" s="464"/>
      <c r="AW373" s="465"/>
    </row>
    <row r="374" spans="35:49">
      <c r="AI374" s="464">
        <f t="shared" si="28"/>
        <v>354</v>
      </c>
      <c r="AJ374" s="473">
        <v>43395</v>
      </c>
      <c r="AK374" s="474">
        <v>18758.22</v>
      </c>
      <c r="AL374" s="475">
        <v>-2E-3</v>
      </c>
      <c r="AM374" s="475">
        <f t="shared" si="30"/>
        <v>-1.9967279837196372E-3</v>
      </c>
      <c r="AN374" s="464"/>
      <c r="AO374" s="464"/>
      <c r="AR374" s="464">
        <f t="shared" si="29"/>
        <v>354</v>
      </c>
      <c r="AS374" s="464" t="s">
        <v>2284</v>
      </c>
      <c r="AT374" s="381">
        <v>1.406E-2</v>
      </c>
      <c r="AV374" s="464"/>
      <c r="AW374" s="465"/>
    </row>
    <row r="375" spans="35:49">
      <c r="AI375" s="464">
        <f t="shared" si="28"/>
        <v>355</v>
      </c>
      <c r="AJ375" s="473">
        <v>43396</v>
      </c>
      <c r="AK375" s="474">
        <v>18352.12</v>
      </c>
      <c r="AL375" s="475">
        <v>-2.1600000000000001E-2</v>
      </c>
      <c r="AM375" s="475">
        <f t="shared" si="30"/>
        <v>-2.164917566805391E-2</v>
      </c>
      <c r="AN375" s="464"/>
      <c r="AO375" s="464"/>
      <c r="AR375" s="464">
        <f t="shared" si="29"/>
        <v>355</v>
      </c>
      <c r="AS375" s="464" t="s">
        <v>2283</v>
      </c>
      <c r="AT375" s="381">
        <v>1.43E-2</v>
      </c>
      <c r="AV375" s="464"/>
      <c r="AW375" s="465"/>
    </row>
    <row r="376" spans="35:49">
      <c r="AI376" s="464">
        <f t="shared" si="28"/>
        <v>356</v>
      </c>
      <c r="AJ376" s="473">
        <v>43397</v>
      </c>
      <c r="AK376" s="474">
        <v>18406.48</v>
      </c>
      <c r="AL376" s="475">
        <v>3.0000000000000001E-3</v>
      </c>
      <c r="AM376" s="475">
        <f t="shared" si="30"/>
        <v>2.9620556099241302E-3</v>
      </c>
      <c r="AN376" s="464"/>
      <c r="AO376" s="464"/>
      <c r="AR376" s="464">
        <f t="shared" si="29"/>
        <v>356</v>
      </c>
      <c r="AS376" s="464" t="s">
        <v>2282</v>
      </c>
      <c r="AT376" s="381">
        <v>1.444E-2</v>
      </c>
      <c r="AV376" s="464"/>
      <c r="AW376" s="465"/>
    </row>
    <row r="377" spans="35:49">
      <c r="AI377" s="464">
        <f t="shared" si="28"/>
        <v>357</v>
      </c>
      <c r="AJ377" s="473">
        <v>43398</v>
      </c>
      <c r="AK377" s="474">
        <v>18531.53</v>
      </c>
      <c r="AL377" s="475">
        <v>6.7999999999999996E-3</v>
      </c>
      <c r="AM377" s="475">
        <f t="shared" si="30"/>
        <v>6.7938030519685277E-3</v>
      </c>
      <c r="AN377" s="464"/>
      <c r="AO377" s="464"/>
      <c r="AR377" s="464">
        <f t="shared" si="29"/>
        <v>357</v>
      </c>
      <c r="AS377" s="464" t="s">
        <v>2281</v>
      </c>
      <c r="AT377" s="381">
        <v>1.417E-2</v>
      </c>
      <c r="AV377" s="464"/>
      <c r="AW377" s="465"/>
    </row>
    <row r="378" spans="35:49">
      <c r="AI378" s="464">
        <f t="shared" si="28"/>
        <v>358</v>
      </c>
      <c r="AJ378" s="473">
        <v>43399</v>
      </c>
      <c r="AK378" s="474">
        <v>18352.900000000001</v>
      </c>
      <c r="AL378" s="475">
        <v>-9.5999999999999992E-3</v>
      </c>
      <c r="AM378" s="475">
        <f t="shared" si="30"/>
        <v>-9.6392472720815414E-3</v>
      </c>
      <c r="AN378" s="464"/>
      <c r="AO378" s="464"/>
      <c r="AR378" s="464">
        <f t="shared" si="29"/>
        <v>358</v>
      </c>
      <c r="AS378" s="464" t="s">
        <v>2280</v>
      </c>
      <c r="AT378" s="381">
        <v>1.46E-2</v>
      </c>
      <c r="AV378" s="464"/>
      <c r="AW378" s="465"/>
    </row>
    <row r="379" spans="35:49">
      <c r="AI379" s="464">
        <f t="shared" si="28"/>
        <v>359</v>
      </c>
      <c r="AJ379" s="473">
        <v>43402</v>
      </c>
      <c r="AK379" s="474">
        <v>18566.82</v>
      </c>
      <c r="AL379" s="475">
        <v>1.17E-2</v>
      </c>
      <c r="AM379" s="475">
        <f t="shared" si="30"/>
        <v>1.1655923587007955E-2</v>
      </c>
      <c r="AN379" s="464"/>
      <c r="AO379" s="464"/>
      <c r="AR379" s="464">
        <f t="shared" si="29"/>
        <v>359</v>
      </c>
      <c r="AS379" s="464" t="s">
        <v>2279</v>
      </c>
      <c r="AT379" s="381">
        <v>1.4619999999999999E-2</v>
      </c>
      <c r="AV379" s="464"/>
      <c r="AW379" s="465"/>
    </row>
    <row r="380" spans="35:49">
      <c r="AI380" s="464">
        <f t="shared" si="28"/>
        <v>360</v>
      </c>
      <c r="AJ380" s="473">
        <v>43403</v>
      </c>
      <c r="AK380" s="474">
        <v>18667.73</v>
      </c>
      <c r="AL380" s="475">
        <v>5.4000000000000003E-3</v>
      </c>
      <c r="AM380" s="475">
        <f t="shared" si="30"/>
        <v>5.4349640918585074E-3</v>
      </c>
      <c r="AN380" s="464"/>
      <c r="AO380" s="464"/>
      <c r="AR380" s="464">
        <f t="shared" si="29"/>
        <v>360</v>
      </c>
      <c r="AS380" s="464" t="s">
        <v>2278</v>
      </c>
      <c r="AT380" s="381">
        <v>1.4690000000000002E-2</v>
      </c>
      <c r="AV380" s="464"/>
      <c r="AW380" s="465"/>
    </row>
    <row r="381" spans="35:49">
      <c r="AI381" s="464">
        <f t="shared" si="28"/>
        <v>361</v>
      </c>
      <c r="AJ381" s="473">
        <v>43404</v>
      </c>
      <c r="AK381" s="474">
        <v>18917.68</v>
      </c>
      <c r="AL381" s="475">
        <v>1.34E-2</v>
      </c>
      <c r="AM381" s="475">
        <f t="shared" si="30"/>
        <v>1.3389415852918418E-2</v>
      </c>
      <c r="AN381" s="464"/>
      <c r="AO381" s="464"/>
      <c r="AR381" s="464">
        <f t="shared" si="29"/>
        <v>361</v>
      </c>
      <c r="AS381" s="464" t="s">
        <v>2277</v>
      </c>
      <c r="AT381" s="381">
        <v>1.4999999999999999E-2</v>
      </c>
      <c r="AV381" s="464"/>
      <c r="AW381" s="465"/>
    </row>
    <row r="382" spans="35:49">
      <c r="AI382" s="464">
        <f t="shared" si="28"/>
        <v>362</v>
      </c>
      <c r="AJ382" s="473">
        <v>43405</v>
      </c>
      <c r="AK382" s="474">
        <v>19171.93</v>
      </c>
      <c r="AL382" s="475">
        <v>1.34E-2</v>
      </c>
      <c r="AM382" s="475">
        <f t="shared" si="30"/>
        <v>1.3439808686900312E-2</v>
      </c>
      <c r="AN382" s="464"/>
      <c r="AO382" s="464"/>
      <c r="AR382" s="464">
        <f t="shared" si="29"/>
        <v>362</v>
      </c>
      <c r="AS382" s="464" t="s">
        <v>2276</v>
      </c>
      <c r="AT382" s="381">
        <v>1.4830000000000001E-2</v>
      </c>
      <c r="AV382" s="464"/>
      <c r="AW382" s="465"/>
    </row>
    <row r="383" spans="35:49">
      <c r="AI383" s="464">
        <f t="shared" si="28"/>
        <v>363</v>
      </c>
      <c r="AJ383" s="473">
        <v>43406</v>
      </c>
      <c r="AK383" s="474">
        <v>19325.73</v>
      </c>
      <c r="AL383" s="475">
        <v>8.0000000000000002E-3</v>
      </c>
      <c r="AM383" s="475">
        <f t="shared" si="30"/>
        <v>8.0221448753463598E-3</v>
      </c>
      <c r="AN383" s="464"/>
      <c r="AO383" s="464"/>
      <c r="AR383" s="464">
        <f t="shared" si="29"/>
        <v>363</v>
      </c>
      <c r="AS383" s="464" t="s">
        <v>2275</v>
      </c>
      <c r="AT383" s="381">
        <v>1.5029999999999998E-2</v>
      </c>
      <c r="AV383" s="464"/>
      <c r="AW383" s="465"/>
    </row>
    <row r="384" spans="35:49">
      <c r="AI384" s="464">
        <f t="shared" si="28"/>
        <v>364</v>
      </c>
      <c r="AJ384" s="473">
        <v>43409</v>
      </c>
      <c r="AK384" s="474">
        <v>19063.71</v>
      </c>
      <c r="AL384" s="475">
        <v>-1.3599999999999999E-2</v>
      </c>
      <c r="AM384" s="475">
        <f t="shared" si="30"/>
        <v>-1.3558090690493962E-2</v>
      </c>
      <c r="AN384" s="464"/>
      <c r="AO384" s="464"/>
      <c r="AR384" s="464">
        <f t="shared" si="29"/>
        <v>364</v>
      </c>
      <c r="AS384" s="464" t="s">
        <v>2274</v>
      </c>
      <c r="AT384" s="381">
        <v>1.5300000000000001E-2</v>
      </c>
      <c r="AV384" s="464"/>
      <c r="AW384" s="465"/>
    </row>
    <row r="385" spans="35:49">
      <c r="AI385" s="464">
        <f t="shared" si="28"/>
        <v>365</v>
      </c>
      <c r="AJ385" s="473">
        <v>43410</v>
      </c>
      <c r="AK385" s="474">
        <v>19043.650000000001</v>
      </c>
      <c r="AL385" s="475">
        <v>-1.1000000000000001E-3</v>
      </c>
      <c r="AM385" s="475">
        <f t="shared" si="30"/>
        <v>-1.0522610761493079E-3</v>
      </c>
      <c r="AN385" s="464"/>
      <c r="AO385" s="464"/>
      <c r="AR385" s="464">
        <f t="shared" si="29"/>
        <v>365</v>
      </c>
      <c r="AS385" s="464" t="s">
        <v>2273</v>
      </c>
      <c r="AT385" s="381">
        <v>1.4839999999999999E-2</v>
      </c>
      <c r="AV385" s="464"/>
      <c r="AW385" s="465"/>
    </row>
    <row r="386" spans="35:49">
      <c r="AI386" s="464">
        <f t="shared" si="28"/>
        <v>366</v>
      </c>
      <c r="AJ386" s="473">
        <v>43411</v>
      </c>
      <c r="AK386" s="474">
        <v>19147.22</v>
      </c>
      <c r="AL386" s="475">
        <v>5.4000000000000003E-3</v>
      </c>
      <c r="AM386" s="475">
        <f t="shared" si="30"/>
        <v>5.4385582595772863E-3</v>
      </c>
      <c r="AN386" s="464"/>
      <c r="AO386" s="464"/>
      <c r="AR386" s="464">
        <f t="shared" si="29"/>
        <v>366</v>
      </c>
      <c r="AS386" s="464" t="s">
        <v>2272</v>
      </c>
      <c r="AT386" s="381">
        <v>1.536E-2</v>
      </c>
      <c r="AV386" s="464"/>
      <c r="AW386" s="465"/>
    </row>
    <row r="387" spans="35:49">
      <c r="AI387" s="464">
        <f t="shared" si="28"/>
        <v>367</v>
      </c>
      <c r="AJ387" s="473">
        <v>43412</v>
      </c>
      <c r="AK387" s="474">
        <v>19257.080000000002</v>
      </c>
      <c r="AL387" s="475">
        <v>5.7000000000000002E-3</v>
      </c>
      <c r="AM387" s="475">
        <f t="shared" si="30"/>
        <v>5.73764755405759E-3</v>
      </c>
      <c r="AN387" s="464"/>
      <c r="AO387" s="464"/>
      <c r="AR387" s="464">
        <f t="shared" si="29"/>
        <v>367</v>
      </c>
      <c r="AS387" s="464" t="s">
        <v>2271</v>
      </c>
      <c r="AT387" s="381">
        <v>1.5700000000000002E-2</v>
      </c>
      <c r="AV387" s="464"/>
      <c r="AW387" s="465"/>
    </row>
    <row r="388" spans="35:49">
      <c r="AI388" s="464">
        <f t="shared" si="28"/>
        <v>368</v>
      </c>
      <c r="AJ388" s="473">
        <v>43413</v>
      </c>
      <c r="AK388" s="474">
        <v>19106.61</v>
      </c>
      <c r="AL388" s="475">
        <v>-7.7999999999999996E-3</v>
      </c>
      <c r="AM388" s="475">
        <f t="shared" si="30"/>
        <v>-7.8137495404287938E-3</v>
      </c>
      <c r="AN388" s="464"/>
      <c r="AO388" s="464"/>
      <c r="AR388" s="464">
        <f t="shared" si="29"/>
        <v>368</v>
      </c>
      <c r="AS388" s="464" t="s">
        <v>2270</v>
      </c>
      <c r="AT388" s="381">
        <v>1.6109999999999999E-2</v>
      </c>
      <c r="AV388" s="464"/>
      <c r="AW388" s="465"/>
    </row>
    <row r="389" spans="35:49">
      <c r="AI389" s="464">
        <f t="shared" si="28"/>
        <v>369</v>
      </c>
      <c r="AJ389" s="473">
        <v>43416</v>
      </c>
      <c r="AK389" s="474">
        <v>18811.580000000002</v>
      </c>
      <c r="AL389" s="475">
        <v>-1.54E-2</v>
      </c>
      <c r="AM389" s="475">
        <f t="shared" si="30"/>
        <v>-1.5441253053262605E-2</v>
      </c>
      <c r="AN389" s="464"/>
      <c r="AO389" s="464"/>
      <c r="AR389" s="464">
        <f t="shared" si="29"/>
        <v>369</v>
      </c>
      <c r="AS389" s="464" t="s">
        <v>2269</v>
      </c>
      <c r="AT389" s="381">
        <v>1.5859999999999999E-2</v>
      </c>
      <c r="AV389" s="464"/>
      <c r="AW389" s="465"/>
    </row>
    <row r="390" spans="35:49">
      <c r="AI390" s="464">
        <f t="shared" si="28"/>
        <v>370</v>
      </c>
      <c r="AJ390" s="473">
        <v>43417</v>
      </c>
      <c r="AK390" s="474">
        <v>18985.73</v>
      </c>
      <c r="AL390" s="475">
        <v>9.2999999999999992E-3</v>
      </c>
      <c r="AM390" s="475">
        <f t="shared" si="30"/>
        <v>9.2575955873988036E-3</v>
      </c>
      <c r="AN390" s="464"/>
      <c r="AO390" s="464"/>
      <c r="AR390" s="464">
        <f t="shared" si="29"/>
        <v>370</v>
      </c>
      <c r="AS390" s="464" t="s">
        <v>2268</v>
      </c>
      <c r="AT390" s="381">
        <v>1.554E-2</v>
      </c>
      <c r="AV390" s="464"/>
      <c r="AW390" s="465"/>
    </row>
    <row r="391" spans="35:49">
      <c r="AI391" s="464">
        <f t="shared" si="28"/>
        <v>371</v>
      </c>
      <c r="AJ391" s="473">
        <v>43418</v>
      </c>
      <c r="AK391" s="474">
        <v>18910.14</v>
      </c>
      <c r="AL391" s="475">
        <v>-4.0000000000000001E-3</v>
      </c>
      <c r="AM391" s="475">
        <f t="shared" si="30"/>
        <v>-3.9814113020674169E-3</v>
      </c>
      <c r="AN391" s="464"/>
      <c r="AO391" s="464"/>
      <c r="AR391" s="464">
        <f t="shared" si="29"/>
        <v>371</v>
      </c>
      <c r="AS391" s="464" t="s">
        <v>2267</v>
      </c>
      <c r="AT391" s="381">
        <v>1.5569999999999999E-2</v>
      </c>
      <c r="AV391" s="464"/>
      <c r="AW391" s="465"/>
    </row>
    <row r="392" spans="35:49">
      <c r="AI392" s="464">
        <f t="shared" si="28"/>
        <v>372</v>
      </c>
      <c r="AJ392" s="473">
        <v>43419</v>
      </c>
      <c r="AK392" s="474">
        <v>18662.21</v>
      </c>
      <c r="AL392" s="475">
        <v>-1.3100000000000001E-2</v>
      </c>
      <c r="AM392" s="475">
        <f t="shared" si="30"/>
        <v>-1.3110955286423032E-2</v>
      </c>
      <c r="AN392" s="464"/>
      <c r="AO392" s="464"/>
      <c r="AR392" s="464">
        <f t="shared" si="29"/>
        <v>372</v>
      </c>
      <c r="AS392" s="464" t="s">
        <v>2266</v>
      </c>
      <c r="AT392" s="381">
        <v>1.6150000000000001E-2</v>
      </c>
      <c r="AV392" s="464"/>
      <c r="AW392" s="465"/>
    </row>
    <row r="393" spans="35:49">
      <c r="AI393" s="464">
        <f t="shared" si="28"/>
        <v>373</v>
      </c>
      <c r="AJ393" s="473">
        <v>43420</v>
      </c>
      <c r="AK393" s="474">
        <v>18589.09</v>
      </c>
      <c r="AL393" s="475">
        <v>-3.8999999999999998E-3</v>
      </c>
      <c r="AM393" s="475">
        <f t="shared" si="30"/>
        <v>-3.9180782983365692E-3</v>
      </c>
      <c r="AN393" s="464"/>
      <c r="AO393" s="464"/>
      <c r="AR393" s="464">
        <f t="shared" si="29"/>
        <v>373</v>
      </c>
      <c r="AS393" s="464" t="s">
        <v>2265</v>
      </c>
      <c r="AT393" s="381">
        <v>1.6330000000000001E-2</v>
      </c>
      <c r="AV393" s="464"/>
      <c r="AW393" s="465"/>
    </row>
    <row r="394" spans="35:49">
      <c r="AI394" s="464">
        <f t="shared" si="28"/>
        <v>374</v>
      </c>
      <c r="AJ394" s="473">
        <v>43423</v>
      </c>
      <c r="AK394" s="474">
        <v>18540.09</v>
      </c>
      <c r="AL394" s="475">
        <v>-2.5999999999999999E-3</v>
      </c>
      <c r="AM394" s="475">
        <f t="shared" si="30"/>
        <v>-2.6359547454986032E-3</v>
      </c>
      <c r="AN394" s="464"/>
      <c r="AO394" s="464"/>
      <c r="AR394" s="464">
        <f t="shared" si="29"/>
        <v>374</v>
      </c>
      <c r="AS394" s="464" t="s">
        <v>2264</v>
      </c>
      <c r="AT394" s="381">
        <v>1.5949999999999999E-2</v>
      </c>
      <c r="AV394" s="464"/>
      <c r="AW394" s="465"/>
    </row>
    <row r="395" spans="35:49">
      <c r="AI395" s="464">
        <f t="shared" si="28"/>
        <v>375</v>
      </c>
      <c r="AJ395" s="473">
        <v>43424</v>
      </c>
      <c r="AK395" s="474">
        <v>18366.36</v>
      </c>
      <c r="AL395" s="475">
        <v>-9.4000000000000004E-3</v>
      </c>
      <c r="AM395" s="475">
        <f t="shared" si="30"/>
        <v>-9.3705046739255282E-3</v>
      </c>
      <c r="AN395" s="464"/>
      <c r="AO395" s="464"/>
      <c r="AR395" s="464">
        <f t="shared" si="29"/>
        <v>375</v>
      </c>
      <c r="AS395" s="464" t="s">
        <v>2263</v>
      </c>
      <c r="AT395" s="381">
        <v>1.5990000000000001E-2</v>
      </c>
      <c r="AV395" s="464"/>
      <c r="AW395" s="465"/>
    </row>
    <row r="396" spans="35:49">
      <c r="AI396" s="464">
        <f t="shared" si="28"/>
        <v>376</v>
      </c>
      <c r="AJ396" s="473">
        <v>43425</v>
      </c>
      <c r="AK396" s="474">
        <v>18584.939999999999</v>
      </c>
      <c r="AL396" s="475">
        <v>1.1900000000000001E-2</v>
      </c>
      <c r="AM396" s="475">
        <f t="shared" si="30"/>
        <v>1.1901106152770513E-2</v>
      </c>
      <c r="AN396" s="464"/>
      <c r="AO396" s="464"/>
      <c r="AR396" s="464">
        <f t="shared" si="29"/>
        <v>376</v>
      </c>
      <c r="AS396" s="464" t="s">
        <v>2262</v>
      </c>
      <c r="AT396" s="381">
        <v>1.5740000000000001E-2</v>
      </c>
      <c r="AV396" s="464"/>
      <c r="AW396" s="465"/>
    </row>
    <row r="397" spans="35:49">
      <c r="AI397" s="464">
        <f t="shared" si="28"/>
        <v>377</v>
      </c>
      <c r="AJ397" s="473">
        <v>43426</v>
      </c>
      <c r="AK397" s="474">
        <v>18530</v>
      </c>
      <c r="AL397" s="475">
        <v>-3.0000000000000001E-3</v>
      </c>
      <c r="AM397" s="475">
        <f t="shared" si="30"/>
        <v>-2.9561569744104288E-3</v>
      </c>
      <c r="AN397" s="464"/>
      <c r="AO397" s="464"/>
      <c r="AR397" s="464">
        <f t="shared" si="29"/>
        <v>377</v>
      </c>
      <c r="AS397" s="464" t="s">
        <v>2261</v>
      </c>
      <c r="AT397" s="381">
        <v>1.576E-2</v>
      </c>
      <c r="AV397" s="464"/>
      <c r="AW397" s="465"/>
    </row>
    <row r="398" spans="35:49">
      <c r="AI398" s="464">
        <f t="shared" si="28"/>
        <v>378</v>
      </c>
      <c r="AJ398" s="473">
        <v>43427</v>
      </c>
      <c r="AK398" s="474">
        <v>18533.009999999998</v>
      </c>
      <c r="AL398" s="475">
        <v>2.0000000000000001E-4</v>
      </c>
      <c r="AM398" s="475">
        <f t="shared" si="30"/>
        <v>1.6243928764159143E-4</v>
      </c>
      <c r="AN398" s="464"/>
      <c r="AO398" s="464"/>
      <c r="AR398" s="464">
        <f t="shared" si="29"/>
        <v>378</v>
      </c>
      <c r="AS398" s="464" t="s">
        <v>2260</v>
      </c>
      <c r="AT398" s="381">
        <v>1.5890000000000001E-2</v>
      </c>
      <c r="AV398" s="464"/>
      <c r="AW398" s="465"/>
    </row>
    <row r="399" spans="35:49">
      <c r="AI399" s="464">
        <f t="shared" si="28"/>
        <v>379</v>
      </c>
      <c r="AJ399" s="473">
        <v>43430</v>
      </c>
      <c r="AK399" s="474">
        <v>18719.12</v>
      </c>
      <c r="AL399" s="475">
        <v>0.01</v>
      </c>
      <c r="AM399" s="475">
        <f t="shared" si="30"/>
        <v>1.0042081669410452E-2</v>
      </c>
      <c r="AN399" s="464"/>
      <c r="AO399" s="464"/>
      <c r="AR399" s="464">
        <f t="shared" si="29"/>
        <v>379</v>
      </c>
      <c r="AS399" s="464" t="s">
        <v>2259</v>
      </c>
      <c r="AT399" s="381">
        <v>1.529E-2</v>
      </c>
      <c r="AV399" s="464"/>
      <c r="AW399" s="465"/>
    </row>
    <row r="400" spans="35:49">
      <c r="AI400" s="464">
        <f t="shared" si="28"/>
        <v>380</v>
      </c>
      <c r="AJ400" s="473">
        <v>43431</v>
      </c>
      <c r="AK400" s="474">
        <v>18660.89</v>
      </c>
      <c r="AL400" s="475">
        <v>-3.0999999999999999E-3</v>
      </c>
      <c r="AM400" s="475">
        <f t="shared" si="30"/>
        <v>-3.1107231536524615E-3</v>
      </c>
      <c r="AN400" s="464"/>
      <c r="AO400" s="464"/>
      <c r="AR400" s="464">
        <f t="shared" si="29"/>
        <v>380</v>
      </c>
      <c r="AS400" s="464" t="s">
        <v>2258</v>
      </c>
      <c r="AT400" s="381">
        <v>1.5769999999999999E-2</v>
      </c>
      <c r="AV400" s="464"/>
      <c r="AW400" s="465"/>
    </row>
    <row r="401" spans="35:49">
      <c r="AI401" s="464">
        <f t="shared" si="28"/>
        <v>381</v>
      </c>
      <c r="AJ401" s="473">
        <v>43432</v>
      </c>
      <c r="AK401" s="474">
        <v>18639.73</v>
      </c>
      <c r="AL401" s="475">
        <v>-1.1000000000000001E-3</v>
      </c>
      <c r="AM401" s="475">
        <f t="shared" si="30"/>
        <v>-1.1339223370374629E-3</v>
      </c>
      <c r="AN401" s="464"/>
      <c r="AO401" s="464"/>
      <c r="AR401" s="464">
        <f t="shared" si="29"/>
        <v>381</v>
      </c>
      <c r="AS401" s="464" t="s">
        <v>2257</v>
      </c>
      <c r="AT401" s="381">
        <v>1.668E-2</v>
      </c>
      <c r="AV401" s="464"/>
      <c r="AW401" s="465"/>
    </row>
    <row r="402" spans="35:49">
      <c r="AI402" s="464">
        <f t="shared" si="28"/>
        <v>382</v>
      </c>
      <c r="AJ402" s="473">
        <v>43433</v>
      </c>
      <c r="AK402" s="474">
        <v>18609.03</v>
      </c>
      <c r="AL402" s="475">
        <v>-1.6000000000000001E-3</v>
      </c>
      <c r="AM402" s="475">
        <f t="shared" si="30"/>
        <v>-1.6470195651976383E-3</v>
      </c>
      <c r="AN402" s="464"/>
      <c r="AO402" s="464"/>
      <c r="AR402" s="464">
        <f t="shared" si="29"/>
        <v>382</v>
      </c>
      <c r="AS402" s="464" t="s">
        <v>2256</v>
      </c>
      <c r="AT402" s="381">
        <v>1.7250000000000001E-2</v>
      </c>
      <c r="AV402" s="464"/>
      <c r="AW402" s="465"/>
    </row>
    <row r="403" spans="35:49">
      <c r="AI403" s="464">
        <f t="shared" si="28"/>
        <v>383</v>
      </c>
      <c r="AJ403" s="473">
        <v>43434</v>
      </c>
      <c r="AK403" s="474">
        <v>18480.830000000002</v>
      </c>
      <c r="AL403" s="475">
        <v>-6.8999999999999999E-3</v>
      </c>
      <c r="AM403" s="475">
        <f t="shared" si="30"/>
        <v>-6.8891285574796957E-3</v>
      </c>
      <c r="AN403" s="464"/>
      <c r="AO403" s="464"/>
      <c r="AR403" s="464">
        <f t="shared" si="29"/>
        <v>383</v>
      </c>
      <c r="AS403" s="464" t="s">
        <v>2255</v>
      </c>
      <c r="AT403" s="381">
        <v>1.6760000000000001E-2</v>
      </c>
      <c r="AV403" s="464"/>
      <c r="AW403" s="465"/>
    </row>
    <row r="404" spans="35:49">
      <c r="AI404" s="464">
        <f t="shared" si="28"/>
        <v>384</v>
      </c>
      <c r="AJ404" s="473">
        <v>43437</v>
      </c>
      <c r="AK404" s="474">
        <v>18563.849999999999</v>
      </c>
      <c r="AL404" s="475">
        <v>4.4999999999999997E-3</v>
      </c>
      <c r="AM404" s="475">
        <f t="shared" si="30"/>
        <v>4.492222481349506E-3</v>
      </c>
      <c r="AN404" s="464"/>
      <c r="AO404" s="464"/>
      <c r="AR404" s="464">
        <f t="shared" si="29"/>
        <v>384</v>
      </c>
      <c r="AS404" s="464" t="s">
        <v>2254</v>
      </c>
      <c r="AT404" s="381">
        <v>1.7170000000000001E-2</v>
      </c>
      <c r="AV404" s="464"/>
      <c r="AW404" s="465"/>
    </row>
    <row r="405" spans="35:49">
      <c r="AI405" s="464">
        <f t="shared" ref="AI405:AI468" si="31">AI404+1</f>
        <v>385</v>
      </c>
      <c r="AJ405" s="473">
        <v>43438</v>
      </c>
      <c r="AK405" s="474">
        <v>18329.64</v>
      </c>
      <c r="AL405" s="475">
        <v>-1.26E-2</v>
      </c>
      <c r="AM405" s="475">
        <f t="shared" si="30"/>
        <v>-1.2616456176924418E-2</v>
      </c>
      <c r="AN405" s="464"/>
      <c r="AO405" s="464"/>
      <c r="AR405" s="464">
        <f t="shared" ref="AR405:AR468" si="32">AR404+1</f>
        <v>385</v>
      </c>
      <c r="AS405" s="464" t="s">
        <v>2253</v>
      </c>
      <c r="AT405" s="381">
        <v>1.729E-2</v>
      </c>
      <c r="AV405" s="464"/>
      <c r="AW405" s="465"/>
    </row>
    <row r="406" spans="35:49">
      <c r="AI406" s="464">
        <f t="shared" si="31"/>
        <v>386</v>
      </c>
      <c r="AJ406" s="473">
        <v>43439</v>
      </c>
      <c r="AK406" s="474">
        <v>18271.099999999999</v>
      </c>
      <c r="AL406" s="475">
        <v>-3.2000000000000002E-3</v>
      </c>
      <c r="AM406" s="475">
        <f t="shared" ref="AM406:AM469" si="33">AK406/AK405-1</f>
        <v>-3.1937343013829222E-3</v>
      </c>
      <c r="AN406" s="464"/>
      <c r="AO406" s="464"/>
      <c r="AR406" s="464">
        <f t="shared" si="32"/>
        <v>386</v>
      </c>
      <c r="AS406" s="464" t="s">
        <v>2252</v>
      </c>
      <c r="AT406" s="381">
        <v>1.6739999999999998E-2</v>
      </c>
      <c r="AV406" s="464"/>
      <c r="AW406" s="465"/>
    </row>
    <row r="407" spans="35:49">
      <c r="AI407" s="464">
        <f t="shared" si="31"/>
        <v>387</v>
      </c>
      <c r="AJ407" s="473">
        <v>43440</v>
      </c>
      <c r="AK407" s="474">
        <v>17753.310000000001</v>
      </c>
      <c r="AL407" s="475">
        <v>-2.8299999999999999E-2</v>
      </c>
      <c r="AM407" s="475">
        <f t="shared" si="33"/>
        <v>-2.8339289916863075E-2</v>
      </c>
      <c r="AN407" s="464"/>
      <c r="AO407" s="464"/>
      <c r="AR407" s="464">
        <f t="shared" si="32"/>
        <v>387</v>
      </c>
      <c r="AS407" s="464" t="s">
        <v>2251</v>
      </c>
      <c r="AT407" s="381">
        <v>1.634E-2</v>
      </c>
      <c r="AV407" s="464"/>
      <c r="AW407" s="465"/>
    </row>
    <row r="408" spans="35:49">
      <c r="AI408" s="464">
        <f t="shared" si="31"/>
        <v>388</v>
      </c>
      <c r="AJ408" s="473">
        <v>43441</v>
      </c>
      <c r="AK408" s="474">
        <v>17844.11</v>
      </c>
      <c r="AL408" s="475">
        <v>5.1000000000000004E-3</v>
      </c>
      <c r="AM408" s="475">
        <f t="shared" si="33"/>
        <v>5.114539204238433E-3</v>
      </c>
      <c r="AN408" s="464"/>
      <c r="AO408" s="464"/>
      <c r="AR408" s="464">
        <f t="shared" si="32"/>
        <v>388</v>
      </c>
      <c r="AS408" s="464" t="s">
        <v>2250</v>
      </c>
      <c r="AT408" s="381">
        <v>1.636E-2</v>
      </c>
      <c r="AV408" s="464"/>
      <c r="AW408" s="465"/>
    </row>
    <row r="409" spans="35:49">
      <c r="AI409" s="464">
        <f t="shared" si="31"/>
        <v>389</v>
      </c>
      <c r="AJ409" s="473">
        <v>43444</v>
      </c>
      <c r="AK409" s="474">
        <v>17492.310000000001</v>
      </c>
      <c r="AL409" s="475">
        <v>-1.9699999999999999E-2</v>
      </c>
      <c r="AM409" s="475">
        <f t="shared" si="33"/>
        <v>-1.9715188933491223E-2</v>
      </c>
      <c r="AN409" s="464"/>
      <c r="AO409" s="464"/>
      <c r="AR409" s="464">
        <f t="shared" si="32"/>
        <v>389</v>
      </c>
      <c r="AS409" s="464" t="s">
        <v>2249</v>
      </c>
      <c r="AT409" s="381">
        <v>1.61E-2</v>
      </c>
      <c r="AV409" s="464"/>
      <c r="AW409" s="465"/>
    </row>
    <row r="410" spans="35:49">
      <c r="AI410" s="464">
        <f t="shared" si="31"/>
        <v>390</v>
      </c>
      <c r="AJ410" s="473">
        <v>43445</v>
      </c>
      <c r="AK410" s="474">
        <v>17653.259999999998</v>
      </c>
      <c r="AL410" s="475">
        <v>9.1999999999999998E-3</v>
      </c>
      <c r="AM410" s="475">
        <f t="shared" si="33"/>
        <v>9.2011861212153434E-3</v>
      </c>
      <c r="AN410" s="464"/>
      <c r="AO410" s="464"/>
      <c r="AR410" s="464">
        <f t="shared" si="32"/>
        <v>390</v>
      </c>
      <c r="AS410" s="464" t="s">
        <v>2248</v>
      </c>
      <c r="AT410" s="381">
        <v>1.61E-2</v>
      </c>
      <c r="AV410" s="464"/>
      <c r="AW410" s="465"/>
    </row>
    <row r="411" spans="35:49">
      <c r="AI411" s="464">
        <f t="shared" si="31"/>
        <v>391</v>
      </c>
      <c r="AJ411" s="473">
        <v>43446</v>
      </c>
      <c r="AK411" s="474">
        <v>17988.97</v>
      </c>
      <c r="AL411" s="475">
        <v>1.9E-2</v>
      </c>
      <c r="AM411" s="475">
        <f t="shared" si="33"/>
        <v>1.9016884133582268E-2</v>
      </c>
      <c r="AN411" s="464"/>
      <c r="AO411" s="464"/>
      <c r="AR411" s="464">
        <f t="shared" si="32"/>
        <v>391</v>
      </c>
      <c r="AS411" s="464" t="s">
        <v>2247</v>
      </c>
      <c r="AT411" s="381">
        <v>1.576E-2</v>
      </c>
      <c r="AV411" s="464"/>
      <c r="AW411" s="465"/>
    </row>
    <row r="412" spans="35:49">
      <c r="AI412" s="464">
        <f t="shared" si="31"/>
        <v>392</v>
      </c>
      <c r="AJ412" s="473">
        <v>43447</v>
      </c>
      <c r="AK412" s="474">
        <v>17818.560000000001</v>
      </c>
      <c r="AL412" s="475">
        <v>-9.4999999999999998E-3</v>
      </c>
      <c r="AM412" s="475">
        <f t="shared" si="33"/>
        <v>-9.4730270827068086E-3</v>
      </c>
      <c r="AN412" s="464"/>
      <c r="AO412" s="464"/>
      <c r="AR412" s="464">
        <f t="shared" si="32"/>
        <v>392</v>
      </c>
      <c r="AS412" s="464" t="s">
        <v>2246</v>
      </c>
      <c r="AT412" s="381">
        <v>1.541E-2</v>
      </c>
      <c r="AV412" s="464"/>
      <c r="AW412" s="465"/>
    </row>
    <row r="413" spans="35:49">
      <c r="AI413" s="464">
        <f t="shared" si="31"/>
        <v>393</v>
      </c>
      <c r="AJ413" s="473">
        <v>43448</v>
      </c>
      <c r="AK413" s="474">
        <v>17666.91</v>
      </c>
      <c r="AL413" s="475">
        <v>-8.5000000000000006E-3</v>
      </c>
      <c r="AM413" s="475">
        <f t="shared" si="33"/>
        <v>-8.5107887506061797E-3</v>
      </c>
      <c r="AN413" s="464"/>
      <c r="AO413" s="464"/>
      <c r="AR413" s="464">
        <f t="shared" si="32"/>
        <v>393</v>
      </c>
      <c r="AS413" s="464" t="s">
        <v>2245</v>
      </c>
      <c r="AT413" s="381">
        <v>1.5789999999999998E-2</v>
      </c>
      <c r="AV413" s="464"/>
      <c r="AW413" s="465"/>
    </row>
    <row r="414" spans="35:49">
      <c r="AI414" s="464">
        <f t="shared" si="31"/>
        <v>394</v>
      </c>
      <c r="AJ414" s="473">
        <v>43451</v>
      </c>
      <c r="AK414" s="474">
        <v>17416.96</v>
      </c>
      <c r="AL414" s="475">
        <v>-1.41E-2</v>
      </c>
      <c r="AM414" s="475">
        <f t="shared" si="33"/>
        <v>-1.4147918339992738E-2</v>
      </c>
      <c r="AN414" s="464"/>
      <c r="AO414" s="464"/>
      <c r="AR414" s="464">
        <f t="shared" si="32"/>
        <v>394</v>
      </c>
      <c r="AS414" s="464" t="s">
        <v>2244</v>
      </c>
      <c r="AT414" s="381">
        <v>1.529E-2</v>
      </c>
      <c r="AV414" s="464"/>
      <c r="AW414" s="465"/>
    </row>
    <row r="415" spans="35:49">
      <c r="AI415" s="464">
        <f t="shared" si="31"/>
        <v>395</v>
      </c>
      <c r="AJ415" s="473">
        <v>43452</v>
      </c>
      <c r="AK415" s="474">
        <v>17495.04</v>
      </c>
      <c r="AL415" s="475">
        <v>4.4999999999999997E-3</v>
      </c>
      <c r="AM415" s="475">
        <f t="shared" si="33"/>
        <v>4.4829866980231614E-3</v>
      </c>
      <c r="AN415" s="464"/>
      <c r="AO415" s="464"/>
      <c r="AR415" s="464">
        <f t="shared" si="32"/>
        <v>395</v>
      </c>
      <c r="AS415" s="464" t="s">
        <v>2243</v>
      </c>
      <c r="AT415" s="381">
        <v>1.4710000000000001E-2</v>
      </c>
      <c r="AV415" s="464"/>
      <c r="AW415" s="465"/>
    </row>
    <row r="416" spans="35:49">
      <c r="AI416" s="464">
        <f t="shared" si="31"/>
        <v>396</v>
      </c>
      <c r="AJ416" s="473">
        <v>43453</v>
      </c>
      <c r="AK416" s="474">
        <v>17604.5</v>
      </c>
      <c r="AL416" s="475">
        <v>6.3E-3</v>
      </c>
      <c r="AM416" s="475">
        <f t="shared" si="33"/>
        <v>6.2566304506876946E-3</v>
      </c>
      <c r="AN416" s="464"/>
      <c r="AO416" s="464"/>
      <c r="AR416" s="464">
        <f t="shared" si="32"/>
        <v>396</v>
      </c>
      <c r="AS416" s="464" t="s">
        <v>2242</v>
      </c>
      <c r="AT416" s="381">
        <v>1.4570000000000001E-2</v>
      </c>
      <c r="AV416" s="464"/>
      <c r="AW416" s="465"/>
    </row>
    <row r="417" spans="35:49">
      <c r="AI417" s="464">
        <f t="shared" si="31"/>
        <v>397</v>
      </c>
      <c r="AJ417" s="473">
        <v>43454</v>
      </c>
      <c r="AK417" s="474">
        <v>17446.939999999999</v>
      </c>
      <c r="AL417" s="475">
        <v>-8.9999999999999993E-3</v>
      </c>
      <c r="AM417" s="475">
        <f t="shared" si="33"/>
        <v>-8.9499843789940803E-3</v>
      </c>
      <c r="AN417" s="464"/>
      <c r="AO417" s="464"/>
      <c r="AR417" s="464">
        <f t="shared" si="32"/>
        <v>397</v>
      </c>
      <c r="AS417" s="464" t="s">
        <v>2241</v>
      </c>
      <c r="AT417" s="381">
        <v>1.443E-2</v>
      </c>
      <c r="AV417" s="464"/>
      <c r="AW417" s="465"/>
    </row>
    <row r="418" spans="35:49">
      <c r="AI418" s="464">
        <f t="shared" si="31"/>
        <v>398</v>
      </c>
      <c r="AJ418" s="473">
        <v>43455</v>
      </c>
      <c r="AK418" s="474">
        <v>17442.98</v>
      </c>
      <c r="AL418" s="475">
        <v>-2.0000000000000001E-4</v>
      </c>
      <c r="AM418" s="475">
        <f t="shared" si="33"/>
        <v>-2.2697389914783095E-4</v>
      </c>
      <c r="AN418" s="464"/>
      <c r="AO418" s="464"/>
      <c r="AR418" s="464">
        <f t="shared" si="32"/>
        <v>398</v>
      </c>
      <c r="AS418" s="464" t="s">
        <v>2240</v>
      </c>
      <c r="AT418" s="381">
        <v>1.387E-2</v>
      </c>
      <c r="AV418" s="464"/>
      <c r="AW418" s="465"/>
    </row>
    <row r="419" spans="35:49">
      <c r="AI419" s="464">
        <f t="shared" si="31"/>
        <v>399</v>
      </c>
      <c r="AJ419" s="473">
        <v>43458</v>
      </c>
      <c r="AK419" s="474">
        <v>17312.18</v>
      </c>
      <c r="AL419" s="475">
        <v>-7.4999999999999997E-3</v>
      </c>
      <c r="AM419" s="475">
        <f t="shared" si="33"/>
        <v>-7.4987186822434992E-3</v>
      </c>
      <c r="AN419" s="464"/>
      <c r="AO419" s="464"/>
      <c r="AR419" s="464">
        <f t="shared" si="32"/>
        <v>399</v>
      </c>
      <c r="AS419" s="464" t="s">
        <v>2239</v>
      </c>
      <c r="AT419" s="381">
        <v>1.3879999999999998E-2</v>
      </c>
      <c r="AV419" s="464"/>
      <c r="AW419" s="465"/>
    </row>
    <row r="420" spans="35:49">
      <c r="AI420" s="464">
        <f t="shared" si="31"/>
        <v>400</v>
      </c>
      <c r="AJ420" s="473">
        <v>43461</v>
      </c>
      <c r="AK420" s="474">
        <v>17090.47</v>
      </c>
      <c r="AL420" s="475">
        <v>-1.2800000000000001E-2</v>
      </c>
      <c r="AM420" s="475">
        <f t="shared" si="33"/>
        <v>-1.2806590504488735E-2</v>
      </c>
      <c r="AN420" s="464"/>
      <c r="AO420" s="464"/>
      <c r="AR420" s="464">
        <f t="shared" si="32"/>
        <v>400</v>
      </c>
      <c r="AS420" s="464" t="s">
        <v>2238</v>
      </c>
      <c r="AT420" s="381">
        <v>1.401E-2</v>
      </c>
      <c r="AV420" s="464"/>
      <c r="AW420" s="465"/>
    </row>
    <row r="421" spans="35:49">
      <c r="AI421" s="464">
        <f t="shared" si="31"/>
        <v>401</v>
      </c>
      <c r="AJ421" s="473">
        <v>43462</v>
      </c>
      <c r="AK421" s="474">
        <v>17465.05</v>
      </c>
      <c r="AL421" s="475">
        <v>2.1899999999999999E-2</v>
      </c>
      <c r="AM421" s="475">
        <f t="shared" si="33"/>
        <v>2.1917477986269418E-2</v>
      </c>
      <c r="AN421" s="464"/>
      <c r="AO421" s="464"/>
      <c r="AR421" s="464">
        <f t="shared" si="32"/>
        <v>401</v>
      </c>
      <c r="AS421" s="464" t="s">
        <v>2237</v>
      </c>
      <c r="AT421" s="381">
        <v>1.3999999999999999E-2</v>
      </c>
      <c r="AV421" s="464"/>
      <c r="AW421" s="465"/>
    </row>
    <row r="422" spans="35:49">
      <c r="AI422" s="464">
        <f t="shared" si="31"/>
        <v>402</v>
      </c>
      <c r="AJ422" s="473">
        <v>43465</v>
      </c>
      <c r="AK422" s="474">
        <v>17502.05</v>
      </c>
      <c r="AL422" s="475">
        <v>2.0999999999999999E-3</v>
      </c>
      <c r="AM422" s="475">
        <f t="shared" si="33"/>
        <v>2.1185166947703671E-3</v>
      </c>
      <c r="AN422" s="464"/>
      <c r="AO422" s="464"/>
      <c r="AR422" s="464">
        <f t="shared" si="32"/>
        <v>402</v>
      </c>
      <c r="AS422" s="464" t="s">
        <v>2236</v>
      </c>
      <c r="AT422" s="381">
        <v>1.4370000000000001E-2</v>
      </c>
      <c r="AV422" s="464"/>
      <c r="AW422" s="465"/>
    </row>
    <row r="423" spans="35:49">
      <c r="AI423" s="464">
        <f t="shared" si="31"/>
        <v>403</v>
      </c>
      <c r="AJ423" s="473">
        <v>43467</v>
      </c>
      <c r="AK423" s="474">
        <v>17586.7</v>
      </c>
      <c r="AL423" s="475">
        <v>4.7999999999999996E-3</v>
      </c>
      <c r="AM423" s="475">
        <f t="shared" si="33"/>
        <v>4.8365762867779161E-3</v>
      </c>
      <c r="AN423" s="464"/>
      <c r="AO423" s="464"/>
      <c r="AR423" s="464">
        <f t="shared" si="32"/>
        <v>403</v>
      </c>
      <c r="AS423" s="464" t="s">
        <v>2235</v>
      </c>
      <c r="AT423" s="381">
        <v>1.4530000000000001E-2</v>
      </c>
      <c r="AV423" s="464"/>
      <c r="AW423" s="465"/>
    </row>
    <row r="424" spans="35:49">
      <c r="AI424" s="464">
        <f t="shared" si="31"/>
        <v>404</v>
      </c>
      <c r="AJ424" s="473">
        <v>43468</v>
      </c>
      <c r="AK424" s="474">
        <v>17438.91</v>
      </c>
      <c r="AL424" s="475">
        <v>-8.3999999999999995E-3</v>
      </c>
      <c r="AM424" s="475">
        <f t="shared" si="33"/>
        <v>-8.4035094702247237E-3</v>
      </c>
      <c r="AN424" s="464"/>
      <c r="AO424" s="464"/>
      <c r="AR424" s="464">
        <f t="shared" si="32"/>
        <v>404</v>
      </c>
      <c r="AS424" s="464" t="s">
        <v>2234</v>
      </c>
      <c r="AT424" s="381">
        <v>1.494E-2</v>
      </c>
      <c r="AV424" s="464"/>
      <c r="AW424" s="465"/>
    </row>
    <row r="425" spans="35:49">
      <c r="AI425" s="464">
        <f t="shared" si="31"/>
        <v>405</v>
      </c>
      <c r="AJ425" s="473">
        <v>43469</v>
      </c>
      <c r="AK425" s="474">
        <v>17795.88</v>
      </c>
      <c r="AL425" s="475">
        <v>2.0500000000000001E-2</v>
      </c>
      <c r="AM425" s="475">
        <f t="shared" si="33"/>
        <v>2.0469742661668677E-2</v>
      </c>
      <c r="AN425" s="464"/>
      <c r="AO425" s="464"/>
      <c r="AR425" s="464">
        <f t="shared" si="32"/>
        <v>405</v>
      </c>
      <c r="AS425" s="464" t="s">
        <v>2233</v>
      </c>
      <c r="AT425" s="381">
        <v>1.4950000000000001E-2</v>
      </c>
      <c r="AV425" s="464"/>
      <c r="AW425" s="465"/>
    </row>
    <row r="426" spans="35:49">
      <c r="AI426" s="464">
        <f t="shared" si="31"/>
        <v>406</v>
      </c>
      <c r="AJ426" s="473">
        <v>43472</v>
      </c>
      <c r="AK426" s="474">
        <v>17976.150000000001</v>
      </c>
      <c r="AL426" s="475">
        <v>1.01E-2</v>
      </c>
      <c r="AM426" s="475">
        <f t="shared" si="33"/>
        <v>1.0129872757065117E-2</v>
      </c>
      <c r="AN426" s="464"/>
      <c r="AO426" s="464"/>
      <c r="AR426" s="464">
        <f t="shared" si="32"/>
        <v>406</v>
      </c>
      <c r="AS426" s="464" t="s">
        <v>2232</v>
      </c>
      <c r="AT426" s="381">
        <v>1.5009999999999999E-2</v>
      </c>
      <c r="AV426" s="464"/>
      <c r="AW426" s="465"/>
    </row>
    <row r="427" spans="35:49">
      <c r="AI427" s="464">
        <f t="shared" si="31"/>
        <v>407</v>
      </c>
      <c r="AJ427" s="473">
        <v>43473</v>
      </c>
      <c r="AK427" s="474">
        <v>18175.79</v>
      </c>
      <c r="AL427" s="475">
        <v>1.11E-2</v>
      </c>
      <c r="AM427" s="475">
        <f t="shared" si="33"/>
        <v>1.1105826330999546E-2</v>
      </c>
      <c r="AN427" s="464"/>
      <c r="AO427" s="464"/>
      <c r="AR427" s="464">
        <f t="shared" si="32"/>
        <v>407</v>
      </c>
      <c r="AS427" s="464" t="s">
        <v>2231</v>
      </c>
      <c r="AT427" s="381">
        <v>1.538E-2</v>
      </c>
      <c r="AV427" s="464"/>
      <c r="AW427" s="465"/>
    </row>
    <row r="428" spans="35:49">
      <c r="AI428" s="464">
        <f t="shared" si="31"/>
        <v>408</v>
      </c>
      <c r="AJ428" s="473">
        <v>43474</v>
      </c>
      <c r="AK428" s="474">
        <v>18413.71</v>
      </c>
      <c r="AL428" s="475">
        <v>1.3100000000000001E-2</v>
      </c>
      <c r="AM428" s="475">
        <f t="shared" si="33"/>
        <v>1.3089939969596731E-2</v>
      </c>
      <c r="AN428" s="464"/>
      <c r="AO428" s="464"/>
      <c r="AR428" s="464">
        <f t="shared" si="32"/>
        <v>408</v>
      </c>
      <c r="AS428" s="464" t="s">
        <v>2230</v>
      </c>
      <c r="AT428" s="381">
        <v>1.532E-2</v>
      </c>
      <c r="AV428" s="464"/>
      <c r="AW428" s="465"/>
    </row>
    <row r="429" spans="35:49">
      <c r="AI429" s="464">
        <f t="shared" si="31"/>
        <v>409</v>
      </c>
      <c r="AJ429" s="473">
        <v>43475</v>
      </c>
      <c r="AK429" s="474">
        <v>18435.62</v>
      </c>
      <c r="AL429" s="475">
        <v>1.1999999999999999E-3</v>
      </c>
      <c r="AM429" s="475">
        <f t="shared" si="33"/>
        <v>1.1898742838896137E-3</v>
      </c>
      <c r="AN429" s="464"/>
      <c r="AO429" s="464"/>
      <c r="AR429" s="464">
        <f t="shared" si="32"/>
        <v>409</v>
      </c>
      <c r="AS429" s="464" t="s">
        <v>2229</v>
      </c>
      <c r="AT429" s="381">
        <v>1.567E-2</v>
      </c>
      <c r="AV429" s="464"/>
      <c r="AW429" s="465"/>
    </row>
    <row r="430" spans="35:49">
      <c r="AI430" s="464">
        <f t="shared" si="31"/>
        <v>410</v>
      </c>
      <c r="AJ430" s="473">
        <v>43476</v>
      </c>
      <c r="AK430" s="474">
        <v>18542.310000000001</v>
      </c>
      <c r="AL430" s="475">
        <v>5.7999999999999996E-3</v>
      </c>
      <c r="AM430" s="475">
        <f t="shared" si="33"/>
        <v>5.787166365980756E-3</v>
      </c>
      <c r="AN430" s="464"/>
      <c r="AO430" s="464"/>
      <c r="AR430" s="464">
        <f t="shared" si="32"/>
        <v>410</v>
      </c>
      <c r="AS430" s="464" t="s">
        <v>2228</v>
      </c>
      <c r="AT430" s="381">
        <v>1.4919999999999999E-2</v>
      </c>
      <c r="AV430" s="464"/>
      <c r="AW430" s="465"/>
    </row>
    <row r="431" spans="35:49">
      <c r="AI431" s="464">
        <f t="shared" si="31"/>
        <v>411</v>
      </c>
      <c r="AJ431" s="473">
        <v>43479</v>
      </c>
      <c r="AK431" s="474">
        <v>18417.580000000002</v>
      </c>
      <c r="AL431" s="475">
        <v>-6.7000000000000002E-3</v>
      </c>
      <c r="AM431" s="475">
        <f t="shared" si="33"/>
        <v>-6.7267778394385358E-3</v>
      </c>
      <c r="AN431" s="464"/>
      <c r="AO431" s="464"/>
      <c r="AR431" s="464">
        <f t="shared" si="32"/>
        <v>411</v>
      </c>
      <c r="AS431" s="464" t="s">
        <v>2227</v>
      </c>
      <c r="AT431" s="381">
        <v>1.4930000000000001E-2</v>
      </c>
      <c r="AV431" s="464"/>
      <c r="AW431" s="465"/>
    </row>
    <row r="432" spans="35:49">
      <c r="AI432" s="464">
        <f t="shared" si="31"/>
        <v>412</v>
      </c>
      <c r="AJ432" s="473">
        <v>43480</v>
      </c>
      <c r="AK432" s="474">
        <v>18429.77</v>
      </c>
      <c r="AL432" s="475">
        <v>6.9999999999999999E-4</v>
      </c>
      <c r="AM432" s="475">
        <f t="shared" si="33"/>
        <v>6.618676286460623E-4</v>
      </c>
      <c r="AN432" s="464"/>
      <c r="AO432" s="464"/>
      <c r="AR432" s="464">
        <f t="shared" si="32"/>
        <v>412</v>
      </c>
      <c r="AS432" s="464" t="s">
        <v>2226</v>
      </c>
      <c r="AT432" s="381">
        <v>1.4530000000000001E-2</v>
      </c>
      <c r="AV432" s="464"/>
      <c r="AW432" s="465"/>
    </row>
    <row r="433" spans="35:49">
      <c r="AI433" s="464">
        <f t="shared" si="31"/>
        <v>413</v>
      </c>
      <c r="AJ433" s="473">
        <v>43481</v>
      </c>
      <c r="AK433" s="474">
        <v>18486.73</v>
      </c>
      <c r="AL433" s="475">
        <v>3.0999999999999999E-3</v>
      </c>
      <c r="AM433" s="475">
        <f t="shared" si="33"/>
        <v>3.0906517010249601E-3</v>
      </c>
      <c r="AN433" s="464"/>
      <c r="AO433" s="464"/>
      <c r="AR433" s="464">
        <f t="shared" si="32"/>
        <v>413</v>
      </c>
      <c r="AS433" s="464" t="s">
        <v>2225</v>
      </c>
      <c r="AT433" s="381">
        <v>1.5220000000000001E-2</v>
      </c>
      <c r="AV433" s="464"/>
      <c r="AW433" s="465"/>
    </row>
    <row r="434" spans="35:49">
      <c r="AI434" s="464">
        <f t="shared" si="31"/>
        <v>414</v>
      </c>
      <c r="AJ434" s="473">
        <v>43482</v>
      </c>
      <c r="AK434" s="474">
        <v>18537.32</v>
      </c>
      <c r="AL434" s="475">
        <v>2.7000000000000001E-3</v>
      </c>
      <c r="AM434" s="475">
        <f t="shared" si="33"/>
        <v>2.7365575199074232E-3</v>
      </c>
      <c r="AN434" s="464"/>
      <c r="AO434" s="464"/>
      <c r="AR434" s="464">
        <f t="shared" si="32"/>
        <v>414</v>
      </c>
      <c r="AS434" s="464" t="s">
        <v>2224</v>
      </c>
      <c r="AT434" s="381">
        <v>1.508E-2</v>
      </c>
      <c r="AV434" s="464"/>
      <c r="AW434" s="465"/>
    </row>
    <row r="435" spans="35:49">
      <c r="AI435" s="464">
        <f t="shared" si="31"/>
        <v>415</v>
      </c>
      <c r="AJ435" s="473">
        <v>43483</v>
      </c>
      <c r="AK435" s="474">
        <v>18764.47</v>
      </c>
      <c r="AL435" s="475">
        <v>1.23E-2</v>
      </c>
      <c r="AM435" s="475">
        <f t="shared" si="33"/>
        <v>1.2253659104983994E-2</v>
      </c>
      <c r="AN435" s="464"/>
      <c r="AO435" s="464"/>
      <c r="AR435" s="464">
        <f t="shared" si="32"/>
        <v>415</v>
      </c>
      <c r="AS435" s="464" t="s">
        <v>2223</v>
      </c>
      <c r="AT435" s="381">
        <v>1.37E-2</v>
      </c>
      <c r="AV435" s="464"/>
      <c r="AW435" s="465"/>
    </row>
    <row r="436" spans="35:49">
      <c r="AI436" s="464">
        <f t="shared" si="31"/>
        <v>416</v>
      </c>
      <c r="AJ436" s="473">
        <v>43486</v>
      </c>
      <c r="AK436" s="474">
        <v>18762.830000000002</v>
      </c>
      <c r="AL436" s="475">
        <v>-1E-4</v>
      </c>
      <c r="AM436" s="475">
        <f t="shared" si="33"/>
        <v>-8.7399217777006655E-5</v>
      </c>
      <c r="AN436" s="464"/>
      <c r="AO436" s="464"/>
      <c r="AR436" s="464">
        <f t="shared" si="32"/>
        <v>416</v>
      </c>
      <c r="AS436" s="464" t="s">
        <v>2222</v>
      </c>
      <c r="AT436" s="381">
        <v>1.4119999999999999E-2</v>
      </c>
      <c r="AV436" s="464"/>
      <c r="AW436" s="465"/>
    </row>
    <row r="437" spans="35:49">
      <c r="AI437" s="464">
        <f t="shared" si="31"/>
        <v>417</v>
      </c>
      <c r="AJ437" s="473">
        <v>43487</v>
      </c>
      <c r="AK437" s="474">
        <v>18681.59</v>
      </c>
      <c r="AL437" s="475">
        <v>-4.3E-3</v>
      </c>
      <c r="AM437" s="475">
        <f t="shared" si="33"/>
        <v>-4.3298372367068794E-3</v>
      </c>
      <c r="AN437" s="464"/>
      <c r="AO437" s="464"/>
      <c r="AR437" s="464">
        <f t="shared" si="32"/>
        <v>417</v>
      </c>
      <c r="AS437" s="464" t="s">
        <v>2221</v>
      </c>
      <c r="AT437" s="381">
        <v>1.414E-2</v>
      </c>
      <c r="AV437" s="464"/>
      <c r="AW437" s="465"/>
    </row>
    <row r="438" spans="35:49">
      <c r="AI438" s="464">
        <f t="shared" si="31"/>
        <v>418</v>
      </c>
      <c r="AJ438" s="473">
        <v>43488</v>
      </c>
      <c r="AK438" s="474">
        <v>18582.86</v>
      </c>
      <c r="AL438" s="475">
        <v>-5.3E-3</v>
      </c>
      <c r="AM438" s="475">
        <f t="shared" si="33"/>
        <v>-5.284882068389285E-3</v>
      </c>
      <c r="AN438" s="464"/>
      <c r="AO438" s="464"/>
      <c r="AR438" s="464">
        <f t="shared" si="32"/>
        <v>418</v>
      </c>
      <c r="AS438" s="464" t="s">
        <v>2220</v>
      </c>
      <c r="AT438" s="381">
        <v>1.414E-2</v>
      </c>
      <c r="AV438" s="464"/>
      <c r="AW438" s="465"/>
    </row>
    <row r="439" spans="35:49">
      <c r="AI439" s="464">
        <f t="shared" si="31"/>
        <v>419</v>
      </c>
      <c r="AJ439" s="473">
        <v>43489</v>
      </c>
      <c r="AK439" s="474">
        <v>18627.63</v>
      </c>
      <c r="AL439" s="475">
        <v>2.3999999999999998E-3</v>
      </c>
      <c r="AM439" s="475">
        <f t="shared" si="33"/>
        <v>2.4092093466776543E-3</v>
      </c>
      <c r="AN439" s="464"/>
      <c r="AO439" s="464"/>
      <c r="AR439" s="464">
        <f t="shared" si="32"/>
        <v>419</v>
      </c>
      <c r="AS439" s="464" t="s">
        <v>2219</v>
      </c>
      <c r="AT439" s="381">
        <v>1.379E-2</v>
      </c>
      <c r="AV439" s="464"/>
      <c r="AW439" s="465"/>
    </row>
    <row r="440" spans="35:49">
      <c r="AI440" s="464">
        <f t="shared" si="31"/>
        <v>420</v>
      </c>
      <c r="AJ440" s="473">
        <v>43490</v>
      </c>
      <c r="AK440" s="474">
        <v>18643.580000000002</v>
      </c>
      <c r="AL440" s="475">
        <v>8.9999999999999998E-4</v>
      </c>
      <c r="AM440" s="475">
        <f t="shared" si="33"/>
        <v>8.5625492883423249E-4</v>
      </c>
      <c r="AN440" s="464"/>
      <c r="AO440" s="464"/>
      <c r="AR440" s="464">
        <f t="shared" si="32"/>
        <v>420</v>
      </c>
      <c r="AS440" s="464" t="s">
        <v>2218</v>
      </c>
      <c r="AT440" s="381">
        <v>1.3849999999999999E-2</v>
      </c>
      <c r="AV440" s="464"/>
      <c r="AW440" s="465"/>
    </row>
    <row r="441" spans="35:49">
      <c r="AI441" s="464">
        <f t="shared" si="31"/>
        <v>421</v>
      </c>
      <c r="AJ441" s="473">
        <v>43493</v>
      </c>
      <c r="AK441" s="474">
        <v>18534.68</v>
      </c>
      <c r="AL441" s="475">
        <v>-5.7999999999999996E-3</v>
      </c>
      <c r="AM441" s="475">
        <f t="shared" si="33"/>
        <v>-5.8411528257985568E-3</v>
      </c>
      <c r="AN441" s="464"/>
      <c r="AO441" s="464"/>
      <c r="AR441" s="464">
        <f t="shared" si="32"/>
        <v>421</v>
      </c>
      <c r="AS441" s="464" t="s">
        <v>2217</v>
      </c>
      <c r="AT441" s="381">
        <v>1.3959999999999998E-2</v>
      </c>
      <c r="AV441" s="464"/>
      <c r="AW441" s="465"/>
    </row>
    <row r="442" spans="35:49">
      <c r="AI442" s="464">
        <f t="shared" si="31"/>
        <v>422</v>
      </c>
      <c r="AJ442" s="473">
        <v>43494</v>
      </c>
      <c r="AK442" s="474">
        <v>18702.61</v>
      </c>
      <c r="AL442" s="475">
        <v>9.1000000000000004E-3</v>
      </c>
      <c r="AM442" s="475">
        <f t="shared" si="33"/>
        <v>9.0603128837400959E-3</v>
      </c>
      <c r="AN442" s="464"/>
      <c r="AO442" s="464"/>
      <c r="AR442" s="464">
        <f t="shared" si="32"/>
        <v>422</v>
      </c>
      <c r="AS442" s="464" t="s">
        <v>2216</v>
      </c>
      <c r="AT442" s="381">
        <v>1.4290000000000001E-2</v>
      </c>
      <c r="AV442" s="464"/>
      <c r="AW442" s="465"/>
    </row>
    <row r="443" spans="35:49">
      <c r="AI443" s="464">
        <f t="shared" si="31"/>
        <v>423</v>
      </c>
      <c r="AJ443" s="473">
        <v>43495</v>
      </c>
      <c r="AK443" s="474">
        <v>18827.97</v>
      </c>
      <c r="AL443" s="475">
        <v>6.7000000000000002E-3</v>
      </c>
      <c r="AM443" s="475">
        <f t="shared" si="33"/>
        <v>6.7028077899287108E-3</v>
      </c>
      <c r="AN443" s="464"/>
      <c r="AO443" s="464"/>
      <c r="AR443" s="464">
        <f t="shared" si="32"/>
        <v>423</v>
      </c>
      <c r="AS443" s="464" t="s">
        <v>2215</v>
      </c>
      <c r="AT443" s="381">
        <v>1.3819999999999999E-2</v>
      </c>
      <c r="AV443" s="464"/>
      <c r="AW443" s="465"/>
    </row>
    <row r="444" spans="35:49">
      <c r="AI444" s="464">
        <f t="shared" si="31"/>
        <v>424</v>
      </c>
      <c r="AJ444" s="473">
        <v>43496</v>
      </c>
      <c r="AK444" s="474">
        <v>18711.75</v>
      </c>
      <c r="AL444" s="475">
        <v>-6.1999999999999998E-3</v>
      </c>
      <c r="AM444" s="475">
        <f t="shared" si="33"/>
        <v>-6.1727313141034523E-3</v>
      </c>
      <c r="AN444" s="464"/>
      <c r="AO444" s="464"/>
      <c r="AR444" s="464">
        <f t="shared" si="32"/>
        <v>424</v>
      </c>
      <c r="AS444" s="464" t="s">
        <v>2214</v>
      </c>
      <c r="AT444" s="381">
        <v>1.41E-2</v>
      </c>
      <c r="AV444" s="464"/>
      <c r="AW444" s="465"/>
    </row>
    <row r="445" spans="35:49">
      <c r="AI445" s="464">
        <f t="shared" si="31"/>
        <v>425</v>
      </c>
      <c r="AJ445" s="473">
        <v>43497</v>
      </c>
      <c r="AK445" s="474">
        <v>18811.37</v>
      </c>
      <c r="AL445" s="475">
        <v>5.3E-3</v>
      </c>
      <c r="AM445" s="475">
        <f t="shared" si="33"/>
        <v>5.3239274787231228E-3</v>
      </c>
      <c r="AN445" s="464"/>
      <c r="AO445" s="464"/>
      <c r="AR445" s="464">
        <f t="shared" si="32"/>
        <v>425</v>
      </c>
      <c r="AS445" s="464" t="s">
        <v>2213</v>
      </c>
      <c r="AT445" s="381">
        <v>1.393E-2</v>
      </c>
      <c r="AV445" s="464"/>
      <c r="AW445" s="465"/>
    </row>
    <row r="446" spans="35:49">
      <c r="AI446" s="464">
        <f t="shared" si="31"/>
        <v>426</v>
      </c>
      <c r="AJ446" s="473">
        <v>43500</v>
      </c>
      <c r="AK446" s="474">
        <v>18848.810000000001</v>
      </c>
      <c r="AL446" s="475">
        <v>2E-3</v>
      </c>
      <c r="AM446" s="475">
        <f t="shared" si="33"/>
        <v>1.9902856623414955E-3</v>
      </c>
      <c r="AN446" s="464"/>
      <c r="AO446" s="464"/>
      <c r="AR446" s="464">
        <f t="shared" si="32"/>
        <v>426</v>
      </c>
      <c r="AS446" s="464" t="s">
        <v>2212</v>
      </c>
      <c r="AT446" s="381">
        <v>1.376E-2</v>
      </c>
      <c r="AV446" s="464"/>
      <c r="AW446" s="465"/>
    </row>
    <row r="447" spans="35:49">
      <c r="AI447" s="464">
        <f t="shared" si="31"/>
        <v>427</v>
      </c>
      <c r="AJ447" s="473">
        <v>43501</v>
      </c>
      <c r="AK447" s="474">
        <v>18996.02</v>
      </c>
      <c r="AL447" s="475">
        <v>7.7999999999999996E-3</v>
      </c>
      <c r="AM447" s="475">
        <f t="shared" si="33"/>
        <v>7.8100421193698644E-3</v>
      </c>
      <c r="AN447" s="464"/>
      <c r="AO447" s="464"/>
      <c r="AR447" s="464">
        <f t="shared" si="32"/>
        <v>427</v>
      </c>
      <c r="AS447" s="464" t="s">
        <v>2211</v>
      </c>
      <c r="AT447" s="381">
        <v>1.3680000000000001E-2</v>
      </c>
      <c r="AV447" s="464"/>
      <c r="AW447" s="465"/>
    </row>
    <row r="448" spans="35:49">
      <c r="AI448" s="464">
        <f t="shared" si="31"/>
        <v>428</v>
      </c>
      <c r="AJ448" s="473">
        <v>43502</v>
      </c>
      <c r="AK448" s="474">
        <v>19073.41</v>
      </c>
      <c r="AL448" s="475">
        <v>4.1000000000000003E-3</v>
      </c>
      <c r="AM448" s="475">
        <f t="shared" si="33"/>
        <v>4.0740112928918659E-3</v>
      </c>
      <c r="AN448" s="464"/>
      <c r="AO448" s="464"/>
      <c r="AR448" s="464">
        <f t="shared" si="32"/>
        <v>428</v>
      </c>
      <c r="AS448" s="464" t="s">
        <v>2210</v>
      </c>
      <c r="AT448" s="381">
        <v>1.3640000000000001E-2</v>
      </c>
      <c r="AV448" s="464"/>
      <c r="AW448" s="465"/>
    </row>
    <row r="449" spans="35:49">
      <c r="AI449" s="464">
        <f t="shared" si="31"/>
        <v>429</v>
      </c>
      <c r="AJ449" s="473">
        <v>43503</v>
      </c>
      <c r="AK449" s="474">
        <v>18799.259999999998</v>
      </c>
      <c r="AL449" s="475">
        <v>-1.44E-2</v>
      </c>
      <c r="AM449" s="475">
        <f t="shared" si="33"/>
        <v>-1.4373413039409422E-2</v>
      </c>
      <c r="AN449" s="464"/>
      <c r="AO449" s="464"/>
      <c r="AR449" s="464">
        <f t="shared" si="32"/>
        <v>429</v>
      </c>
      <c r="AS449" s="464" t="s">
        <v>2209</v>
      </c>
      <c r="AT449" s="381">
        <v>1.3129999999999999E-2</v>
      </c>
      <c r="AV449" s="464"/>
      <c r="AW449" s="465"/>
    </row>
    <row r="450" spans="35:49">
      <c r="AI450" s="464">
        <f t="shared" si="31"/>
        <v>430</v>
      </c>
      <c r="AJ450" s="473">
        <v>43504</v>
      </c>
      <c r="AK450" s="474">
        <v>18652.88</v>
      </c>
      <c r="AL450" s="475">
        <v>-7.7999999999999996E-3</v>
      </c>
      <c r="AM450" s="475">
        <f t="shared" si="33"/>
        <v>-7.7864767017423731E-3</v>
      </c>
      <c r="AN450" s="464"/>
      <c r="AO450" s="464"/>
      <c r="AR450" s="464">
        <f t="shared" si="32"/>
        <v>430</v>
      </c>
      <c r="AS450" s="464" t="s">
        <v>2208</v>
      </c>
      <c r="AT450" s="381">
        <v>1.2809999999999998E-2</v>
      </c>
      <c r="AV450" s="464"/>
      <c r="AW450" s="465"/>
    </row>
    <row r="451" spans="35:49">
      <c r="AI451" s="464">
        <f t="shared" si="31"/>
        <v>431</v>
      </c>
      <c r="AJ451" s="473">
        <v>43507</v>
      </c>
      <c r="AK451" s="474">
        <v>18831.78</v>
      </c>
      <c r="AL451" s="475">
        <v>9.5999999999999992E-3</v>
      </c>
      <c r="AM451" s="475">
        <f t="shared" si="33"/>
        <v>9.5910122190245861E-3</v>
      </c>
      <c r="AN451" s="464"/>
      <c r="AO451" s="464"/>
      <c r="AR451" s="464">
        <f t="shared" si="32"/>
        <v>431</v>
      </c>
      <c r="AS451" s="464" t="s">
        <v>2207</v>
      </c>
      <c r="AT451" s="381">
        <v>1.315E-2</v>
      </c>
      <c r="AV451" s="464"/>
      <c r="AW451" s="465"/>
    </row>
    <row r="452" spans="35:49">
      <c r="AI452" s="464">
        <f t="shared" si="31"/>
        <v>432</v>
      </c>
      <c r="AJ452" s="473">
        <v>43508</v>
      </c>
      <c r="AK452" s="474">
        <v>18824.78</v>
      </c>
      <c r="AL452" s="475">
        <v>-4.0000000000000002E-4</v>
      </c>
      <c r="AM452" s="475">
        <f t="shared" si="33"/>
        <v>-3.7171207395159112E-4</v>
      </c>
      <c r="AN452" s="464"/>
      <c r="AO452" s="464"/>
      <c r="AR452" s="464">
        <f t="shared" si="32"/>
        <v>432</v>
      </c>
      <c r="AS452" s="464" t="s">
        <v>2206</v>
      </c>
      <c r="AT452" s="381">
        <v>1.2450000000000001E-2</v>
      </c>
      <c r="AV452" s="464"/>
      <c r="AW452" s="465"/>
    </row>
    <row r="453" spans="35:49">
      <c r="AI453" s="464">
        <f t="shared" si="31"/>
        <v>433</v>
      </c>
      <c r="AJ453" s="473">
        <v>43509</v>
      </c>
      <c r="AK453" s="474">
        <v>18972.62</v>
      </c>
      <c r="AL453" s="475">
        <v>7.9000000000000008E-3</v>
      </c>
      <c r="AM453" s="475">
        <f t="shared" si="33"/>
        <v>7.8534782345398568E-3</v>
      </c>
      <c r="AN453" s="464"/>
      <c r="AO453" s="464"/>
      <c r="AR453" s="464">
        <f t="shared" si="32"/>
        <v>433</v>
      </c>
      <c r="AS453" s="464" t="s">
        <v>2205</v>
      </c>
      <c r="AT453" s="381">
        <v>1.268E-2</v>
      </c>
      <c r="AV453" s="464"/>
      <c r="AW453" s="465"/>
    </row>
    <row r="454" spans="35:49">
      <c r="AI454" s="464">
        <f t="shared" si="31"/>
        <v>434</v>
      </c>
      <c r="AJ454" s="473">
        <v>43510</v>
      </c>
      <c r="AK454" s="474">
        <v>18898.2</v>
      </c>
      <c r="AL454" s="475">
        <v>-3.8999999999999998E-3</v>
      </c>
      <c r="AM454" s="475">
        <f t="shared" si="33"/>
        <v>-3.922494626466877E-3</v>
      </c>
      <c r="AN454" s="464"/>
      <c r="AO454" s="464"/>
      <c r="AR454" s="464">
        <f t="shared" si="32"/>
        <v>434</v>
      </c>
      <c r="AS454" s="464" t="s">
        <v>2204</v>
      </c>
      <c r="AT454" s="381">
        <v>1.2729999999999998E-2</v>
      </c>
      <c r="AV454" s="464"/>
      <c r="AW454" s="465"/>
    </row>
    <row r="455" spans="35:49">
      <c r="AI455" s="464">
        <f t="shared" si="31"/>
        <v>435</v>
      </c>
      <c r="AJ455" s="473">
        <v>43511</v>
      </c>
      <c r="AK455" s="474">
        <v>18987.23</v>
      </c>
      <c r="AL455" s="475">
        <v>4.7000000000000002E-3</v>
      </c>
      <c r="AM455" s="475">
        <f t="shared" si="33"/>
        <v>4.7110306801705359E-3</v>
      </c>
      <c r="AN455" s="464"/>
      <c r="AO455" s="464"/>
      <c r="AR455" s="464">
        <f t="shared" si="32"/>
        <v>435</v>
      </c>
      <c r="AS455" s="464" t="s">
        <v>2203</v>
      </c>
      <c r="AT455" s="381">
        <v>1.2E-2</v>
      </c>
      <c r="AV455" s="464"/>
      <c r="AW455" s="465"/>
    </row>
    <row r="456" spans="35:49">
      <c r="AI456" s="464">
        <f t="shared" si="31"/>
        <v>436</v>
      </c>
      <c r="AJ456" s="473">
        <v>43514</v>
      </c>
      <c r="AK456" s="474">
        <v>19127.28</v>
      </c>
      <c r="AL456" s="475">
        <v>7.4000000000000003E-3</v>
      </c>
      <c r="AM456" s="475">
        <f t="shared" si="33"/>
        <v>7.3760100867792389E-3</v>
      </c>
      <c r="AN456" s="464"/>
      <c r="AO456" s="464"/>
      <c r="AR456" s="464">
        <f t="shared" si="32"/>
        <v>436</v>
      </c>
      <c r="AS456" s="464" t="s">
        <v>2202</v>
      </c>
      <c r="AT456" s="381">
        <v>1.191E-2</v>
      </c>
      <c r="AV456" s="464"/>
      <c r="AW456" s="465"/>
    </row>
    <row r="457" spans="35:49">
      <c r="AI457" s="464">
        <f t="shared" si="31"/>
        <v>437</v>
      </c>
      <c r="AJ457" s="473">
        <v>43515</v>
      </c>
      <c r="AK457" s="474">
        <v>19068.89</v>
      </c>
      <c r="AL457" s="475">
        <v>-3.0999999999999999E-3</v>
      </c>
      <c r="AM457" s="475">
        <f t="shared" si="33"/>
        <v>-3.0527079647497679E-3</v>
      </c>
      <c r="AN457" s="464"/>
      <c r="AO457" s="464"/>
      <c r="AR457" s="464">
        <f t="shared" si="32"/>
        <v>437</v>
      </c>
      <c r="AS457" s="464" t="s">
        <v>2201</v>
      </c>
      <c r="AT457" s="381">
        <v>1.2769999999999998E-2</v>
      </c>
      <c r="AV457" s="464"/>
      <c r="AW457" s="465"/>
    </row>
    <row r="458" spans="35:49">
      <c r="AI458" s="464">
        <f t="shared" si="31"/>
        <v>438</v>
      </c>
      <c r="AJ458" s="473">
        <v>43516</v>
      </c>
      <c r="AK458" s="474">
        <v>19202.03</v>
      </c>
      <c r="AL458" s="475">
        <v>7.0000000000000001E-3</v>
      </c>
      <c r="AM458" s="475">
        <f t="shared" si="33"/>
        <v>6.982052966900465E-3</v>
      </c>
      <c r="AN458" s="464"/>
      <c r="AO458" s="464"/>
      <c r="AR458" s="464">
        <f t="shared" si="32"/>
        <v>438</v>
      </c>
      <c r="AS458" s="464" t="s">
        <v>2200</v>
      </c>
      <c r="AT458" s="381">
        <v>1.291E-2</v>
      </c>
      <c r="AV458" s="464"/>
      <c r="AW458" s="465"/>
    </row>
    <row r="459" spans="35:49">
      <c r="AI459" s="464">
        <f t="shared" si="31"/>
        <v>439</v>
      </c>
      <c r="AJ459" s="473">
        <v>43517</v>
      </c>
      <c r="AK459" s="474">
        <v>19236.88</v>
      </c>
      <c r="AL459" s="475">
        <v>1.8E-3</v>
      </c>
      <c r="AM459" s="475">
        <f t="shared" si="33"/>
        <v>1.8149122775041882E-3</v>
      </c>
      <c r="AN459" s="464"/>
      <c r="AO459" s="464"/>
      <c r="AR459" s="464">
        <f t="shared" si="32"/>
        <v>439</v>
      </c>
      <c r="AS459" s="464" t="s">
        <v>2199</v>
      </c>
      <c r="AT459" s="381">
        <v>1.2450000000000001E-2</v>
      </c>
      <c r="AV459" s="464"/>
      <c r="AW459" s="465"/>
    </row>
    <row r="460" spans="35:49">
      <c r="AI460" s="464">
        <f t="shared" si="31"/>
        <v>440</v>
      </c>
      <c r="AJ460" s="473">
        <v>43518</v>
      </c>
      <c r="AK460" s="474">
        <v>19269.59</v>
      </c>
      <c r="AL460" s="475">
        <v>1.6999999999999999E-3</v>
      </c>
      <c r="AM460" s="475">
        <f t="shared" si="33"/>
        <v>1.7003796873504839E-3</v>
      </c>
      <c r="AN460" s="464"/>
      <c r="AO460" s="464"/>
      <c r="AR460" s="464">
        <f t="shared" si="32"/>
        <v>440</v>
      </c>
      <c r="AS460" s="464" t="s">
        <v>2198</v>
      </c>
      <c r="AT460" s="381">
        <v>1.2460000000000001E-2</v>
      </c>
      <c r="AV460" s="464"/>
      <c r="AW460" s="465"/>
    </row>
    <row r="461" spans="35:49">
      <c r="AI461" s="464">
        <f t="shared" si="31"/>
        <v>441</v>
      </c>
      <c r="AJ461" s="473">
        <v>43521</v>
      </c>
      <c r="AK461" s="474">
        <v>19246.98</v>
      </c>
      <c r="AL461" s="475">
        <v>-1.1999999999999999E-3</v>
      </c>
      <c r="AM461" s="475">
        <f t="shared" si="33"/>
        <v>-1.1733513790381789E-3</v>
      </c>
      <c r="AN461" s="464"/>
      <c r="AO461" s="464"/>
      <c r="AR461" s="464">
        <f t="shared" si="32"/>
        <v>441</v>
      </c>
      <c r="AS461" s="464" t="s">
        <v>2197</v>
      </c>
      <c r="AT461" s="381">
        <v>1.2659999999999999E-2</v>
      </c>
      <c r="AV461" s="464"/>
      <c r="AW461" s="465"/>
    </row>
    <row r="462" spans="35:49">
      <c r="AI462" s="464">
        <f t="shared" si="31"/>
        <v>442</v>
      </c>
      <c r="AJ462" s="473">
        <v>43522</v>
      </c>
      <c r="AK462" s="474">
        <v>19270.68</v>
      </c>
      <c r="AL462" s="475">
        <v>1.1999999999999999E-3</v>
      </c>
      <c r="AM462" s="475">
        <f t="shared" si="33"/>
        <v>1.2313620110790957E-3</v>
      </c>
      <c r="AN462" s="464"/>
      <c r="AO462" s="464"/>
      <c r="AR462" s="464">
        <f t="shared" si="32"/>
        <v>442</v>
      </c>
      <c r="AS462" s="464" t="s">
        <v>2196</v>
      </c>
      <c r="AT462" s="381">
        <v>1.2809999999999998E-2</v>
      </c>
      <c r="AV462" s="464"/>
      <c r="AW462" s="465"/>
    </row>
    <row r="463" spans="35:49">
      <c r="AI463" s="464">
        <f t="shared" si="31"/>
        <v>443</v>
      </c>
      <c r="AJ463" s="473">
        <v>43523</v>
      </c>
      <c r="AK463" s="474">
        <v>19153.75</v>
      </c>
      <c r="AL463" s="475">
        <v>-6.1000000000000004E-3</v>
      </c>
      <c r="AM463" s="475">
        <f t="shared" si="33"/>
        <v>-6.0677671986666404E-3</v>
      </c>
      <c r="AN463" s="464"/>
      <c r="AO463" s="464"/>
      <c r="AR463" s="464">
        <f t="shared" si="32"/>
        <v>443</v>
      </c>
      <c r="AS463" s="464" t="s">
        <v>2195</v>
      </c>
      <c r="AT463" s="381">
        <v>1.272E-2</v>
      </c>
      <c r="AV463" s="464"/>
      <c r="AW463" s="465"/>
    </row>
    <row r="464" spans="35:49">
      <c r="AI464" s="464">
        <f t="shared" si="31"/>
        <v>444</v>
      </c>
      <c r="AJ464" s="473">
        <v>43524</v>
      </c>
      <c r="AK464" s="474">
        <v>19181.349999999999</v>
      </c>
      <c r="AL464" s="475">
        <v>1.4E-3</v>
      </c>
      <c r="AM464" s="475">
        <f t="shared" si="33"/>
        <v>1.4409710892122618E-3</v>
      </c>
      <c r="AN464" s="464"/>
      <c r="AO464" s="464"/>
      <c r="AR464" s="464">
        <f t="shared" si="32"/>
        <v>444</v>
      </c>
      <c r="AS464" s="464" t="s">
        <v>2194</v>
      </c>
      <c r="AT464" s="381">
        <v>1.268E-2</v>
      </c>
      <c r="AV464" s="464"/>
      <c r="AW464" s="465"/>
    </row>
    <row r="465" spans="35:49">
      <c r="AI465" s="464">
        <f t="shared" si="31"/>
        <v>445</v>
      </c>
      <c r="AJ465" s="473">
        <v>43525</v>
      </c>
      <c r="AK465" s="474">
        <v>19399.650000000001</v>
      </c>
      <c r="AL465" s="475">
        <v>1.14E-2</v>
      </c>
      <c r="AM465" s="475">
        <f t="shared" si="33"/>
        <v>1.138084649933413E-2</v>
      </c>
      <c r="AN465" s="464"/>
      <c r="AO465" s="464"/>
      <c r="AR465" s="464">
        <f t="shared" si="32"/>
        <v>445</v>
      </c>
      <c r="AS465" s="464" t="s">
        <v>2193</v>
      </c>
      <c r="AT465" s="381">
        <v>1.3180000000000001E-2</v>
      </c>
      <c r="AV465" s="464"/>
      <c r="AW465" s="465"/>
    </row>
    <row r="466" spans="35:49">
      <c r="AI466" s="464">
        <f t="shared" si="31"/>
        <v>446</v>
      </c>
      <c r="AJ466" s="473">
        <v>43528</v>
      </c>
      <c r="AK466" s="474">
        <v>19411.43</v>
      </c>
      <c r="AL466" s="475">
        <v>5.9999999999999995E-4</v>
      </c>
      <c r="AM466" s="475">
        <f t="shared" si="33"/>
        <v>6.0722744997976363E-4</v>
      </c>
      <c r="AN466" s="464"/>
      <c r="AO466" s="464"/>
      <c r="AR466" s="464">
        <f t="shared" si="32"/>
        <v>446</v>
      </c>
      <c r="AS466" s="464" t="s">
        <v>2192</v>
      </c>
      <c r="AT466" s="381">
        <v>1.2619999999999999E-2</v>
      </c>
      <c r="AV466" s="464"/>
      <c r="AW466" s="465"/>
    </row>
    <row r="467" spans="35:49">
      <c r="AI467" s="464">
        <f t="shared" si="31"/>
        <v>447</v>
      </c>
      <c r="AJ467" s="473">
        <v>43529</v>
      </c>
      <c r="AK467" s="474">
        <v>19443.14</v>
      </c>
      <c r="AL467" s="475">
        <v>1.6000000000000001E-3</v>
      </c>
      <c r="AM467" s="475">
        <f t="shared" si="33"/>
        <v>1.6335736213148877E-3</v>
      </c>
      <c r="AN467" s="464"/>
      <c r="AO467" s="464"/>
      <c r="AR467" s="464">
        <f t="shared" si="32"/>
        <v>447</v>
      </c>
      <c r="AS467" s="464" t="s">
        <v>2191</v>
      </c>
      <c r="AT467" s="381">
        <v>1.307E-2</v>
      </c>
      <c r="AV467" s="464"/>
      <c r="AW467" s="465"/>
    </row>
    <row r="468" spans="35:49">
      <c r="AI468" s="464">
        <f t="shared" si="31"/>
        <v>448</v>
      </c>
      <c r="AJ468" s="473">
        <v>43530</v>
      </c>
      <c r="AK468" s="474">
        <v>19359.310000000001</v>
      </c>
      <c r="AL468" s="475">
        <v>-4.3E-3</v>
      </c>
      <c r="AM468" s="475">
        <f t="shared" si="33"/>
        <v>-4.3115463860260439E-3</v>
      </c>
      <c r="AN468" s="464"/>
      <c r="AO468" s="464"/>
      <c r="AR468" s="464">
        <f t="shared" si="32"/>
        <v>448</v>
      </c>
      <c r="AS468" s="464" t="s">
        <v>2190</v>
      </c>
      <c r="AT468" s="381">
        <v>1.268E-2</v>
      </c>
      <c r="AV468" s="464"/>
      <c r="AW468" s="465"/>
    </row>
    <row r="469" spans="35:49">
      <c r="AI469" s="464">
        <f t="shared" ref="AI469:AI532" si="34">AI468+1</f>
        <v>449</v>
      </c>
      <c r="AJ469" s="473">
        <v>43531</v>
      </c>
      <c r="AK469" s="474">
        <v>19183.82</v>
      </c>
      <c r="AL469" s="475">
        <v>-9.1000000000000004E-3</v>
      </c>
      <c r="AM469" s="475">
        <f t="shared" si="33"/>
        <v>-9.0648891928484243E-3</v>
      </c>
      <c r="AN469" s="464"/>
      <c r="AO469" s="464"/>
      <c r="AR469" s="464">
        <f t="shared" ref="AR469:AR532" si="35">AR468+1</f>
        <v>449</v>
      </c>
      <c r="AS469" s="464" t="s">
        <v>2189</v>
      </c>
      <c r="AT469" s="381">
        <v>1.269E-2</v>
      </c>
      <c r="AV469" s="464"/>
      <c r="AW469" s="465"/>
    </row>
    <row r="470" spans="35:49">
      <c r="AI470" s="464">
        <f t="shared" si="34"/>
        <v>450</v>
      </c>
      <c r="AJ470" s="473">
        <v>43532</v>
      </c>
      <c r="AK470" s="474">
        <v>19047.669999999998</v>
      </c>
      <c r="AL470" s="475">
        <v>-7.1000000000000004E-3</v>
      </c>
      <c r="AM470" s="475">
        <f t="shared" ref="AM470:AM533" si="36">AK470/AK469-1</f>
        <v>-7.0971266410966294E-3</v>
      </c>
      <c r="AN470" s="464"/>
      <c r="AO470" s="464"/>
      <c r="AR470" s="464">
        <f t="shared" si="35"/>
        <v>450</v>
      </c>
      <c r="AS470" s="464" t="s">
        <v>2188</v>
      </c>
      <c r="AT470" s="381">
        <v>1.2749999999999999E-2</v>
      </c>
      <c r="AV470" s="464"/>
      <c r="AW470" s="465"/>
    </row>
    <row r="471" spans="35:49">
      <c r="AI471" s="464">
        <f t="shared" si="34"/>
        <v>451</v>
      </c>
      <c r="AJ471" s="473">
        <v>43535</v>
      </c>
      <c r="AK471" s="474">
        <v>19093.060000000001</v>
      </c>
      <c r="AL471" s="475">
        <v>2.3999999999999998E-3</v>
      </c>
      <c r="AM471" s="475">
        <f t="shared" si="36"/>
        <v>2.3829686255589788E-3</v>
      </c>
      <c r="AN471" s="464"/>
      <c r="AO471" s="464"/>
      <c r="AR471" s="464">
        <f t="shared" si="35"/>
        <v>451</v>
      </c>
      <c r="AS471" s="464" t="s">
        <v>2187</v>
      </c>
      <c r="AT471" s="381">
        <v>1.21E-2</v>
      </c>
      <c r="AV471" s="464"/>
      <c r="AW471" s="465"/>
    </row>
    <row r="472" spans="35:49">
      <c r="AI472" s="464">
        <f t="shared" si="34"/>
        <v>452</v>
      </c>
      <c r="AJ472" s="473">
        <v>43536</v>
      </c>
      <c r="AK472" s="474">
        <v>19143.96</v>
      </c>
      <c r="AL472" s="475">
        <v>2.7000000000000001E-3</v>
      </c>
      <c r="AM472" s="475">
        <f t="shared" si="36"/>
        <v>2.6658901192369022E-3</v>
      </c>
      <c r="AN472" s="464"/>
      <c r="AO472" s="464"/>
      <c r="AR472" s="464">
        <f t="shared" si="35"/>
        <v>452</v>
      </c>
      <c r="AS472" s="464" t="s">
        <v>2186</v>
      </c>
      <c r="AT472" s="381">
        <v>1.1939999999999999E-2</v>
      </c>
      <c r="AV472" s="464"/>
      <c r="AW472" s="465"/>
    </row>
    <row r="473" spans="35:49">
      <c r="AI473" s="464">
        <f t="shared" si="34"/>
        <v>453</v>
      </c>
      <c r="AJ473" s="473">
        <v>43537</v>
      </c>
      <c r="AK473" s="474">
        <v>19180.09</v>
      </c>
      <c r="AL473" s="475">
        <v>1.9E-3</v>
      </c>
      <c r="AM473" s="475">
        <f t="shared" si="36"/>
        <v>1.8872793298774226E-3</v>
      </c>
      <c r="AN473" s="464"/>
      <c r="AO473" s="464"/>
      <c r="AR473" s="464">
        <f t="shared" si="35"/>
        <v>453</v>
      </c>
      <c r="AS473" s="464" t="s">
        <v>2185</v>
      </c>
      <c r="AT473" s="381">
        <v>1.2760000000000001E-2</v>
      </c>
      <c r="AV473" s="464"/>
      <c r="AW473" s="465"/>
    </row>
    <row r="474" spans="35:49">
      <c r="AI474" s="464">
        <f t="shared" si="34"/>
        <v>454</v>
      </c>
      <c r="AJ474" s="473">
        <v>43538</v>
      </c>
      <c r="AK474" s="474">
        <v>19283.060000000001</v>
      </c>
      <c r="AL474" s="475">
        <v>5.4000000000000003E-3</v>
      </c>
      <c r="AM474" s="475">
        <f t="shared" si="36"/>
        <v>5.3685879471889741E-3</v>
      </c>
      <c r="AN474" s="464"/>
      <c r="AO474" s="464"/>
      <c r="AR474" s="464">
        <f t="shared" si="35"/>
        <v>454</v>
      </c>
      <c r="AS474" s="464" t="s">
        <v>2184</v>
      </c>
      <c r="AT474" s="381">
        <v>1.2789999999999999E-2</v>
      </c>
      <c r="AV474" s="464"/>
      <c r="AW474" s="465"/>
    </row>
    <row r="475" spans="35:49">
      <c r="AI475" s="464">
        <f t="shared" si="34"/>
        <v>455</v>
      </c>
      <c r="AJ475" s="473">
        <v>43539</v>
      </c>
      <c r="AK475" s="474">
        <v>19491.03</v>
      </c>
      <c r="AL475" s="475">
        <v>1.0800000000000001E-2</v>
      </c>
      <c r="AM475" s="475">
        <f t="shared" si="36"/>
        <v>1.0785113980872119E-2</v>
      </c>
      <c r="AN475" s="464"/>
      <c r="AO475" s="464"/>
      <c r="AR475" s="464">
        <f t="shared" si="35"/>
        <v>455</v>
      </c>
      <c r="AS475" s="464" t="s">
        <v>2183</v>
      </c>
      <c r="AT475" s="381">
        <v>1.256E-2</v>
      </c>
      <c r="AV475" s="464"/>
      <c r="AW475" s="465"/>
    </row>
    <row r="476" spans="35:49">
      <c r="AI476" s="464">
        <f t="shared" si="34"/>
        <v>456</v>
      </c>
      <c r="AJ476" s="473">
        <v>43542</v>
      </c>
      <c r="AK476" s="474">
        <v>19486.7</v>
      </c>
      <c r="AL476" s="475">
        <v>-2.0000000000000001E-4</v>
      </c>
      <c r="AM476" s="475">
        <f t="shared" si="36"/>
        <v>-2.2215347264864516E-4</v>
      </c>
      <c r="AN476" s="464"/>
      <c r="AO476" s="464"/>
      <c r="AR476" s="464">
        <f t="shared" si="35"/>
        <v>456</v>
      </c>
      <c r="AS476" s="464" t="s">
        <v>2182</v>
      </c>
      <c r="AT476" s="381">
        <v>1.2709999999999999E-2</v>
      </c>
      <c r="AV476" s="464"/>
      <c r="AW476" s="465"/>
    </row>
    <row r="477" spans="35:49">
      <c r="AI477" s="464">
        <f t="shared" si="34"/>
        <v>457</v>
      </c>
      <c r="AJ477" s="473">
        <v>43543</v>
      </c>
      <c r="AK477" s="474">
        <v>19551.29</v>
      </c>
      <c r="AL477" s="475">
        <v>3.3E-3</v>
      </c>
      <c r="AM477" s="475">
        <f t="shared" si="36"/>
        <v>3.3145683979329821E-3</v>
      </c>
      <c r="AN477" s="464"/>
      <c r="AO477" s="464"/>
      <c r="AR477" s="464">
        <f t="shared" si="35"/>
        <v>457</v>
      </c>
      <c r="AS477" s="464" t="s">
        <v>2181</v>
      </c>
      <c r="AT477" s="381">
        <v>1.261E-2</v>
      </c>
      <c r="AV477" s="464"/>
      <c r="AW477" s="465"/>
    </row>
    <row r="478" spans="35:49">
      <c r="AI478" s="464">
        <f t="shared" si="34"/>
        <v>458</v>
      </c>
      <c r="AJ478" s="473">
        <v>43544</v>
      </c>
      <c r="AK478" s="474">
        <v>19388.98</v>
      </c>
      <c r="AL478" s="475">
        <v>-8.3000000000000001E-3</v>
      </c>
      <c r="AM478" s="475">
        <f t="shared" si="36"/>
        <v>-8.3017540019099112E-3</v>
      </c>
      <c r="AN478" s="464"/>
      <c r="AO478" s="464"/>
      <c r="AR478" s="464">
        <f t="shared" si="35"/>
        <v>458</v>
      </c>
      <c r="AS478" s="464" t="s">
        <v>2180</v>
      </c>
      <c r="AT478" s="381">
        <v>1.2760000000000001E-2</v>
      </c>
      <c r="AV478" s="464"/>
      <c r="AW478" s="465"/>
    </row>
    <row r="479" spans="35:49">
      <c r="AI479" s="464">
        <f t="shared" si="34"/>
        <v>459</v>
      </c>
      <c r="AJ479" s="473">
        <v>43545</v>
      </c>
      <c r="AK479" s="474">
        <v>19347.580000000002</v>
      </c>
      <c r="AL479" s="475">
        <v>-2.0999999999999999E-3</v>
      </c>
      <c r="AM479" s="475">
        <f t="shared" si="36"/>
        <v>-2.1352335192463823E-3</v>
      </c>
      <c r="AN479" s="464"/>
      <c r="AO479" s="464"/>
      <c r="AR479" s="464">
        <f t="shared" si="35"/>
        <v>459</v>
      </c>
      <c r="AS479" s="464" t="s">
        <v>2179</v>
      </c>
      <c r="AT479" s="381">
        <v>1.29E-2</v>
      </c>
      <c r="AV479" s="464"/>
      <c r="AW479" s="465"/>
    </row>
    <row r="480" spans="35:49">
      <c r="AI480" s="464">
        <f t="shared" si="34"/>
        <v>460</v>
      </c>
      <c r="AJ480" s="473">
        <v>43546</v>
      </c>
      <c r="AK480" s="474">
        <v>18998.46</v>
      </c>
      <c r="AL480" s="475">
        <v>-1.7999999999999999E-2</v>
      </c>
      <c r="AM480" s="475">
        <f t="shared" si="36"/>
        <v>-1.8044634005906834E-2</v>
      </c>
      <c r="AN480" s="464"/>
      <c r="AO480" s="464"/>
      <c r="AR480" s="464">
        <f t="shared" si="35"/>
        <v>460</v>
      </c>
      <c r="AS480" s="464" t="s">
        <v>2178</v>
      </c>
      <c r="AT480" s="381">
        <v>1.2960000000000001E-2</v>
      </c>
      <c r="AV480" s="464"/>
      <c r="AW480" s="465"/>
    </row>
    <row r="481" spans="35:49">
      <c r="AI481" s="464">
        <f t="shared" si="34"/>
        <v>461</v>
      </c>
      <c r="AJ481" s="473">
        <v>43549</v>
      </c>
      <c r="AK481" s="474">
        <v>18799.560000000001</v>
      </c>
      <c r="AL481" s="475">
        <v>-1.0500000000000001E-2</v>
      </c>
      <c r="AM481" s="475">
        <f t="shared" si="36"/>
        <v>-1.0469269614484467E-2</v>
      </c>
      <c r="AN481" s="464"/>
      <c r="AO481" s="464"/>
      <c r="AR481" s="464">
        <f t="shared" si="35"/>
        <v>461</v>
      </c>
      <c r="AS481" s="464" t="s">
        <v>2177</v>
      </c>
      <c r="AT481" s="381">
        <v>1.256E-2</v>
      </c>
      <c r="AV481" s="464"/>
      <c r="AW481" s="465"/>
    </row>
    <row r="482" spans="35:49">
      <c r="AI482" s="464">
        <f t="shared" si="34"/>
        <v>462</v>
      </c>
      <c r="AJ482" s="473">
        <v>43550</v>
      </c>
      <c r="AK482" s="474">
        <v>18896.240000000002</v>
      </c>
      <c r="AL482" s="475">
        <v>5.1000000000000004E-3</v>
      </c>
      <c r="AM482" s="475">
        <f t="shared" si="36"/>
        <v>5.1426735519342071E-3</v>
      </c>
      <c r="AN482" s="464"/>
      <c r="AO482" s="464"/>
      <c r="AR482" s="464">
        <f t="shared" si="35"/>
        <v>462</v>
      </c>
      <c r="AS482" s="464" t="s">
        <v>2176</v>
      </c>
      <c r="AT482" s="381">
        <v>1.3100000000000001E-2</v>
      </c>
      <c r="AV482" s="464"/>
      <c r="AW482" s="465"/>
    </row>
    <row r="483" spans="35:49">
      <c r="AI483" s="464">
        <f t="shared" si="34"/>
        <v>463</v>
      </c>
      <c r="AJ483" s="473">
        <v>43551</v>
      </c>
      <c r="AK483" s="474">
        <v>18893.740000000002</v>
      </c>
      <c r="AL483" s="475">
        <v>-1E-4</v>
      </c>
      <c r="AM483" s="475">
        <f t="shared" si="36"/>
        <v>-1.3230145256415415E-4</v>
      </c>
      <c r="AN483" s="464"/>
      <c r="AO483" s="464"/>
      <c r="AR483" s="464">
        <f t="shared" si="35"/>
        <v>463</v>
      </c>
      <c r="AS483" s="464" t="s">
        <v>2175</v>
      </c>
      <c r="AT483" s="381">
        <v>1.336E-2</v>
      </c>
      <c r="AV483" s="464"/>
      <c r="AW483" s="465"/>
    </row>
    <row r="484" spans="35:49">
      <c r="AI484" s="464">
        <f t="shared" si="34"/>
        <v>464</v>
      </c>
      <c r="AJ484" s="473">
        <v>43552</v>
      </c>
      <c r="AK484" s="474">
        <v>18908.59</v>
      </c>
      <c r="AL484" s="475">
        <v>8.0000000000000004E-4</v>
      </c>
      <c r="AM484" s="475">
        <f t="shared" si="36"/>
        <v>7.859746138139112E-4</v>
      </c>
      <c r="AN484" s="464"/>
      <c r="AO484" s="464"/>
      <c r="AR484" s="464">
        <f t="shared" si="35"/>
        <v>464</v>
      </c>
      <c r="AS484" s="464" t="s">
        <v>2174</v>
      </c>
      <c r="AT484" s="381">
        <v>1.3520000000000001E-2</v>
      </c>
      <c r="AV484" s="464"/>
      <c r="AW484" s="465"/>
    </row>
    <row r="485" spans="35:49">
      <c r="AI485" s="464">
        <f t="shared" si="34"/>
        <v>465</v>
      </c>
      <c r="AJ485" s="473">
        <v>43553</v>
      </c>
      <c r="AK485" s="474">
        <v>19117.490000000002</v>
      </c>
      <c r="AL485" s="475">
        <v>1.0999999999999999E-2</v>
      </c>
      <c r="AM485" s="475">
        <f t="shared" si="36"/>
        <v>1.1047888816670071E-2</v>
      </c>
      <c r="AN485" s="464"/>
      <c r="AO485" s="464"/>
      <c r="AR485" s="464">
        <f t="shared" si="35"/>
        <v>465</v>
      </c>
      <c r="AS485" s="464" t="s">
        <v>2173</v>
      </c>
      <c r="AT485" s="381">
        <v>1.3560000000000001E-2</v>
      </c>
      <c r="AV485" s="464"/>
      <c r="AW485" s="465"/>
    </row>
    <row r="486" spans="35:49">
      <c r="AI486" s="464">
        <f t="shared" si="34"/>
        <v>466</v>
      </c>
      <c r="AJ486" s="473">
        <v>43556</v>
      </c>
      <c r="AK486" s="474">
        <v>19238.759999999998</v>
      </c>
      <c r="AL486" s="475">
        <v>6.3E-3</v>
      </c>
      <c r="AM486" s="475">
        <f t="shared" si="36"/>
        <v>6.3434059596734205E-3</v>
      </c>
      <c r="AN486" s="464"/>
      <c r="AO486" s="464"/>
      <c r="AR486" s="464">
        <f t="shared" si="35"/>
        <v>466</v>
      </c>
      <c r="AS486" s="464" t="s">
        <v>2172</v>
      </c>
      <c r="AT486" s="381">
        <v>1.324E-2</v>
      </c>
      <c r="AV486" s="464"/>
      <c r="AW486" s="465"/>
    </row>
    <row r="487" spans="35:49">
      <c r="AI487" s="464">
        <f t="shared" si="34"/>
        <v>467</v>
      </c>
      <c r="AJ487" s="473">
        <v>43557</v>
      </c>
      <c r="AK487" s="474">
        <v>19329.27</v>
      </c>
      <c r="AL487" s="475">
        <v>4.7000000000000002E-3</v>
      </c>
      <c r="AM487" s="475">
        <f t="shared" si="36"/>
        <v>4.7045651590851278E-3</v>
      </c>
      <c r="AN487" s="464"/>
      <c r="AO487" s="464"/>
      <c r="AR487" s="464">
        <f t="shared" si="35"/>
        <v>467</v>
      </c>
      <c r="AS487" s="464" t="s">
        <v>2171</v>
      </c>
      <c r="AT487" s="381">
        <v>1.3229999999999999E-2</v>
      </c>
      <c r="AV487" s="464"/>
      <c r="AW487" s="465"/>
    </row>
    <row r="488" spans="35:49">
      <c r="AI488" s="464">
        <f t="shared" si="34"/>
        <v>468</v>
      </c>
      <c r="AJ488" s="473">
        <v>43558</v>
      </c>
      <c r="AK488" s="474">
        <v>19563.439999999999</v>
      </c>
      <c r="AL488" s="475">
        <v>1.21E-2</v>
      </c>
      <c r="AM488" s="475">
        <f t="shared" si="36"/>
        <v>1.2114787573457075E-2</v>
      </c>
      <c r="AN488" s="464"/>
      <c r="AO488" s="464"/>
      <c r="AR488" s="464">
        <f t="shared" si="35"/>
        <v>468</v>
      </c>
      <c r="AS488" s="464" t="s">
        <v>2170</v>
      </c>
      <c r="AT488" s="381">
        <v>1.3269999999999999E-2</v>
      </c>
      <c r="AV488" s="464"/>
      <c r="AW488" s="465"/>
    </row>
    <row r="489" spans="35:49">
      <c r="AI489" s="464">
        <f t="shared" si="34"/>
        <v>469</v>
      </c>
      <c r="AJ489" s="473">
        <v>43559</v>
      </c>
      <c r="AK489" s="474">
        <v>19507.330000000002</v>
      </c>
      <c r="AL489" s="475">
        <v>-2.8999999999999998E-3</v>
      </c>
      <c r="AM489" s="475">
        <f t="shared" si="36"/>
        <v>-2.8681049958492189E-3</v>
      </c>
      <c r="AN489" s="464"/>
      <c r="AO489" s="464"/>
      <c r="AR489" s="464">
        <f t="shared" si="35"/>
        <v>469</v>
      </c>
      <c r="AS489" s="464" t="s">
        <v>2169</v>
      </c>
      <c r="AT489" s="381">
        <v>1.2659999999999999E-2</v>
      </c>
      <c r="AV489" s="464"/>
      <c r="AW489" s="465"/>
    </row>
    <row r="490" spans="35:49">
      <c r="AI490" s="464">
        <f t="shared" si="34"/>
        <v>470</v>
      </c>
      <c r="AJ490" s="473">
        <v>43560</v>
      </c>
      <c r="AK490" s="474">
        <v>19538.3</v>
      </c>
      <c r="AL490" s="475">
        <v>1.6000000000000001E-3</v>
      </c>
      <c r="AM490" s="475">
        <f t="shared" si="36"/>
        <v>1.5876083502968097E-3</v>
      </c>
      <c r="AN490" s="464"/>
      <c r="AO490" s="464"/>
      <c r="AR490" s="464">
        <f t="shared" si="35"/>
        <v>470</v>
      </c>
      <c r="AS490" s="464" t="s">
        <v>2168</v>
      </c>
      <c r="AT490" s="381">
        <v>1.306E-2</v>
      </c>
      <c r="AV490" s="464"/>
      <c r="AW490" s="465"/>
    </row>
    <row r="491" spans="35:49">
      <c r="AI491" s="464">
        <f t="shared" si="34"/>
        <v>471</v>
      </c>
      <c r="AJ491" s="473">
        <v>43563</v>
      </c>
      <c r="AK491" s="474">
        <v>19517.21</v>
      </c>
      <c r="AL491" s="475">
        <v>-1.1000000000000001E-3</v>
      </c>
      <c r="AM491" s="475">
        <f t="shared" si="36"/>
        <v>-1.0794183731440699E-3</v>
      </c>
      <c r="AN491" s="464"/>
      <c r="AO491" s="464"/>
      <c r="AR491" s="464">
        <f t="shared" si="35"/>
        <v>471</v>
      </c>
      <c r="AS491" s="464" t="s">
        <v>2167</v>
      </c>
      <c r="AT491" s="381">
        <v>1.3089999999999999E-2</v>
      </c>
      <c r="AV491" s="464"/>
      <c r="AW491" s="465"/>
    </row>
    <row r="492" spans="35:49">
      <c r="AI492" s="464">
        <f t="shared" si="34"/>
        <v>472</v>
      </c>
      <c r="AJ492" s="473">
        <v>43564</v>
      </c>
      <c r="AK492" s="474">
        <v>19433.759999999998</v>
      </c>
      <c r="AL492" s="475">
        <v>-4.3E-3</v>
      </c>
      <c r="AM492" s="475">
        <f t="shared" si="36"/>
        <v>-4.2757135881614783E-3</v>
      </c>
      <c r="AN492" s="464"/>
      <c r="AO492" s="464"/>
      <c r="AR492" s="464">
        <f t="shared" si="35"/>
        <v>472</v>
      </c>
      <c r="AS492" s="464" t="s">
        <v>2166</v>
      </c>
      <c r="AT492" s="381">
        <v>1.268E-2</v>
      </c>
      <c r="AV492" s="464"/>
      <c r="AW492" s="465"/>
    </row>
    <row r="493" spans="35:49">
      <c r="AI493" s="464">
        <f t="shared" si="34"/>
        <v>473</v>
      </c>
      <c r="AJ493" s="473">
        <v>43565</v>
      </c>
      <c r="AK493" s="474">
        <v>19484.84</v>
      </c>
      <c r="AL493" s="475">
        <v>2.5999999999999999E-3</v>
      </c>
      <c r="AM493" s="475">
        <f t="shared" si="36"/>
        <v>2.6284157054528023E-3</v>
      </c>
      <c r="AN493" s="464"/>
      <c r="AO493" s="464"/>
      <c r="AR493" s="464">
        <f t="shared" si="35"/>
        <v>473</v>
      </c>
      <c r="AS493" s="464" t="s">
        <v>2165</v>
      </c>
      <c r="AT493" s="381">
        <v>1.269E-2</v>
      </c>
      <c r="AV493" s="464"/>
      <c r="AW493" s="465"/>
    </row>
    <row r="494" spans="35:49">
      <c r="AI494" s="464">
        <f t="shared" si="34"/>
        <v>474</v>
      </c>
      <c r="AJ494" s="473">
        <v>43566</v>
      </c>
      <c r="AK494" s="474">
        <v>19621.18</v>
      </c>
      <c r="AL494" s="475">
        <v>7.0000000000000001E-3</v>
      </c>
      <c r="AM494" s="475">
        <f t="shared" si="36"/>
        <v>6.997234773290506E-3</v>
      </c>
      <c r="AN494" s="464"/>
      <c r="AO494" s="464"/>
      <c r="AR494" s="464">
        <f t="shared" si="35"/>
        <v>474</v>
      </c>
      <c r="AS494" s="464" t="s">
        <v>2164</v>
      </c>
      <c r="AT494" s="381">
        <v>1.2549999999999999E-2</v>
      </c>
      <c r="AV494" s="464"/>
      <c r="AW494" s="465"/>
    </row>
    <row r="495" spans="35:49">
      <c r="AI495" s="464">
        <f t="shared" si="34"/>
        <v>475</v>
      </c>
      <c r="AJ495" s="473">
        <v>43567</v>
      </c>
      <c r="AK495" s="474">
        <v>19711.71</v>
      </c>
      <c r="AL495" s="475">
        <v>4.5999999999999999E-3</v>
      </c>
      <c r="AM495" s="475">
        <f t="shared" si="36"/>
        <v>4.613891723127761E-3</v>
      </c>
      <c r="AN495" s="464"/>
      <c r="AO495" s="464"/>
      <c r="AR495" s="464">
        <f t="shared" si="35"/>
        <v>475</v>
      </c>
      <c r="AS495" s="464" t="s">
        <v>2163</v>
      </c>
      <c r="AT495" s="381">
        <v>1.2199999999999999E-2</v>
      </c>
      <c r="AV495" s="464"/>
      <c r="AW495" s="465"/>
    </row>
    <row r="496" spans="35:49">
      <c r="AI496" s="464">
        <f t="shared" si="34"/>
        <v>476</v>
      </c>
      <c r="AJ496" s="473">
        <v>43570</v>
      </c>
      <c r="AK496" s="474">
        <v>19807.09</v>
      </c>
      <c r="AL496" s="475">
        <v>4.7999999999999996E-3</v>
      </c>
      <c r="AM496" s="475">
        <f t="shared" si="36"/>
        <v>4.8387481349918549E-3</v>
      </c>
      <c r="AN496" s="464"/>
      <c r="AO496" s="464"/>
      <c r="AR496" s="464">
        <f t="shared" si="35"/>
        <v>476</v>
      </c>
      <c r="AS496" s="464" t="s">
        <v>2162</v>
      </c>
      <c r="AT496" s="381">
        <v>1.2490000000000001E-2</v>
      </c>
      <c r="AV496" s="464"/>
      <c r="AW496" s="465"/>
    </row>
    <row r="497" spans="35:49">
      <c r="AI497" s="464">
        <f t="shared" si="34"/>
        <v>477</v>
      </c>
      <c r="AJ497" s="473">
        <v>43571</v>
      </c>
      <c r="AK497" s="474">
        <v>19923.38</v>
      </c>
      <c r="AL497" s="475">
        <v>5.8999999999999999E-3</v>
      </c>
      <c r="AM497" s="475">
        <f t="shared" si="36"/>
        <v>5.8711299842633125E-3</v>
      </c>
      <c r="AN497" s="464"/>
      <c r="AO497" s="464"/>
      <c r="AR497" s="464">
        <f t="shared" si="35"/>
        <v>477</v>
      </c>
      <c r="AS497" s="464" t="s">
        <v>2161</v>
      </c>
      <c r="AT497" s="381">
        <v>1.2509999999999999E-2</v>
      </c>
      <c r="AV497" s="464"/>
      <c r="AW497" s="465"/>
    </row>
    <row r="498" spans="35:49">
      <c r="AI498" s="464">
        <f t="shared" si="34"/>
        <v>478</v>
      </c>
      <c r="AJ498" s="473">
        <v>43572</v>
      </c>
      <c r="AK498" s="474">
        <v>19858.13</v>
      </c>
      <c r="AL498" s="475">
        <v>-3.3E-3</v>
      </c>
      <c r="AM498" s="475">
        <f t="shared" si="36"/>
        <v>-3.2750467039227571E-3</v>
      </c>
      <c r="AN498" s="464"/>
      <c r="AO498" s="464"/>
      <c r="AR498" s="464">
        <f t="shared" si="35"/>
        <v>478</v>
      </c>
      <c r="AS498" s="464" t="s">
        <v>2160</v>
      </c>
      <c r="AT498" s="381">
        <v>1.278E-2</v>
      </c>
      <c r="AV498" s="464"/>
      <c r="AW498" s="465"/>
    </row>
    <row r="499" spans="35:49">
      <c r="AI499" s="464">
        <f t="shared" si="34"/>
        <v>479</v>
      </c>
      <c r="AJ499" s="473">
        <v>43573</v>
      </c>
      <c r="AK499" s="474">
        <v>19835.93</v>
      </c>
      <c r="AL499" s="475">
        <v>-1.1000000000000001E-3</v>
      </c>
      <c r="AM499" s="475">
        <f t="shared" si="36"/>
        <v>-1.1179300367154532E-3</v>
      </c>
      <c r="AN499" s="464"/>
      <c r="AO499" s="464"/>
      <c r="AR499" s="464">
        <f t="shared" si="35"/>
        <v>479</v>
      </c>
      <c r="AS499" s="464" t="s">
        <v>2159</v>
      </c>
      <c r="AT499" s="381">
        <v>1.23E-2</v>
      </c>
      <c r="AV499" s="464"/>
      <c r="AW499" s="465"/>
    </row>
    <row r="500" spans="35:49">
      <c r="AI500" s="464">
        <f t="shared" si="34"/>
        <v>480</v>
      </c>
      <c r="AJ500" s="473">
        <v>43578</v>
      </c>
      <c r="AK500" s="474">
        <v>19908.02</v>
      </c>
      <c r="AL500" s="475">
        <v>3.5999999999999999E-3</v>
      </c>
      <c r="AM500" s="475">
        <f t="shared" si="36"/>
        <v>3.6343140956840436E-3</v>
      </c>
      <c r="AN500" s="464"/>
      <c r="AO500" s="464"/>
      <c r="AR500" s="464">
        <f t="shared" si="35"/>
        <v>480</v>
      </c>
      <c r="AS500" s="464" t="s">
        <v>2158</v>
      </c>
      <c r="AT500" s="381">
        <v>1.2159999999999999E-2</v>
      </c>
      <c r="AV500" s="464"/>
      <c r="AW500" s="465"/>
    </row>
    <row r="501" spans="35:49">
      <c r="AI501" s="464">
        <f t="shared" si="34"/>
        <v>481</v>
      </c>
      <c r="AJ501" s="473">
        <v>43579</v>
      </c>
      <c r="AK501" s="474">
        <v>19993.669999999998</v>
      </c>
      <c r="AL501" s="475">
        <v>4.3E-3</v>
      </c>
      <c r="AM501" s="475">
        <f t="shared" si="36"/>
        <v>4.3022862142994001E-3</v>
      </c>
      <c r="AN501" s="464"/>
      <c r="AO501" s="464"/>
      <c r="AR501" s="464">
        <f t="shared" si="35"/>
        <v>481</v>
      </c>
      <c r="AS501" s="464" t="s">
        <v>2157</v>
      </c>
      <c r="AT501" s="381">
        <v>1.1779999999999999E-2</v>
      </c>
      <c r="AV501" s="464"/>
      <c r="AW501" s="465"/>
    </row>
    <row r="502" spans="35:49">
      <c r="AI502" s="464">
        <f t="shared" si="34"/>
        <v>482</v>
      </c>
      <c r="AJ502" s="473">
        <v>43580</v>
      </c>
      <c r="AK502" s="474">
        <v>19871.05</v>
      </c>
      <c r="AL502" s="475">
        <v>-6.1000000000000004E-3</v>
      </c>
      <c r="AM502" s="475">
        <f t="shared" si="36"/>
        <v>-6.1329410758504954E-3</v>
      </c>
      <c r="AN502" s="464"/>
      <c r="AO502" s="464"/>
      <c r="AR502" s="464">
        <f t="shared" si="35"/>
        <v>482</v>
      </c>
      <c r="AS502" s="464" t="s">
        <v>2156</v>
      </c>
      <c r="AT502" s="381">
        <v>1.154E-2</v>
      </c>
      <c r="AV502" s="464"/>
      <c r="AW502" s="465"/>
    </row>
    <row r="503" spans="35:49">
      <c r="AI503" s="464">
        <f t="shared" si="34"/>
        <v>483</v>
      </c>
      <c r="AJ503" s="473">
        <v>43581</v>
      </c>
      <c r="AK503" s="474">
        <v>19856.87</v>
      </c>
      <c r="AL503" s="475">
        <v>-6.9999999999999999E-4</v>
      </c>
      <c r="AM503" s="475">
        <f t="shared" si="36"/>
        <v>-7.1360094207406632E-4</v>
      </c>
      <c r="AN503" s="464"/>
      <c r="AO503" s="464"/>
      <c r="AR503" s="464">
        <f t="shared" si="35"/>
        <v>483</v>
      </c>
      <c r="AS503" s="464" t="s">
        <v>2155</v>
      </c>
      <c r="AT503" s="381">
        <v>1.1819999999999999E-2</v>
      </c>
      <c r="AV503" s="464"/>
      <c r="AW503" s="465"/>
    </row>
    <row r="504" spans="35:49">
      <c r="AI504" s="464">
        <f t="shared" si="34"/>
        <v>484</v>
      </c>
      <c r="AJ504" s="473">
        <v>43584</v>
      </c>
      <c r="AK504" s="474">
        <v>19911.2</v>
      </c>
      <c r="AL504" s="475">
        <v>2.7000000000000001E-3</v>
      </c>
      <c r="AM504" s="475">
        <f t="shared" si="36"/>
        <v>2.7360807619731808E-3</v>
      </c>
      <c r="AN504" s="464"/>
      <c r="AO504" s="464"/>
      <c r="AR504" s="464">
        <f t="shared" si="35"/>
        <v>484</v>
      </c>
      <c r="AS504" s="464" t="s">
        <v>2154</v>
      </c>
      <c r="AT504" s="381">
        <v>1.188E-2</v>
      </c>
      <c r="AV504" s="464"/>
      <c r="AW504" s="465"/>
    </row>
    <row r="505" spans="35:49">
      <c r="AI505" s="464">
        <f t="shared" si="34"/>
        <v>485</v>
      </c>
      <c r="AJ505" s="473">
        <v>43585</v>
      </c>
      <c r="AK505" s="474">
        <v>19824.810000000001</v>
      </c>
      <c r="AL505" s="475">
        <v>-4.3E-3</v>
      </c>
      <c r="AM505" s="475">
        <f t="shared" si="36"/>
        <v>-4.3387641126602094E-3</v>
      </c>
      <c r="AN505" s="464"/>
      <c r="AO505" s="464"/>
      <c r="AR505" s="464">
        <f t="shared" si="35"/>
        <v>485</v>
      </c>
      <c r="AS505" s="464" t="s">
        <v>2153</v>
      </c>
      <c r="AT505" s="381">
        <v>1.184E-2</v>
      </c>
      <c r="AV505" s="464"/>
      <c r="AW505" s="465"/>
    </row>
    <row r="506" spans="35:49">
      <c r="AI506" s="464">
        <f t="shared" si="34"/>
        <v>486</v>
      </c>
      <c r="AJ506" s="473">
        <v>43586</v>
      </c>
      <c r="AK506" s="474">
        <v>19813.740000000002</v>
      </c>
      <c r="AL506" s="475">
        <v>-5.9999999999999995E-4</v>
      </c>
      <c r="AM506" s="475">
        <f t="shared" si="36"/>
        <v>-5.5839122796130791E-4</v>
      </c>
      <c r="AN506" s="464"/>
      <c r="AO506" s="464"/>
      <c r="AR506" s="464">
        <f t="shared" si="35"/>
        <v>486</v>
      </c>
      <c r="AS506" s="464" t="s">
        <v>2152</v>
      </c>
      <c r="AT506" s="381">
        <v>1.15E-2</v>
      </c>
      <c r="AV506" s="464"/>
      <c r="AW506" s="465"/>
    </row>
    <row r="507" spans="35:49">
      <c r="AI507" s="464">
        <f t="shared" si="34"/>
        <v>487</v>
      </c>
      <c r="AJ507" s="473">
        <v>43587</v>
      </c>
      <c r="AK507" s="474">
        <v>19686.66</v>
      </c>
      <c r="AL507" s="475">
        <v>-6.4000000000000003E-3</v>
      </c>
      <c r="AM507" s="475">
        <f t="shared" si="36"/>
        <v>-6.4137310775250755E-3</v>
      </c>
      <c r="AN507" s="464"/>
      <c r="AO507" s="464"/>
      <c r="AR507" s="464">
        <f t="shared" si="35"/>
        <v>487</v>
      </c>
      <c r="AS507" s="464" t="s">
        <v>2151</v>
      </c>
      <c r="AT507" s="381">
        <v>1.1610000000000001E-2</v>
      </c>
      <c r="AV507" s="464"/>
      <c r="AW507" s="465"/>
    </row>
    <row r="508" spans="35:49">
      <c r="AI508" s="464">
        <f t="shared" si="34"/>
        <v>488</v>
      </c>
      <c r="AJ508" s="473">
        <v>43588</v>
      </c>
      <c r="AK508" s="474">
        <v>19705.169999999998</v>
      </c>
      <c r="AL508" s="475">
        <v>8.9999999999999998E-4</v>
      </c>
      <c r="AM508" s="475">
        <f t="shared" si="36"/>
        <v>9.402305926957677E-4</v>
      </c>
      <c r="AN508" s="464"/>
      <c r="AO508" s="464"/>
      <c r="AR508" s="464">
        <f t="shared" si="35"/>
        <v>488</v>
      </c>
      <c r="AS508" s="464" t="s">
        <v>2150</v>
      </c>
      <c r="AT508" s="381">
        <v>1.1639999999999999E-2</v>
      </c>
      <c r="AV508" s="464"/>
      <c r="AW508" s="465"/>
    </row>
    <row r="509" spans="35:49">
      <c r="AI509" s="464">
        <f t="shared" si="34"/>
        <v>489</v>
      </c>
      <c r="AJ509" s="473">
        <v>43592</v>
      </c>
      <c r="AK509" s="474">
        <v>19465.689999999999</v>
      </c>
      <c r="AL509" s="475">
        <v>-1.2200000000000001E-2</v>
      </c>
      <c r="AM509" s="475">
        <f t="shared" si="36"/>
        <v>-1.2153155745421085E-2</v>
      </c>
      <c r="AN509" s="464"/>
      <c r="AO509" s="464"/>
      <c r="AR509" s="464">
        <f t="shared" si="35"/>
        <v>489</v>
      </c>
      <c r="AS509" s="464" t="s">
        <v>2149</v>
      </c>
      <c r="AT509" s="381">
        <v>1.167E-2</v>
      </c>
      <c r="AV509" s="464"/>
      <c r="AW509" s="465"/>
    </row>
    <row r="510" spans="35:49">
      <c r="AI510" s="464">
        <f t="shared" si="34"/>
        <v>490</v>
      </c>
      <c r="AJ510" s="473">
        <v>43593</v>
      </c>
      <c r="AK510" s="474">
        <v>19531.91</v>
      </c>
      <c r="AL510" s="475">
        <v>3.3999999999999998E-3</v>
      </c>
      <c r="AM510" s="475">
        <f t="shared" si="36"/>
        <v>3.4018830054316496E-3</v>
      </c>
      <c r="AN510" s="464"/>
      <c r="AO510" s="464"/>
      <c r="AR510" s="464">
        <f t="shared" si="35"/>
        <v>490</v>
      </c>
      <c r="AS510" s="464" t="s">
        <v>2148</v>
      </c>
      <c r="AT510" s="381">
        <v>1.171E-2</v>
      </c>
      <c r="AV510" s="464"/>
      <c r="AW510" s="465"/>
    </row>
    <row r="511" spans="35:49">
      <c r="AI511" s="464">
        <f t="shared" si="34"/>
        <v>491</v>
      </c>
      <c r="AJ511" s="473">
        <v>43594</v>
      </c>
      <c r="AK511" s="474">
        <v>19285.580000000002</v>
      </c>
      <c r="AL511" s="475">
        <v>-1.26E-2</v>
      </c>
      <c r="AM511" s="475">
        <f t="shared" si="36"/>
        <v>-1.261166982645312E-2</v>
      </c>
      <c r="AN511" s="464"/>
      <c r="AO511" s="464"/>
      <c r="AR511" s="464">
        <f t="shared" si="35"/>
        <v>491</v>
      </c>
      <c r="AS511" s="464" t="s">
        <v>2147</v>
      </c>
      <c r="AT511" s="381">
        <v>1.1810000000000001E-2</v>
      </c>
      <c r="AV511" s="464"/>
      <c r="AW511" s="465"/>
    </row>
    <row r="512" spans="35:49">
      <c r="AI512" s="464">
        <f t="shared" si="34"/>
        <v>492</v>
      </c>
      <c r="AJ512" s="473">
        <v>43595</v>
      </c>
      <c r="AK512" s="474">
        <v>19366.8</v>
      </c>
      <c r="AL512" s="475">
        <v>4.1999999999999997E-3</v>
      </c>
      <c r="AM512" s="475">
        <f t="shared" si="36"/>
        <v>4.2114367314851631E-3</v>
      </c>
      <c r="AN512" s="464"/>
      <c r="AO512" s="464"/>
      <c r="AR512" s="464">
        <f t="shared" si="35"/>
        <v>492</v>
      </c>
      <c r="AS512" s="464" t="s">
        <v>2146</v>
      </c>
      <c r="AT512" s="381">
        <v>1.2019999999999999E-2</v>
      </c>
      <c r="AV512" s="464"/>
      <c r="AW512" s="465"/>
    </row>
    <row r="513" spans="35:49">
      <c r="AI513" s="464">
        <f t="shared" si="34"/>
        <v>493</v>
      </c>
      <c r="AJ513" s="473">
        <v>43598</v>
      </c>
      <c r="AK513" s="474">
        <v>19126.88</v>
      </c>
      <c r="AL513" s="475">
        <v>-1.24E-2</v>
      </c>
      <c r="AM513" s="475">
        <f t="shared" si="36"/>
        <v>-1.238821075242158E-2</v>
      </c>
      <c r="AN513" s="464"/>
      <c r="AO513" s="464"/>
      <c r="AR513" s="464">
        <f t="shared" si="35"/>
        <v>493</v>
      </c>
      <c r="AS513" s="464" t="s">
        <v>2145</v>
      </c>
      <c r="AT513" s="381">
        <v>1.158E-2</v>
      </c>
      <c r="AV513" s="464"/>
      <c r="AW513" s="465"/>
    </row>
    <row r="514" spans="35:49">
      <c r="AI514" s="464">
        <f t="shared" si="34"/>
        <v>494</v>
      </c>
      <c r="AJ514" s="473">
        <v>43599</v>
      </c>
      <c r="AK514" s="474">
        <v>19367.419999999998</v>
      </c>
      <c r="AL514" s="475">
        <v>1.26E-2</v>
      </c>
      <c r="AM514" s="475">
        <f t="shared" si="36"/>
        <v>1.2576018671105693E-2</v>
      </c>
      <c r="AN514" s="464"/>
      <c r="AO514" s="464"/>
      <c r="AR514" s="464">
        <f t="shared" si="35"/>
        <v>494</v>
      </c>
      <c r="AS514" s="464" t="s">
        <v>2144</v>
      </c>
      <c r="AT514" s="381">
        <v>1.1599999999999999E-2</v>
      </c>
      <c r="AV514" s="464"/>
      <c r="AW514" s="465"/>
    </row>
    <row r="515" spans="35:49">
      <c r="AI515" s="464">
        <f t="shared" si="34"/>
        <v>495</v>
      </c>
      <c r="AJ515" s="473">
        <v>43600</v>
      </c>
      <c r="AK515" s="474">
        <v>19369.77</v>
      </c>
      <c r="AL515" s="475">
        <v>1E-4</v>
      </c>
      <c r="AM515" s="475">
        <f t="shared" si="36"/>
        <v>1.2133779305667503E-4</v>
      </c>
      <c r="AN515" s="464"/>
      <c r="AO515" s="464"/>
      <c r="AR515" s="464">
        <f t="shared" si="35"/>
        <v>495</v>
      </c>
      <c r="AS515" s="464" t="s">
        <v>2143</v>
      </c>
      <c r="AT515" s="381">
        <v>1.1739999999999999E-2</v>
      </c>
      <c r="AV515" s="464"/>
      <c r="AW515" s="465"/>
    </row>
    <row r="516" spans="35:49">
      <c r="AI516" s="464">
        <f t="shared" si="34"/>
        <v>496</v>
      </c>
      <c r="AJ516" s="473">
        <v>43601</v>
      </c>
      <c r="AK516" s="474">
        <v>19530.650000000001</v>
      </c>
      <c r="AL516" s="475">
        <v>8.3000000000000001E-3</v>
      </c>
      <c r="AM516" s="475">
        <f t="shared" si="36"/>
        <v>8.3057258811023438E-3</v>
      </c>
      <c r="AN516" s="464"/>
      <c r="AO516" s="464"/>
      <c r="AR516" s="464">
        <f t="shared" si="35"/>
        <v>496</v>
      </c>
      <c r="AS516" s="464" t="s">
        <v>2142</v>
      </c>
      <c r="AT516" s="381">
        <v>1.2070000000000001E-2</v>
      </c>
      <c r="AV516" s="464"/>
      <c r="AW516" s="465"/>
    </row>
    <row r="517" spans="35:49">
      <c r="AI517" s="464">
        <f t="shared" si="34"/>
        <v>497</v>
      </c>
      <c r="AJ517" s="473">
        <v>43602</v>
      </c>
      <c r="AK517" s="474">
        <v>19498.61</v>
      </c>
      <c r="AL517" s="475">
        <v>-1.6000000000000001E-3</v>
      </c>
      <c r="AM517" s="475">
        <f t="shared" si="36"/>
        <v>-1.6404983961108011E-3</v>
      </c>
      <c r="AN517" s="464"/>
      <c r="AO517" s="464"/>
      <c r="AR517" s="464">
        <f t="shared" si="35"/>
        <v>497</v>
      </c>
      <c r="AS517" s="464" t="s">
        <v>2141</v>
      </c>
      <c r="AT517" s="381">
        <v>1.274E-2</v>
      </c>
      <c r="AV517" s="464"/>
      <c r="AW517" s="465"/>
    </row>
    <row r="518" spans="35:49">
      <c r="AI518" s="464">
        <f t="shared" si="34"/>
        <v>498</v>
      </c>
      <c r="AJ518" s="473">
        <v>43605</v>
      </c>
      <c r="AK518" s="474">
        <v>19335.59</v>
      </c>
      <c r="AL518" s="475">
        <v>-8.3999999999999995E-3</v>
      </c>
      <c r="AM518" s="475">
        <f t="shared" si="36"/>
        <v>-8.3605959604300395E-3</v>
      </c>
      <c r="AN518" s="464"/>
      <c r="AO518" s="464"/>
      <c r="AR518" s="464">
        <f t="shared" si="35"/>
        <v>498</v>
      </c>
      <c r="AS518" s="464" t="s">
        <v>2140</v>
      </c>
      <c r="AT518" s="381">
        <v>1.303E-2</v>
      </c>
      <c r="AV518" s="464"/>
      <c r="AW518" s="465"/>
    </row>
    <row r="519" spans="35:49">
      <c r="AI519" s="464">
        <f t="shared" si="34"/>
        <v>499</v>
      </c>
      <c r="AJ519" s="473">
        <v>43606</v>
      </c>
      <c r="AK519" s="474">
        <v>19436.36</v>
      </c>
      <c r="AL519" s="475">
        <v>5.1999999999999998E-3</v>
      </c>
      <c r="AM519" s="475">
        <f t="shared" si="36"/>
        <v>5.2116330559346391E-3</v>
      </c>
      <c r="AN519" s="464"/>
      <c r="AO519" s="464"/>
      <c r="AR519" s="464">
        <f t="shared" si="35"/>
        <v>499</v>
      </c>
      <c r="AS519" s="464" t="s">
        <v>2139</v>
      </c>
      <c r="AT519" s="381">
        <v>1.2960000000000001E-2</v>
      </c>
      <c r="AV519" s="464"/>
      <c r="AW519" s="465"/>
    </row>
    <row r="520" spans="35:49">
      <c r="AI520" s="464">
        <f t="shared" si="34"/>
        <v>500</v>
      </c>
      <c r="AJ520" s="473">
        <v>43607</v>
      </c>
      <c r="AK520" s="474">
        <v>19307.27</v>
      </c>
      <c r="AL520" s="475">
        <v>-6.6E-3</v>
      </c>
      <c r="AM520" s="475">
        <f t="shared" si="36"/>
        <v>-6.6416757047101926E-3</v>
      </c>
      <c r="AN520" s="464"/>
      <c r="AO520" s="464"/>
      <c r="AR520" s="464">
        <f t="shared" si="35"/>
        <v>500</v>
      </c>
      <c r="AS520" s="464" t="s">
        <v>2138</v>
      </c>
      <c r="AT520" s="381">
        <v>1.299E-2</v>
      </c>
      <c r="AV520" s="464"/>
      <c r="AW520" s="465"/>
    </row>
    <row r="521" spans="35:49">
      <c r="AI521" s="464">
        <f t="shared" si="34"/>
        <v>501</v>
      </c>
      <c r="AJ521" s="473">
        <v>43608</v>
      </c>
      <c r="AK521" s="474">
        <v>19031.21</v>
      </c>
      <c r="AL521" s="475">
        <v>-1.43E-2</v>
      </c>
      <c r="AM521" s="475">
        <f t="shared" si="36"/>
        <v>-1.4298241025271885E-2</v>
      </c>
      <c r="AN521" s="464"/>
      <c r="AO521" s="464"/>
      <c r="AR521" s="464">
        <f t="shared" si="35"/>
        <v>501</v>
      </c>
      <c r="AS521" s="464" t="s">
        <v>2137</v>
      </c>
      <c r="AT521" s="381">
        <v>1.2749999999999999E-2</v>
      </c>
      <c r="AV521" s="464"/>
      <c r="AW521" s="465"/>
    </row>
    <row r="522" spans="35:49">
      <c r="AI522" s="464">
        <f t="shared" si="34"/>
        <v>502</v>
      </c>
      <c r="AJ522" s="473">
        <v>43609</v>
      </c>
      <c r="AK522" s="474">
        <v>19127.259999999998</v>
      </c>
      <c r="AL522" s="475">
        <v>5.0000000000000001E-3</v>
      </c>
      <c r="AM522" s="475">
        <f t="shared" si="36"/>
        <v>5.0469728409281434E-3</v>
      </c>
      <c r="AN522" s="464"/>
      <c r="AO522" s="464"/>
      <c r="AR522" s="464">
        <f t="shared" si="35"/>
        <v>502</v>
      </c>
      <c r="AS522" s="464" t="s">
        <v>2136</v>
      </c>
      <c r="AT522" s="381">
        <v>1.2880000000000001E-2</v>
      </c>
      <c r="AV522" s="464"/>
      <c r="AW522" s="465"/>
    </row>
    <row r="523" spans="35:49">
      <c r="AI523" s="464">
        <f t="shared" si="34"/>
        <v>503</v>
      </c>
      <c r="AJ523" s="473">
        <v>43613</v>
      </c>
      <c r="AK523" s="474">
        <v>19204.93</v>
      </c>
      <c r="AL523" s="475">
        <v>4.1000000000000003E-3</v>
      </c>
      <c r="AM523" s="475">
        <f t="shared" si="36"/>
        <v>4.060696618334303E-3</v>
      </c>
      <c r="AN523" s="464"/>
      <c r="AO523" s="464"/>
      <c r="AR523" s="464">
        <f t="shared" si="35"/>
        <v>503</v>
      </c>
      <c r="AS523" s="464" t="s">
        <v>2135</v>
      </c>
      <c r="AT523" s="381">
        <v>1.2270000000000001E-2</v>
      </c>
      <c r="AV523" s="464"/>
      <c r="AW523" s="465"/>
    </row>
    <row r="524" spans="35:49">
      <c r="AI524" s="464">
        <f t="shared" si="34"/>
        <v>504</v>
      </c>
      <c r="AJ524" s="473">
        <v>43614</v>
      </c>
      <c r="AK524" s="474">
        <v>18946.11</v>
      </c>
      <c r="AL524" s="475">
        <v>-1.35E-2</v>
      </c>
      <c r="AM524" s="475">
        <f t="shared" si="36"/>
        <v>-1.3476747897545049E-2</v>
      </c>
      <c r="AN524" s="464"/>
      <c r="AO524" s="464"/>
      <c r="AR524" s="464">
        <f t="shared" si="35"/>
        <v>504</v>
      </c>
      <c r="AS524" s="464" t="s">
        <v>2134</v>
      </c>
      <c r="AT524" s="381">
        <v>1.172E-2</v>
      </c>
      <c r="AV524" s="464"/>
      <c r="AW524" s="465"/>
    </row>
    <row r="525" spans="35:49">
      <c r="AI525" s="464">
        <f t="shared" si="34"/>
        <v>505</v>
      </c>
      <c r="AJ525" s="473">
        <v>43615</v>
      </c>
      <c r="AK525" s="474">
        <v>19111.509999999998</v>
      </c>
      <c r="AL525" s="475">
        <v>8.6999999999999994E-3</v>
      </c>
      <c r="AM525" s="475">
        <f t="shared" si="36"/>
        <v>8.7300242635557357E-3</v>
      </c>
      <c r="AN525" s="464"/>
      <c r="AO525" s="464"/>
      <c r="AR525" s="464">
        <f t="shared" si="35"/>
        <v>505</v>
      </c>
      <c r="AS525" s="464" t="s">
        <v>2133</v>
      </c>
      <c r="AT525" s="381">
        <v>1.1899999999999999E-2</v>
      </c>
      <c r="AV525" s="464"/>
      <c r="AW525" s="465"/>
    </row>
    <row r="526" spans="35:49">
      <c r="AI526" s="464">
        <f t="shared" si="34"/>
        <v>506</v>
      </c>
      <c r="AJ526" s="473">
        <v>43616</v>
      </c>
      <c r="AK526" s="474">
        <v>18970.25</v>
      </c>
      <c r="AL526" s="475">
        <v>-7.4000000000000003E-3</v>
      </c>
      <c r="AM526" s="475">
        <f t="shared" si="36"/>
        <v>-7.3913573548086697E-3</v>
      </c>
      <c r="AN526" s="464"/>
      <c r="AO526" s="464"/>
      <c r="AR526" s="464">
        <f t="shared" si="35"/>
        <v>506</v>
      </c>
      <c r="AS526" s="464" t="s">
        <v>2132</v>
      </c>
      <c r="AT526" s="381">
        <v>1.1810000000000001E-2</v>
      </c>
      <c r="AV526" s="464"/>
      <c r="AW526" s="465"/>
    </row>
    <row r="527" spans="35:49">
      <c r="AI527" s="464">
        <f t="shared" si="34"/>
        <v>507</v>
      </c>
      <c r="AJ527" s="473">
        <v>43619</v>
      </c>
      <c r="AK527" s="474">
        <v>18877.169999999998</v>
      </c>
      <c r="AL527" s="475">
        <v>-4.8999999999999998E-3</v>
      </c>
      <c r="AM527" s="475">
        <f t="shared" si="36"/>
        <v>-4.9066301182114636E-3</v>
      </c>
      <c r="AN527" s="464"/>
      <c r="AO527" s="464"/>
      <c r="AR527" s="464">
        <f t="shared" si="35"/>
        <v>507</v>
      </c>
      <c r="AS527" s="464" t="s">
        <v>2131</v>
      </c>
      <c r="AT527" s="381">
        <v>1.163E-2</v>
      </c>
      <c r="AV527" s="464"/>
      <c r="AW527" s="465"/>
    </row>
    <row r="528" spans="35:49">
      <c r="AI528" s="464">
        <f t="shared" si="34"/>
        <v>508</v>
      </c>
      <c r="AJ528" s="473">
        <v>43620</v>
      </c>
      <c r="AK528" s="474">
        <v>19008.16</v>
      </c>
      <c r="AL528" s="475">
        <v>6.8999999999999999E-3</v>
      </c>
      <c r="AM528" s="475">
        <f t="shared" si="36"/>
        <v>6.9390697864140094E-3</v>
      </c>
      <c r="AN528" s="464"/>
      <c r="AO528" s="464"/>
      <c r="AR528" s="464">
        <f t="shared" si="35"/>
        <v>508</v>
      </c>
      <c r="AS528" s="464" t="s">
        <v>2130</v>
      </c>
      <c r="AT528" s="381">
        <v>1.1979999999999999E-2</v>
      </c>
      <c r="AV528" s="464"/>
      <c r="AW528" s="465"/>
    </row>
    <row r="529" spans="35:49">
      <c r="AI529" s="464">
        <f t="shared" si="34"/>
        <v>509</v>
      </c>
      <c r="AJ529" s="473">
        <v>43621</v>
      </c>
      <c r="AK529" s="474">
        <v>19072.169999999998</v>
      </c>
      <c r="AL529" s="475">
        <v>3.3999999999999998E-3</v>
      </c>
      <c r="AM529" s="475">
        <f t="shared" si="36"/>
        <v>3.3675011153104784E-3</v>
      </c>
      <c r="AN529" s="464"/>
      <c r="AO529" s="464"/>
      <c r="AR529" s="464">
        <f t="shared" si="35"/>
        <v>509</v>
      </c>
      <c r="AS529" s="464" t="s">
        <v>2129</v>
      </c>
      <c r="AT529" s="381">
        <v>1.2239999999999999E-2</v>
      </c>
      <c r="AV529" s="464"/>
      <c r="AW529" s="465"/>
    </row>
    <row r="530" spans="35:49">
      <c r="AI530" s="464">
        <f t="shared" si="34"/>
        <v>510</v>
      </c>
      <c r="AJ530" s="473">
        <v>43622</v>
      </c>
      <c r="AK530" s="474">
        <v>19065.52</v>
      </c>
      <c r="AL530" s="475">
        <v>-2.9999999999999997E-4</v>
      </c>
      <c r="AM530" s="475">
        <f t="shared" si="36"/>
        <v>-3.4867558332363213E-4</v>
      </c>
      <c r="AN530" s="464"/>
      <c r="AO530" s="464"/>
      <c r="AR530" s="464">
        <f t="shared" si="35"/>
        <v>510</v>
      </c>
      <c r="AS530" s="464" t="s">
        <v>2128</v>
      </c>
      <c r="AT530" s="381">
        <v>1.2119999999999999E-2</v>
      </c>
      <c r="AV530" s="464"/>
      <c r="AW530" s="465"/>
    </row>
    <row r="531" spans="35:49">
      <c r="AI531" s="464">
        <f t="shared" si="34"/>
        <v>511</v>
      </c>
      <c r="AJ531" s="473">
        <v>43623</v>
      </c>
      <c r="AK531" s="474">
        <v>19232.39</v>
      </c>
      <c r="AL531" s="475">
        <v>8.8000000000000005E-3</v>
      </c>
      <c r="AM531" s="475">
        <f t="shared" si="36"/>
        <v>8.7524494480086812E-3</v>
      </c>
      <c r="AN531" s="464"/>
      <c r="AO531" s="464"/>
      <c r="AR531" s="464">
        <f t="shared" si="35"/>
        <v>511</v>
      </c>
      <c r="AS531" s="464" t="s">
        <v>2127</v>
      </c>
      <c r="AT531" s="381">
        <v>1.2150000000000001E-2</v>
      </c>
      <c r="AV531" s="464"/>
      <c r="AW531" s="465"/>
    </row>
    <row r="532" spans="35:49">
      <c r="AI532" s="464">
        <f t="shared" si="34"/>
        <v>512</v>
      </c>
      <c r="AJ532" s="473">
        <v>43626</v>
      </c>
      <c r="AK532" s="474">
        <v>19309.599999999999</v>
      </c>
      <c r="AL532" s="475">
        <v>4.0000000000000001E-3</v>
      </c>
      <c r="AM532" s="475">
        <f t="shared" si="36"/>
        <v>4.0145816510583909E-3</v>
      </c>
      <c r="AN532" s="464"/>
      <c r="AO532" s="464"/>
      <c r="AR532" s="464">
        <f t="shared" si="35"/>
        <v>512</v>
      </c>
      <c r="AS532" s="464" t="s">
        <v>2126</v>
      </c>
      <c r="AT532" s="381">
        <v>1.1970000000000001E-2</v>
      </c>
      <c r="AV532" s="464"/>
      <c r="AW532" s="465"/>
    </row>
    <row r="533" spans="35:49">
      <c r="AI533" s="464">
        <f t="shared" ref="AI533:AI596" si="37">AI532+1</f>
        <v>513</v>
      </c>
      <c r="AJ533" s="473">
        <v>43627</v>
      </c>
      <c r="AK533" s="474">
        <v>19325.72</v>
      </c>
      <c r="AL533" s="475">
        <v>8.0000000000000004E-4</v>
      </c>
      <c r="AM533" s="475">
        <f t="shared" si="36"/>
        <v>8.3481791440531694E-4</v>
      </c>
      <c r="AN533" s="464"/>
      <c r="AO533" s="464"/>
      <c r="AR533" s="464">
        <f t="shared" ref="AR533:AR596" si="38">AR532+1</f>
        <v>513</v>
      </c>
      <c r="AS533" s="464" t="s">
        <v>2125</v>
      </c>
      <c r="AT533" s="381">
        <v>1.187E-2</v>
      </c>
      <c r="AV533" s="464"/>
      <c r="AW533" s="465"/>
    </row>
    <row r="534" spans="35:49">
      <c r="AI534" s="464">
        <f t="shared" si="37"/>
        <v>514</v>
      </c>
      <c r="AJ534" s="473">
        <v>43628</v>
      </c>
      <c r="AK534" s="474">
        <v>19250.060000000001</v>
      </c>
      <c r="AL534" s="475">
        <v>-3.8999999999999998E-3</v>
      </c>
      <c r="AM534" s="475">
        <f t="shared" ref="AM534:AM597" si="39">AK534/AK533-1</f>
        <v>-3.9149899719130854E-3</v>
      </c>
      <c r="AN534" s="464"/>
      <c r="AO534" s="464"/>
      <c r="AR534" s="464">
        <f t="shared" si="38"/>
        <v>514</v>
      </c>
      <c r="AS534" s="464" t="s">
        <v>2124</v>
      </c>
      <c r="AT534" s="381">
        <v>1.157E-2</v>
      </c>
      <c r="AV534" s="464"/>
      <c r="AW534" s="465"/>
    </row>
    <row r="535" spans="35:49">
      <c r="AI535" s="464">
        <f t="shared" si="37"/>
        <v>515</v>
      </c>
      <c r="AJ535" s="473">
        <v>43629</v>
      </c>
      <c r="AK535" s="474">
        <v>19172.37</v>
      </c>
      <c r="AL535" s="475">
        <v>-4.0000000000000001E-3</v>
      </c>
      <c r="AM535" s="475">
        <f t="shared" si="39"/>
        <v>-4.035831576629012E-3</v>
      </c>
      <c r="AN535" s="464"/>
      <c r="AO535" s="464"/>
      <c r="AR535" s="464">
        <f t="shared" si="38"/>
        <v>515</v>
      </c>
      <c r="AS535" s="464" t="s">
        <v>2123</v>
      </c>
      <c r="AT535" s="381">
        <v>1.064E-2</v>
      </c>
      <c r="AV535" s="464"/>
      <c r="AW535" s="465"/>
    </row>
    <row r="536" spans="35:49">
      <c r="AI536" s="464">
        <f t="shared" si="37"/>
        <v>516</v>
      </c>
      <c r="AJ536" s="473">
        <v>43630</v>
      </c>
      <c r="AK536" s="474">
        <v>19118.34</v>
      </c>
      <c r="AL536" s="475">
        <v>-2.8E-3</v>
      </c>
      <c r="AM536" s="475">
        <f t="shared" si="39"/>
        <v>-2.8181179478592444E-3</v>
      </c>
      <c r="AN536" s="464"/>
      <c r="AO536" s="464"/>
      <c r="AR536" s="464">
        <f t="shared" si="38"/>
        <v>516</v>
      </c>
      <c r="AS536" s="464" t="s">
        <v>2122</v>
      </c>
      <c r="AT536" s="381">
        <v>1.0149999999999999E-2</v>
      </c>
      <c r="AV536" s="464"/>
      <c r="AW536" s="465"/>
    </row>
    <row r="537" spans="35:49">
      <c r="AI537" s="464">
        <f t="shared" si="37"/>
        <v>517</v>
      </c>
      <c r="AJ537" s="473">
        <v>43633</v>
      </c>
      <c r="AK537" s="474">
        <v>19157.61</v>
      </c>
      <c r="AL537" s="475">
        <v>2.0999999999999999E-3</v>
      </c>
      <c r="AM537" s="475">
        <f t="shared" si="39"/>
        <v>2.0540486255606893E-3</v>
      </c>
      <c r="AN537" s="464"/>
      <c r="AO537" s="464"/>
      <c r="AR537" s="464">
        <f t="shared" si="38"/>
        <v>517</v>
      </c>
      <c r="AS537" s="464" t="s">
        <v>2121</v>
      </c>
      <c r="AT537" s="381">
        <v>9.8600000000000007E-3</v>
      </c>
      <c r="AV537" s="464"/>
      <c r="AW537" s="465"/>
    </row>
    <row r="538" spans="35:49">
      <c r="AI538" s="464">
        <f t="shared" si="37"/>
        <v>518</v>
      </c>
      <c r="AJ538" s="473">
        <v>43634</v>
      </c>
      <c r="AK538" s="474">
        <v>19311.79</v>
      </c>
      <c r="AL538" s="475">
        <v>8.0000000000000002E-3</v>
      </c>
      <c r="AM538" s="475">
        <f t="shared" si="39"/>
        <v>8.0479767570171834E-3</v>
      </c>
      <c r="AN538" s="464"/>
      <c r="AO538" s="464"/>
      <c r="AR538" s="464">
        <f t="shared" si="38"/>
        <v>518</v>
      </c>
      <c r="AS538" s="464" t="s">
        <v>2120</v>
      </c>
      <c r="AT538" s="381">
        <v>1.008E-2</v>
      </c>
      <c r="AV538" s="464"/>
      <c r="AW538" s="465"/>
    </row>
    <row r="539" spans="35:49">
      <c r="AI539" s="464">
        <f t="shared" si="37"/>
        <v>519</v>
      </c>
      <c r="AJ539" s="473">
        <v>43635</v>
      </c>
      <c r="AK539" s="474">
        <v>19245.46</v>
      </c>
      <c r="AL539" s="475">
        <v>-3.3999999999999998E-3</v>
      </c>
      <c r="AM539" s="475">
        <f t="shared" si="39"/>
        <v>-3.4346893788717026E-3</v>
      </c>
      <c r="AN539" s="464"/>
      <c r="AO539" s="464"/>
      <c r="AR539" s="464">
        <f t="shared" si="38"/>
        <v>519</v>
      </c>
      <c r="AS539" s="464" t="s">
        <v>2119</v>
      </c>
      <c r="AT539" s="381">
        <v>1.0160000000000001E-2</v>
      </c>
      <c r="AV539" s="464"/>
      <c r="AW539" s="465"/>
    </row>
    <row r="540" spans="35:49">
      <c r="AI540" s="464">
        <f t="shared" si="37"/>
        <v>520</v>
      </c>
      <c r="AJ540" s="473">
        <v>43636</v>
      </c>
      <c r="AK540" s="474">
        <v>19384.13</v>
      </c>
      <c r="AL540" s="475">
        <v>7.1999999999999998E-3</v>
      </c>
      <c r="AM540" s="475">
        <f t="shared" si="39"/>
        <v>7.2053356999521867E-3</v>
      </c>
      <c r="AN540" s="464"/>
      <c r="AO540" s="464"/>
      <c r="AR540" s="464">
        <f t="shared" si="38"/>
        <v>520</v>
      </c>
      <c r="AS540" s="464" t="s">
        <v>2118</v>
      </c>
      <c r="AT540" s="381">
        <v>9.9900000000000006E-3</v>
      </c>
      <c r="AV540" s="464"/>
      <c r="AW540" s="465"/>
    </row>
    <row r="541" spans="35:49">
      <c r="AI541" s="464">
        <f t="shared" si="37"/>
        <v>521</v>
      </c>
      <c r="AJ541" s="473">
        <v>43637</v>
      </c>
      <c r="AK541" s="474">
        <v>19324.599999999999</v>
      </c>
      <c r="AL541" s="475">
        <v>-3.0999999999999999E-3</v>
      </c>
      <c r="AM541" s="475">
        <f t="shared" si="39"/>
        <v>-3.0710689620840892E-3</v>
      </c>
      <c r="AN541" s="464"/>
      <c r="AO541" s="464"/>
      <c r="AR541" s="464">
        <f t="shared" si="38"/>
        <v>521</v>
      </c>
      <c r="AS541" s="464" t="s">
        <v>2117</v>
      </c>
      <c r="AT541" s="381">
        <v>9.9600000000000001E-3</v>
      </c>
      <c r="AV541" s="464"/>
      <c r="AW541" s="465"/>
    </row>
    <row r="542" spans="35:49">
      <c r="AI542" s="464">
        <f t="shared" si="37"/>
        <v>522</v>
      </c>
      <c r="AJ542" s="473">
        <v>43640</v>
      </c>
      <c r="AK542" s="474">
        <v>19299.68</v>
      </c>
      <c r="AL542" s="475">
        <v>-1.2999999999999999E-3</v>
      </c>
      <c r="AM542" s="475">
        <f t="shared" si="39"/>
        <v>-1.2895480372167034E-3</v>
      </c>
      <c r="AN542" s="464"/>
      <c r="AO542" s="464"/>
      <c r="AR542" s="464">
        <f t="shared" si="38"/>
        <v>522</v>
      </c>
      <c r="AS542" s="464" t="s">
        <v>2116</v>
      </c>
      <c r="AT542" s="381">
        <v>9.9699999999999997E-3</v>
      </c>
      <c r="AV542" s="464"/>
      <c r="AW542" s="465"/>
    </row>
    <row r="543" spans="35:49">
      <c r="AI543" s="464">
        <f t="shared" si="37"/>
        <v>523</v>
      </c>
      <c r="AJ543" s="473">
        <v>43641</v>
      </c>
      <c r="AK543" s="474">
        <v>19286.509999999998</v>
      </c>
      <c r="AL543" s="475">
        <v>-6.9999999999999999E-4</v>
      </c>
      <c r="AM543" s="475">
        <f t="shared" si="39"/>
        <v>-6.8239473400599771E-4</v>
      </c>
      <c r="AN543" s="464"/>
      <c r="AO543" s="464"/>
      <c r="AR543" s="464">
        <f t="shared" si="38"/>
        <v>523</v>
      </c>
      <c r="AS543" s="464" t="s">
        <v>2115</v>
      </c>
      <c r="AT543" s="381">
        <v>1.048E-2</v>
      </c>
      <c r="AV543" s="464"/>
      <c r="AW543" s="465"/>
    </row>
    <row r="544" spans="35:49">
      <c r="AI544" s="464">
        <f t="shared" si="37"/>
        <v>524</v>
      </c>
      <c r="AJ544" s="473">
        <v>43642</v>
      </c>
      <c r="AK544" s="474">
        <v>19260.39</v>
      </c>
      <c r="AL544" s="475">
        <v>-1.4E-3</v>
      </c>
      <c r="AM544" s="475">
        <f t="shared" si="39"/>
        <v>-1.3543144923575667E-3</v>
      </c>
      <c r="AN544" s="464"/>
      <c r="AO544" s="464"/>
      <c r="AR544" s="464">
        <f t="shared" si="38"/>
        <v>524</v>
      </c>
      <c r="AS544" s="464" t="s">
        <v>2114</v>
      </c>
      <c r="AT544" s="381">
        <v>1.0049999999999998E-2</v>
      </c>
      <c r="AV544" s="464"/>
      <c r="AW544" s="465"/>
    </row>
    <row r="545" spans="35:49">
      <c r="AI545" s="464">
        <f t="shared" si="37"/>
        <v>525</v>
      </c>
      <c r="AJ545" s="473">
        <v>43643</v>
      </c>
      <c r="AK545" s="474">
        <v>19314.46</v>
      </c>
      <c r="AL545" s="475">
        <v>2.8E-3</v>
      </c>
      <c r="AM545" s="475">
        <f t="shared" si="39"/>
        <v>2.8073159473924747E-3</v>
      </c>
      <c r="AN545" s="464"/>
      <c r="AO545" s="464"/>
      <c r="AR545" s="464">
        <f t="shared" si="38"/>
        <v>525</v>
      </c>
      <c r="AS545" s="464" t="s">
        <v>2113</v>
      </c>
      <c r="AT545" s="381">
        <v>1.0970000000000001E-2</v>
      </c>
      <c r="AV545" s="464"/>
      <c r="AW545" s="465"/>
    </row>
    <row r="546" spans="35:49">
      <c r="AI546" s="464">
        <f t="shared" si="37"/>
        <v>526</v>
      </c>
      <c r="AJ546" s="473">
        <v>43644</v>
      </c>
      <c r="AK546" s="474">
        <v>19462.099999999999</v>
      </c>
      <c r="AL546" s="475">
        <v>7.6E-3</v>
      </c>
      <c r="AM546" s="475">
        <f t="shared" si="39"/>
        <v>7.6440138631885812E-3</v>
      </c>
      <c r="AN546" s="464"/>
      <c r="AO546" s="464"/>
      <c r="AR546" s="464">
        <f t="shared" si="38"/>
        <v>526</v>
      </c>
      <c r="AS546" s="464" t="s">
        <v>2112</v>
      </c>
      <c r="AT546" s="381">
        <v>1.085E-2</v>
      </c>
      <c r="AV546" s="464"/>
      <c r="AW546" s="465"/>
    </row>
    <row r="547" spans="35:49">
      <c r="AI547" s="464">
        <f t="shared" si="37"/>
        <v>527</v>
      </c>
      <c r="AJ547" s="473">
        <v>43647</v>
      </c>
      <c r="AK547" s="474">
        <v>19634.66</v>
      </c>
      <c r="AL547" s="475">
        <v>8.8999999999999999E-3</v>
      </c>
      <c r="AM547" s="475">
        <f t="shared" si="39"/>
        <v>8.8664635368229661E-3</v>
      </c>
      <c r="AN547" s="464"/>
      <c r="AO547" s="464"/>
      <c r="AR547" s="464">
        <f t="shared" si="38"/>
        <v>527</v>
      </c>
      <c r="AS547" s="464" t="s">
        <v>2111</v>
      </c>
      <c r="AT547" s="381">
        <v>1.1169999999999999E-2</v>
      </c>
      <c r="AV547" s="464"/>
      <c r="AW547" s="465"/>
    </row>
    <row r="548" spans="35:49">
      <c r="AI548" s="464">
        <f t="shared" si="37"/>
        <v>528</v>
      </c>
      <c r="AJ548" s="473">
        <v>43648</v>
      </c>
      <c r="AK548" s="474">
        <v>19659.330000000002</v>
      </c>
      <c r="AL548" s="475">
        <v>1.2999999999999999E-3</v>
      </c>
      <c r="AM548" s="475">
        <f t="shared" si="39"/>
        <v>1.2564516014028637E-3</v>
      </c>
      <c r="AN548" s="464"/>
      <c r="AO548" s="464"/>
      <c r="AR548" s="464">
        <f t="shared" si="38"/>
        <v>528</v>
      </c>
      <c r="AS548" s="464" t="s">
        <v>2110</v>
      </c>
      <c r="AT548" s="381">
        <v>1.119E-2</v>
      </c>
      <c r="AV548" s="464"/>
      <c r="AW548" s="465"/>
    </row>
    <row r="549" spans="35:49">
      <c r="AI549" s="464">
        <f t="shared" si="37"/>
        <v>529</v>
      </c>
      <c r="AJ549" s="473">
        <v>43649</v>
      </c>
      <c r="AK549" s="474">
        <v>19790.830000000002</v>
      </c>
      <c r="AL549" s="475">
        <v>6.7000000000000002E-3</v>
      </c>
      <c r="AM549" s="475">
        <f t="shared" si="39"/>
        <v>6.6889359912061241E-3</v>
      </c>
      <c r="AN549" s="464"/>
      <c r="AO549" s="464"/>
      <c r="AR549" s="464">
        <f t="shared" si="38"/>
        <v>529</v>
      </c>
      <c r="AS549" s="464" t="s">
        <v>2109</v>
      </c>
      <c r="AT549" s="381">
        <v>1.115E-2</v>
      </c>
      <c r="AV549" s="464"/>
      <c r="AW549" s="465"/>
    </row>
    <row r="550" spans="35:49">
      <c r="AI550" s="464">
        <f t="shared" si="37"/>
        <v>530</v>
      </c>
      <c r="AJ550" s="473">
        <v>43650</v>
      </c>
      <c r="AK550" s="474">
        <v>19797.61</v>
      </c>
      <c r="AL550" s="475">
        <v>2.9999999999999997E-4</v>
      </c>
      <c r="AM550" s="475">
        <f t="shared" si="39"/>
        <v>3.4258290329414187E-4</v>
      </c>
      <c r="AN550" s="464"/>
      <c r="AO550" s="464"/>
      <c r="AR550" s="464">
        <f t="shared" si="38"/>
        <v>530</v>
      </c>
      <c r="AS550" s="464" t="s">
        <v>2108</v>
      </c>
      <c r="AT550" s="381">
        <v>1.1040000000000001E-2</v>
      </c>
      <c r="AV550" s="464"/>
      <c r="AW550" s="465"/>
    </row>
    <row r="551" spans="35:49">
      <c r="AI551" s="464">
        <f t="shared" si="37"/>
        <v>531</v>
      </c>
      <c r="AJ551" s="473">
        <v>43651</v>
      </c>
      <c r="AK551" s="474">
        <v>19655.27</v>
      </c>
      <c r="AL551" s="475">
        <v>-7.1999999999999998E-3</v>
      </c>
      <c r="AM551" s="475">
        <f t="shared" si="39"/>
        <v>-7.1897567433645282E-3</v>
      </c>
      <c r="AN551" s="464"/>
      <c r="AO551" s="464"/>
      <c r="AR551" s="464">
        <f t="shared" si="38"/>
        <v>531</v>
      </c>
      <c r="AS551" s="464" t="s">
        <v>2107</v>
      </c>
      <c r="AT551" s="381">
        <v>1.0970000000000001E-2</v>
      </c>
      <c r="AV551" s="464"/>
      <c r="AW551" s="465"/>
    </row>
    <row r="552" spans="35:49">
      <c r="AI552" s="464">
        <f t="shared" si="37"/>
        <v>532</v>
      </c>
      <c r="AJ552" s="473">
        <v>43654</v>
      </c>
      <c r="AK552" s="474">
        <v>19581.47</v>
      </c>
      <c r="AL552" s="475">
        <v>-3.8E-3</v>
      </c>
      <c r="AM552" s="475">
        <f t="shared" si="39"/>
        <v>-3.7547182002587443E-3</v>
      </c>
      <c r="AN552" s="464"/>
      <c r="AO552" s="464"/>
      <c r="AR552" s="464">
        <f t="shared" si="38"/>
        <v>532</v>
      </c>
      <c r="AS552" s="464" t="s">
        <v>2106</v>
      </c>
      <c r="AT552" s="381">
        <v>1.15E-2</v>
      </c>
      <c r="AV552" s="464"/>
      <c r="AW552" s="465"/>
    </row>
    <row r="553" spans="35:49">
      <c r="AI553" s="464">
        <f t="shared" si="37"/>
        <v>533</v>
      </c>
      <c r="AJ553" s="473">
        <v>43655</v>
      </c>
      <c r="AK553" s="474">
        <v>19467.37</v>
      </c>
      <c r="AL553" s="475">
        <v>-5.7999999999999996E-3</v>
      </c>
      <c r="AM553" s="475">
        <f t="shared" si="39"/>
        <v>-5.8269374056187928E-3</v>
      </c>
      <c r="AN553" s="464"/>
      <c r="AO553" s="464"/>
      <c r="AR553" s="464">
        <f t="shared" si="38"/>
        <v>533</v>
      </c>
      <c r="AS553" s="464" t="s">
        <v>2105</v>
      </c>
      <c r="AT553" s="381">
        <v>1.213E-2</v>
      </c>
      <c r="AV553" s="464"/>
      <c r="AW553" s="465"/>
    </row>
    <row r="554" spans="35:49">
      <c r="AI554" s="464">
        <f t="shared" si="37"/>
        <v>534</v>
      </c>
      <c r="AJ554" s="473">
        <v>43656</v>
      </c>
      <c r="AK554" s="474">
        <v>19419.38</v>
      </c>
      <c r="AL554" s="475">
        <v>-2.5000000000000001E-3</v>
      </c>
      <c r="AM554" s="475">
        <f t="shared" si="39"/>
        <v>-2.4651506597962447E-3</v>
      </c>
      <c r="AN554" s="464"/>
      <c r="AO554" s="464"/>
      <c r="AR554" s="464">
        <f t="shared" si="38"/>
        <v>534</v>
      </c>
      <c r="AS554" s="464" t="s">
        <v>2104</v>
      </c>
      <c r="AT554" s="381">
        <v>1.2150000000000001E-2</v>
      </c>
      <c r="AV554" s="464"/>
      <c r="AW554" s="465"/>
    </row>
    <row r="555" spans="35:49">
      <c r="AI555" s="464">
        <f t="shared" si="37"/>
        <v>535</v>
      </c>
      <c r="AJ555" s="473">
        <v>43657</v>
      </c>
      <c r="AK555" s="474">
        <v>19443.16</v>
      </c>
      <c r="AL555" s="475">
        <v>1.1999999999999999E-3</v>
      </c>
      <c r="AM555" s="475">
        <f t="shared" si="39"/>
        <v>1.2245499083904932E-3</v>
      </c>
      <c r="AN555" s="464"/>
      <c r="AO555" s="464"/>
      <c r="AR555" s="464">
        <f t="shared" si="38"/>
        <v>535</v>
      </c>
      <c r="AS555" s="464" t="s">
        <v>2103</v>
      </c>
      <c r="AT555" s="381">
        <v>1.2199999999999999E-2</v>
      </c>
      <c r="AV555" s="464"/>
      <c r="AW555" s="465"/>
    </row>
    <row r="556" spans="35:49">
      <c r="AI556" s="464">
        <f t="shared" si="37"/>
        <v>536</v>
      </c>
      <c r="AJ556" s="473">
        <v>43658</v>
      </c>
      <c r="AK556" s="474">
        <v>19551.830000000002</v>
      </c>
      <c r="AL556" s="475">
        <v>5.5999999999999999E-3</v>
      </c>
      <c r="AM556" s="475">
        <f t="shared" si="39"/>
        <v>5.5891120579165676E-3</v>
      </c>
      <c r="AN556" s="464"/>
      <c r="AO556" s="464"/>
      <c r="AR556" s="464">
        <f t="shared" si="38"/>
        <v>536</v>
      </c>
      <c r="AS556" s="464" t="s">
        <v>2102</v>
      </c>
      <c r="AT556" s="381">
        <v>1.222E-2</v>
      </c>
      <c r="AV556" s="464"/>
      <c r="AW556" s="465"/>
    </row>
    <row r="557" spans="35:49">
      <c r="AI557" s="464">
        <f t="shared" si="37"/>
        <v>537</v>
      </c>
      <c r="AJ557" s="473">
        <v>43661</v>
      </c>
      <c r="AK557" s="474">
        <v>19584.14</v>
      </c>
      <c r="AL557" s="475">
        <v>1.6999999999999999E-3</v>
      </c>
      <c r="AM557" s="475">
        <f t="shared" si="39"/>
        <v>1.6525307349746221E-3</v>
      </c>
      <c r="AN557" s="464"/>
      <c r="AO557" s="464"/>
      <c r="AR557" s="464">
        <f t="shared" si="38"/>
        <v>537</v>
      </c>
      <c r="AS557" s="464" t="s">
        <v>2101</v>
      </c>
      <c r="AT557" s="381">
        <v>1.2370000000000001E-2</v>
      </c>
      <c r="AV557" s="464"/>
      <c r="AW557" s="465"/>
    </row>
    <row r="558" spans="35:49">
      <c r="AI558" s="464">
        <f t="shared" si="37"/>
        <v>538</v>
      </c>
      <c r="AJ558" s="473">
        <v>43662</v>
      </c>
      <c r="AK558" s="474">
        <v>19656.05</v>
      </c>
      <c r="AL558" s="475">
        <v>3.7000000000000002E-3</v>
      </c>
      <c r="AM558" s="475">
        <f t="shared" si="39"/>
        <v>3.6718487510811748E-3</v>
      </c>
      <c r="AN558" s="464"/>
      <c r="AO558" s="464"/>
      <c r="AR558" s="464">
        <f t="shared" si="38"/>
        <v>538</v>
      </c>
      <c r="AS558" s="464" t="s">
        <v>2100</v>
      </c>
      <c r="AT558" s="381">
        <v>1.196E-2</v>
      </c>
      <c r="AV558" s="464"/>
      <c r="AW558" s="465"/>
    </row>
    <row r="559" spans="35:49">
      <c r="AI559" s="464">
        <f t="shared" si="37"/>
        <v>539</v>
      </c>
      <c r="AJ559" s="473">
        <v>43663</v>
      </c>
      <c r="AK559" s="474">
        <v>19614.2</v>
      </c>
      <c r="AL559" s="475">
        <v>-2.0999999999999999E-3</v>
      </c>
      <c r="AM559" s="475">
        <f t="shared" si="39"/>
        <v>-2.1291154631779552E-3</v>
      </c>
      <c r="AN559" s="464"/>
      <c r="AO559" s="464"/>
      <c r="AR559" s="464">
        <f t="shared" si="38"/>
        <v>539</v>
      </c>
      <c r="AS559" s="464" t="s">
        <v>2099</v>
      </c>
      <c r="AT559" s="381">
        <v>1.1990000000000001E-2</v>
      </c>
      <c r="AV559" s="464"/>
      <c r="AW559" s="465"/>
    </row>
    <row r="560" spans="35:49">
      <c r="AI560" s="464">
        <f t="shared" si="37"/>
        <v>540</v>
      </c>
      <c r="AJ560" s="473">
        <v>43664</v>
      </c>
      <c r="AK560" s="474">
        <v>19535.13</v>
      </c>
      <c r="AL560" s="475">
        <v>-4.0000000000000001E-3</v>
      </c>
      <c r="AM560" s="475">
        <f t="shared" si="39"/>
        <v>-4.031263064514512E-3</v>
      </c>
      <c r="AN560" s="464"/>
      <c r="AO560" s="464"/>
      <c r="AR560" s="464">
        <f t="shared" si="38"/>
        <v>540</v>
      </c>
      <c r="AS560" s="464" t="s">
        <v>2098</v>
      </c>
      <c r="AT560" s="381">
        <v>1.191E-2</v>
      </c>
      <c r="AV560" s="464"/>
      <c r="AW560" s="465"/>
    </row>
    <row r="561" spans="35:49">
      <c r="AI561" s="464">
        <f t="shared" si="37"/>
        <v>541</v>
      </c>
      <c r="AJ561" s="473">
        <v>43665</v>
      </c>
      <c r="AK561" s="474">
        <v>19621.66</v>
      </c>
      <c r="AL561" s="475">
        <v>4.4000000000000003E-3</v>
      </c>
      <c r="AM561" s="475">
        <f t="shared" si="39"/>
        <v>4.4294560619764223E-3</v>
      </c>
      <c r="AN561" s="464"/>
      <c r="AO561" s="464"/>
      <c r="AR561" s="464">
        <f t="shared" si="38"/>
        <v>541</v>
      </c>
      <c r="AS561" s="464" t="s">
        <v>2097</v>
      </c>
      <c r="AT561" s="381">
        <v>1.2270000000000001E-2</v>
      </c>
      <c r="AV561" s="464"/>
      <c r="AW561" s="465"/>
    </row>
    <row r="562" spans="35:49">
      <c r="AI562" s="464">
        <f t="shared" si="37"/>
        <v>542</v>
      </c>
      <c r="AJ562" s="473">
        <v>43668</v>
      </c>
      <c r="AK562" s="474">
        <v>19648.009999999998</v>
      </c>
      <c r="AL562" s="475">
        <v>1.2999999999999999E-3</v>
      </c>
      <c r="AM562" s="475">
        <f t="shared" si="39"/>
        <v>1.3429037094720986E-3</v>
      </c>
      <c r="AN562" s="464"/>
      <c r="AO562" s="464"/>
      <c r="AR562" s="464">
        <f t="shared" si="38"/>
        <v>542</v>
      </c>
      <c r="AS562" s="464" t="s">
        <v>2096</v>
      </c>
      <c r="AT562" s="381">
        <v>1.1770000000000001E-2</v>
      </c>
      <c r="AV562" s="464"/>
      <c r="AW562" s="465"/>
    </row>
    <row r="563" spans="35:49">
      <c r="AI563" s="464">
        <f t="shared" si="37"/>
        <v>543</v>
      </c>
      <c r="AJ563" s="473">
        <v>43669</v>
      </c>
      <c r="AK563" s="474">
        <v>19752.34</v>
      </c>
      <c r="AL563" s="475">
        <v>5.3E-3</v>
      </c>
      <c r="AM563" s="475">
        <f t="shared" si="39"/>
        <v>5.3099525091855337E-3</v>
      </c>
      <c r="AN563" s="464"/>
      <c r="AO563" s="464"/>
      <c r="AR563" s="464">
        <f t="shared" si="38"/>
        <v>543</v>
      </c>
      <c r="AS563" s="464" t="s">
        <v>2095</v>
      </c>
      <c r="AT563" s="381">
        <v>1.1559999999999999E-2</v>
      </c>
      <c r="AV563" s="464"/>
      <c r="AW563" s="465"/>
    </row>
    <row r="564" spans="35:49">
      <c r="AI564" s="464">
        <f t="shared" si="37"/>
        <v>544</v>
      </c>
      <c r="AJ564" s="473">
        <v>43670</v>
      </c>
      <c r="AK564" s="474">
        <v>19787.78</v>
      </c>
      <c r="AL564" s="475">
        <v>1.8E-3</v>
      </c>
      <c r="AM564" s="475">
        <f t="shared" si="39"/>
        <v>1.7942177990049046E-3</v>
      </c>
      <c r="AN564" s="464"/>
      <c r="AO564" s="464"/>
      <c r="AR564" s="464">
        <f t="shared" si="38"/>
        <v>544</v>
      </c>
      <c r="AS564" s="464" t="s">
        <v>2094</v>
      </c>
      <c r="AT564" s="381">
        <v>1.1430000000000001E-2</v>
      </c>
      <c r="AV564" s="464"/>
      <c r="AW564" s="465"/>
    </row>
    <row r="565" spans="35:49">
      <c r="AI565" s="464">
        <f t="shared" si="37"/>
        <v>545</v>
      </c>
      <c r="AJ565" s="473">
        <v>43671</v>
      </c>
      <c r="AK565" s="474">
        <v>19820.349999999999</v>
      </c>
      <c r="AL565" s="475">
        <v>1.6000000000000001E-3</v>
      </c>
      <c r="AM565" s="475">
        <f t="shared" si="39"/>
        <v>1.6459653382037143E-3</v>
      </c>
      <c r="AN565" s="464"/>
      <c r="AO565" s="464"/>
      <c r="AR565" s="464">
        <f t="shared" si="38"/>
        <v>545</v>
      </c>
      <c r="AS565" s="464" t="s">
        <v>2093</v>
      </c>
      <c r="AT565" s="381">
        <v>1.145E-2</v>
      </c>
      <c r="AV565" s="464"/>
      <c r="AW565" s="465"/>
    </row>
    <row r="566" spans="35:49">
      <c r="AI566" s="464">
        <f t="shared" si="37"/>
        <v>546</v>
      </c>
      <c r="AJ566" s="473">
        <v>43672</v>
      </c>
      <c r="AK566" s="474">
        <v>19857.939999999999</v>
      </c>
      <c r="AL566" s="475">
        <v>1.9E-3</v>
      </c>
      <c r="AM566" s="475">
        <f t="shared" si="39"/>
        <v>1.8965356313083159E-3</v>
      </c>
      <c r="AN566" s="464"/>
      <c r="AO566" s="464"/>
      <c r="AR566" s="464">
        <f t="shared" si="38"/>
        <v>546</v>
      </c>
      <c r="AS566" s="464" t="s">
        <v>2092</v>
      </c>
      <c r="AT566" s="381">
        <v>1.158E-2</v>
      </c>
      <c r="AV566" s="464"/>
      <c r="AW566" s="465"/>
    </row>
    <row r="567" spans="35:49">
      <c r="AI567" s="464">
        <f t="shared" si="37"/>
        <v>547</v>
      </c>
      <c r="AJ567" s="473">
        <v>43675</v>
      </c>
      <c r="AK567" s="474">
        <v>19886.7</v>
      </c>
      <c r="AL567" s="475">
        <v>1.4E-3</v>
      </c>
      <c r="AM567" s="475">
        <f t="shared" si="39"/>
        <v>1.4482871838670253E-3</v>
      </c>
      <c r="AN567" s="464"/>
      <c r="AO567" s="464"/>
      <c r="AR567" s="464">
        <f t="shared" si="38"/>
        <v>547</v>
      </c>
      <c r="AS567" s="464" t="s">
        <v>2091</v>
      </c>
      <c r="AT567" s="381">
        <v>1.1859999999999999E-2</v>
      </c>
      <c r="AV567" s="464"/>
      <c r="AW567" s="465"/>
    </row>
    <row r="568" spans="35:49">
      <c r="AI568" s="464">
        <f t="shared" si="37"/>
        <v>548</v>
      </c>
      <c r="AJ568" s="473">
        <v>43676</v>
      </c>
      <c r="AK568" s="474">
        <v>19774.82</v>
      </c>
      <c r="AL568" s="475">
        <v>-5.5999999999999999E-3</v>
      </c>
      <c r="AM568" s="475">
        <f t="shared" si="39"/>
        <v>-5.625870556703827E-3</v>
      </c>
      <c r="AN568" s="464"/>
      <c r="AO568" s="464"/>
      <c r="AR568" s="464">
        <f t="shared" si="38"/>
        <v>548</v>
      </c>
      <c r="AS568" s="464" t="s">
        <v>2090</v>
      </c>
      <c r="AT568" s="381">
        <v>1.1509999999999999E-2</v>
      </c>
      <c r="AV568" s="464"/>
      <c r="AW568" s="465"/>
    </row>
    <row r="569" spans="35:49">
      <c r="AI569" s="464">
        <f t="shared" si="37"/>
        <v>549</v>
      </c>
      <c r="AJ569" s="473">
        <v>43677</v>
      </c>
      <c r="AK569" s="474">
        <v>19666.52</v>
      </c>
      <c r="AL569" s="475">
        <v>-5.4999999999999997E-3</v>
      </c>
      <c r="AM569" s="475">
        <f t="shared" si="39"/>
        <v>-5.4766617344683688E-3</v>
      </c>
      <c r="AN569" s="464"/>
      <c r="AO569" s="464"/>
      <c r="AR569" s="464">
        <f t="shared" si="38"/>
        <v>549</v>
      </c>
      <c r="AS569" s="464" t="s">
        <v>2089</v>
      </c>
      <c r="AT569" s="381">
        <v>1.187E-2</v>
      </c>
      <c r="AV569" s="464"/>
      <c r="AW569" s="465"/>
    </row>
    <row r="570" spans="35:49">
      <c r="AI570" s="464">
        <f t="shared" si="37"/>
        <v>550</v>
      </c>
      <c r="AJ570" s="473">
        <v>43678</v>
      </c>
      <c r="AK570" s="474">
        <v>19634.310000000001</v>
      </c>
      <c r="AL570" s="475">
        <v>-1.6000000000000001E-3</v>
      </c>
      <c r="AM570" s="475">
        <f t="shared" si="39"/>
        <v>-1.6378088243369504E-3</v>
      </c>
      <c r="AN570" s="464"/>
      <c r="AO570" s="464"/>
      <c r="AR570" s="464">
        <f t="shared" si="38"/>
        <v>550</v>
      </c>
      <c r="AS570" s="464" t="s">
        <v>2088</v>
      </c>
      <c r="AT570" s="381">
        <v>1.2190000000000001E-2</v>
      </c>
      <c r="AV570" s="464"/>
      <c r="AW570" s="465"/>
    </row>
    <row r="571" spans="35:49">
      <c r="AI571" s="464">
        <f t="shared" si="37"/>
        <v>551</v>
      </c>
      <c r="AJ571" s="473">
        <v>43679</v>
      </c>
      <c r="AK571" s="474">
        <v>19253.169999999998</v>
      </c>
      <c r="AL571" s="475">
        <v>-1.9400000000000001E-2</v>
      </c>
      <c r="AM571" s="475">
        <f t="shared" si="39"/>
        <v>-1.9411937572545335E-2</v>
      </c>
      <c r="AN571" s="464"/>
      <c r="AO571" s="464"/>
      <c r="AR571" s="464">
        <f t="shared" si="38"/>
        <v>551</v>
      </c>
      <c r="AS571" s="464" t="s">
        <v>2087</v>
      </c>
      <c r="AT571" s="381">
        <v>1.222E-2</v>
      </c>
      <c r="AV571" s="464"/>
      <c r="AW571" s="465"/>
    </row>
    <row r="572" spans="35:49">
      <c r="AI572" s="464">
        <f t="shared" si="37"/>
        <v>552</v>
      </c>
      <c r="AJ572" s="473">
        <v>43682</v>
      </c>
      <c r="AK572" s="474">
        <v>18871.419999999998</v>
      </c>
      <c r="AL572" s="475">
        <v>-1.9800000000000002E-2</v>
      </c>
      <c r="AM572" s="475">
        <f t="shared" si="39"/>
        <v>-1.9827903664695223E-2</v>
      </c>
      <c r="AN572" s="464"/>
      <c r="AO572" s="464"/>
      <c r="AR572" s="464">
        <f t="shared" si="38"/>
        <v>552</v>
      </c>
      <c r="AS572" s="464" t="s">
        <v>2086</v>
      </c>
      <c r="AT572" s="381">
        <v>1.217E-2</v>
      </c>
      <c r="AV572" s="464"/>
      <c r="AW572" s="465"/>
    </row>
    <row r="573" spans="35:49">
      <c r="AI573" s="464">
        <f t="shared" si="37"/>
        <v>553</v>
      </c>
      <c r="AJ573" s="473">
        <v>43683</v>
      </c>
      <c r="AK573" s="474">
        <v>18846.2</v>
      </c>
      <c r="AL573" s="475">
        <v>-1.2999999999999999E-3</v>
      </c>
      <c r="AM573" s="475">
        <f t="shared" si="39"/>
        <v>-1.3364124162356106E-3</v>
      </c>
      <c r="AN573" s="464"/>
      <c r="AO573" s="464"/>
      <c r="AR573" s="464">
        <f t="shared" si="38"/>
        <v>553</v>
      </c>
      <c r="AS573" s="464" t="s">
        <v>2085</v>
      </c>
      <c r="AT573" s="381">
        <v>1.157E-2</v>
      </c>
      <c r="AV573" s="464"/>
      <c r="AW573" s="465"/>
    </row>
    <row r="574" spans="35:49">
      <c r="AI574" s="464">
        <f t="shared" si="37"/>
        <v>554</v>
      </c>
      <c r="AJ574" s="473">
        <v>43684</v>
      </c>
      <c r="AK574" s="474">
        <v>18941</v>
      </c>
      <c r="AL574" s="475">
        <v>5.0000000000000001E-3</v>
      </c>
      <c r="AM574" s="475">
        <f t="shared" si="39"/>
        <v>5.0301917627957327E-3</v>
      </c>
      <c r="AN574" s="464"/>
      <c r="AO574" s="464"/>
      <c r="AR574" s="464">
        <f t="shared" si="38"/>
        <v>554</v>
      </c>
      <c r="AS574" s="464" t="s">
        <v>2084</v>
      </c>
      <c r="AT574" s="381">
        <v>1.137E-2</v>
      </c>
      <c r="AV574" s="464"/>
      <c r="AW574" s="465"/>
    </row>
    <row r="575" spans="35:49">
      <c r="AI575" s="464">
        <f t="shared" si="37"/>
        <v>555</v>
      </c>
      <c r="AJ575" s="473">
        <v>43685</v>
      </c>
      <c r="AK575" s="474">
        <v>19137.61</v>
      </c>
      <c r="AL575" s="475">
        <v>1.04E-2</v>
      </c>
      <c r="AM575" s="475">
        <f t="shared" si="39"/>
        <v>1.0380127765165614E-2</v>
      </c>
      <c r="AN575" s="464"/>
      <c r="AO575" s="464"/>
      <c r="AR575" s="464">
        <f t="shared" si="38"/>
        <v>555</v>
      </c>
      <c r="AS575" s="464" t="s">
        <v>2083</v>
      </c>
      <c r="AT575" s="381">
        <v>1.1240000000000002E-2</v>
      </c>
      <c r="AV575" s="464"/>
      <c r="AW575" s="465"/>
    </row>
    <row r="576" spans="35:49">
      <c r="AI576" s="464">
        <f t="shared" si="37"/>
        <v>556</v>
      </c>
      <c r="AJ576" s="473">
        <v>43686</v>
      </c>
      <c r="AK576" s="474">
        <v>19092.150000000001</v>
      </c>
      <c r="AL576" s="475">
        <v>-2.3999999999999998E-3</v>
      </c>
      <c r="AM576" s="475">
        <f t="shared" si="39"/>
        <v>-2.375427234644234E-3</v>
      </c>
      <c r="AN576" s="464"/>
      <c r="AO576" s="464"/>
      <c r="AR576" s="464">
        <f t="shared" si="38"/>
        <v>556</v>
      </c>
      <c r="AS576" s="464" t="s">
        <v>2082</v>
      </c>
      <c r="AT576" s="381">
        <v>1.137E-2</v>
      </c>
      <c r="AV576" s="464"/>
      <c r="AW576" s="465"/>
    </row>
    <row r="577" spans="35:49">
      <c r="AI577" s="464">
        <f t="shared" si="37"/>
        <v>557</v>
      </c>
      <c r="AJ577" s="473">
        <v>43689</v>
      </c>
      <c r="AK577" s="474">
        <v>18913</v>
      </c>
      <c r="AL577" s="475">
        <v>-9.4000000000000004E-3</v>
      </c>
      <c r="AM577" s="475">
        <f t="shared" si="39"/>
        <v>-9.383437695597463E-3</v>
      </c>
      <c r="AN577" s="464"/>
      <c r="AO577" s="464"/>
      <c r="AR577" s="464">
        <f t="shared" si="38"/>
        <v>557</v>
      </c>
      <c r="AS577" s="464" t="s">
        <v>2081</v>
      </c>
      <c r="AT577" s="381">
        <v>1.1000000000000001E-2</v>
      </c>
      <c r="AV577" s="464"/>
      <c r="AW577" s="465"/>
    </row>
    <row r="578" spans="35:49">
      <c r="AI578" s="464">
        <f t="shared" si="37"/>
        <v>558</v>
      </c>
      <c r="AJ578" s="473">
        <v>43690</v>
      </c>
      <c r="AK578" s="474">
        <v>19008.18</v>
      </c>
      <c r="AL578" s="475">
        <v>5.0000000000000001E-3</v>
      </c>
      <c r="AM578" s="475">
        <f t="shared" si="39"/>
        <v>5.032517316131857E-3</v>
      </c>
      <c r="AN578" s="464"/>
      <c r="AO578" s="464"/>
      <c r="AR578" s="464">
        <f t="shared" si="38"/>
        <v>558</v>
      </c>
      <c r="AS578" s="464" t="s">
        <v>2080</v>
      </c>
      <c r="AT578" s="381">
        <v>1.106E-2</v>
      </c>
      <c r="AV578" s="464"/>
      <c r="AW578" s="465"/>
    </row>
    <row r="579" spans="35:49">
      <c r="AI579" s="464">
        <f t="shared" si="37"/>
        <v>559</v>
      </c>
      <c r="AJ579" s="473">
        <v>43691</v>
      </c>
      <c r="AK579" s="474">
        <v>18731.05</v>
      </c>
      <c r="AL579" s="475">
        <v>-1.46E-2</v>
      </c>
      <c r="AM579" s="475">
        <f t="shared" si="39"/>
        <v>-1.4579512609834366E-2</v>
      </c>
      <c r="AN579" s="464"/>
      <c r="AO579" s="464"/>
      <c r="AR579" s="464">
        <f t="shared" si="38"/>
        <v>559</v>
      </c>
      <c r="AS579" s="464" t="s">
        <v>2079</v>
      </c>
      <c r="AT579" s="381">
        <v>1.069E-2</v>
      </c>
      <c r="AV579" s="464"/>
      <c r="AW579" s="465"/>
    </row>
    <row r="580" spans="35:49">
      <c r="AI580" s="464">
        <f t="shared" si="37"/>
        <v>560</v>
      </c>
      <c r="AJ580" s="473">
        <v>43692</v>
      </c>
      <c r="AK580" s="474">
        <v>18640.650000000001</v>
      </c>
      <c r="AL580" s="475">
        <v>-4.7999999999999996E-3</v>
      </c>
      <c r="AM580" s="475">
        <f t="shared" si="39"/>
        <v>-4.8262110239414291E-3</v>
      </c>
      <c r="AN580" s="464"/>
      <c r="AO580" s="464"/>
      <c r="AR580" s="464">
        <f t="shared" si="38"/>
        <v>560</v>
      </c>
      <c r="AS580" s="464" t="s">
        <v>2078</v>
      </c>
      <c r="AT580" s="381">
        <v>1.0740000000000001E-2</v>
      </c>
      <c r="AV580" s="464"/>
      <c r="AW580" s="465"/>
    </row>
    <row r="581" spans="35:49">
      <c r="AI581" s="464">
        <f t="shared" si="37"/>
        <v>561</v>
      </c>
      <c r="AJ581" s="473">
        <v>43693</v>
      </c>
      <c r="AK581" s="474">
        <v>18821.849999999999</v>
      </c>
      <c r="AL581" s="475">
        <v>9.7000000000000003E-3</v>
      </c>
      <c r="AM581" s="475">
        <f t="shared" si="39"/>
        <v>9.7206910703220295E-3</v>
      </c>
      <c r="AN581" s="464"/>
      <c r="AO581" s="464"/>
      <c r="AR581" s="464">
        <f t="shared" si="38"/>
        <v>561</v>
      </c>
      <c r="AS581" s="464" t="s">
        <v>2077</v>
      </c>
      <c r="AT581" s="381">
        <v>1.035E-2</v>
      </c>
      <c r="AV581" s="464"/>
      <c r="AW581" s="465"/>
    </row>
    <row r="582" spans="35:49">
      <c r="AI582" s="464">
        <f t="shared" si="37"/>
        <v>562</v>
      </c>
      <c r="AJ582" s="473">
        <v>43696</v>
      </c>
      <c r="AK582" s="474">
        <v>19097.97</v>
      </c>
      <c r="AL582" s="475">
        <v>1.47E-2</v>
      </c>
      <c r="AM582" s="475">
        <f t="shared" si="39"/>
        <v>1.4670183855465924E-2</v>
      </c>
      <c r="AN582" s="464"/>
      <c r="AO582" s="464"/>
      <c r="AR582" s="464">
        <f t="shared" si="38"/>
        <v>562</v>
      </c>
      <c r="AS582" s="464" t="s">
        <v>2076</v>
      </c>
      <c r="AT582" s="381">
        <v>1.0360000000000001E-2</v>
      </c>
      <c r="AV582" s="464"/>
      <c r="AW582" s="465"/>
    </row>
    <row r="583" spans="35:49">
      <c r="AI583" s="464">
        <f t="shared" si="37"/>
        <v>563</v>
      </c>
      <c r="AJ583" s="473">
        <v>43697</v>
      </c>
      <c r="AK583" s="474">
        <v>19008.09</v>
      </c>
      <c r="AL583" s="475">
        <v>-4.7000000000000002E-3</v>
      </c>
      <c r="AM583" s="475">
        <f t="shared" si="39"/>
        <v>-4.7062593563609312E-3</v>
      </c>
      <c r="AN583" s="464"/>
      <c r="AO583" s="464"/>
      <c r="AR583" s="464">
        <f t="shared" si="38"/>
        <v>563</v>
      </c>
      <c r="AS583" s="464" t="s">
        <v>2075</v>
      </c>
      <c r="AT583" s="381">
        <v>1.056E-2</v>
      </c>
      <c r="AV583" s="464"/>
      <c r="AW583" s="465"/>
    </row>
    <row r="584" spans="35:49">
      <c r="AI584" s="464">
        <f t="shared" si="37"/>
        <v>564</v>
      </c>
      <c r="AJ584" s="473">
        <v>43698</v>
      </c>
      <c r="AK584" s="474">
        <v>19207.75</v>
      </c>
      <c r="AL584" s="475">
        <v>1.0500000000000001E-2</v>
      </c>
      <c r="AM584" s="475">
        <f t="shared" si="39"/>
        <v>1.0503948581893185E-2</v>
      </c>
      <c r="AN584" s="464"/>
      <c r="AO584" s="464"/>
      <c r="AR584" s="464">
        <f t="shared" si="38"/>
        <v>564</v>
      </c>
      <c r="AS584" s="464" t="s">
        <v>2074</v>
      </c>
      <c r="AT584" s="381">
        <v>1.0840000000000001E-2</v>
      </c>
      <c r="AV584" s="464"/>
      <c r="AW584" s="465"/>
    </row>
    <row r="585" spans="35:49">
      <c r="AI585" s="464">
        <f t="shared" si="37"/>
        <v>565</v>
      </c>
      <c r="AJ585" s="473">
        <v>43699</v>
      </c>
      <c r="AK585" s="474">
        <v>19205.32</v>
      </c>
      <c r="AL585" s="475">
        <v>-1E-4</v>
      </c>
      <c r="AM585" s="475">
        <f t="shared" si="39"/>
        <v>-1.2651143418673794E-4</v>
      </c>
      <c r="AN585" s="464"/>
      <c r="AO585" s="464"/>
      <c r="AR585" s="464">
        <f t="shared" si="38"/>
        <v>565</v>
      </c>
      <c r="AS585" s="464" t="s">
        <v>2073</v>
      </c>
      <c r="AT585" s="381">
        <v>1.014E-2</v>
      </c>
      <c r="AV585" s="464"/>
      <c r="AW585" s="465"/>
    </row>
    <row r="586" spans="35:49">
      <c r="AI586" s="464">
        <f t="shared" si="37"/>
        <v>566</v>
      </c>
      <c r="AJ586" s="473">
        <v>43700</v>
      </c>
      <c r="AK586" s="474">
        <v>19236.13</v>
      </c>
      <c r="AL586" s="475">
        <v>1.6000000000000001E-3</v>
      </c>
      <c r="AM586" s="475">
        <f t="shared" si="39"/>
        <v>1.6042429910045897E-3</v>
      </c>
      <c r="AN586" s="464"/>
      <c r="AO586" s="464"/>
      <c r="AR586" s="464">
        <f t="shared" si="38"/>
        <v>566</v>
      </c>
      <c r="AS586" s="464" t="s">
        <v>2072</v>
      </c>
      <c r="AT586" s="381">
        <v>9.5399999999999999E-3</v>
      </c>
      <c r="AV586" s="464"/>
      <c r="AW586" s="465"/>
    </row>
    <row r="587" spans="35:49">
      <c r="AI587" s="464">
        <f t="shared" si="37"/>
        <v>567</v>
      </c>
      <c r="AJ587" s="473">
        <v>43704</v>
      </c>
      <c r="AK587" s="474">
        <v>19335.88</v>
      </c>
      <c r="AL587" s="475">
        <v>5.1999999999999998E-3</v>
      </c>
      <c r="AM587" s="475">
        <f t="shared" si="39"/>
        <v>5.1855544748344862E-3</v>
      </c>
      <c r="AN587" s="464"/>
      <c r="AO587" s="464"/>
      <c r="AR587" s="464">
        <f t="shared" si="38"/>
        <v>567</v>
      </c>
      <c r="AS587" s="464" t="s">
        <v>2071</v>
      </c>
      <c r="AT587" s="381">
        <v>9.5599999999999991E-3</v>
      </c>
      <c r="AV587" s="464"/>
      <c r="AW587" s="465"/>
    </row>
    <row r="588" spans="35:49">
      <c r="AI588" s="464">
        <f t="shared" si="37"/>
        <v>568</v>
      </c>
      <c r="AJ588" s="473">
        <v>43705</v>
      </c>
      <c r="AK588" s="474">
        <v>19202.990000000002</v>
      </c>
      <c r="AL588" s="475">
        <v>-6.8999999999999999E-3</v>
      </c>
      <c r="AM588" s="475">
        <f t="shared" si="39"/>
        <v>-6.8727153871455116E-3</v>
      </c>
      <c r="AN588" s="464"/>
      <c r="AO588" s="464"/>
      <c r="AR588" s="464">
        <f t="shared" si="38"/>
        <v>568</v>
      </c>
      <c r="AS588" s="464" t="s">
        <v>2070</v>
      </c>
      <c r="AT588" s="381">
        <v>9.5899999999999996E-3</v>
      </c>
      <c r="AV588" s="464"/>
      <c r="AW588" s="465"/>
    </row>
    <row r="589" spans="35:49">
      <c r="AI589" s="464">
        <f t="shared" si="37"/>
        <v>569</v>
      </c>
      <c r="AJ589" s="473">
        <v>43706</v>
      </c>
      <c r="AK589" s="474">
        <v>19292.5</v>
      </c>
      <c r="AL589" s="475">
        <v>4.7000000000000002E-3</v>
      </c>
      <c r="AM589" s="475">
        <f t="shared" si="39"/>
        <v>4.6612532735785805E-3</v>
      </c>
      <c r="AN589" s="464"/>
      <c r="AO589" s="464"/>
      <c r="AR589" s="464">
        <f t="shared" si="38"/>
        <v>569</v>
      </c>
      <c r="AS589" s="464" t="s">
        <v>2069</v>
      </c>
      <c r="AT589" s="381">
        <v>9.1800000000000007E-3</v>
      </c>
      <c r="AV589" s="464"/>
      <c r="AW589" s="465"/>
    </row>
    <row r="590" spans="35:49">
      <c r="AI590" s="464">
        <f t="shared" si="37"/>
        <v>570</v>
      </c>
      <c r="AJ590" s="473">
        <v>43707</v>
      </c>
      <c r="AK590" s="474">
        <v>19393.63</v>
      </c>
      <c r="AL590" s="475">
        <v>5.1999999999999998E-3</v>
      </c>
      <c r="AM590" s="475">
        <f t="shared" si="39"/>
        <v>5.2419333938058532E-3</v>
      </c>
      <c r="AN590" s="464"/>
      <c r="AO590" s="464"/>
      <c r="AR590" s="464">
        <f t="shared" si="38"/>
        <v>570</v>
      </c>
      <c r="AS590" s="464" t="s">
        <v>2068</v>
      </c>
      <c r="AT590" s="381">
        <v>8.9300000000000004E-3</v>
      </c>
      <c r="AV590" s="464"/>
      <c r="AW590" s="465"/>
    </row>
    <row r="591" spans="35:49">
      <c r="AI591" s="464">
        <f t="shared" si="37"/>
        <v>571</v>
      </c>
      <c r="AJ591" s="473">
        <v>43710</v>
      </c>
      <c r="AK591" s="474">
        <v>19481.55</v>
      </c>
      <c r="AL591" s="475">
        <v>4.4999999999999997E-3</v>
      </c>
      <c r="AM591" s="475">
        <f t="shared" si="39"/>
        <v>4.5334473226517069E-3</v>
      </c>
      <c r="AN591" s="464"/>
      <c r="AO591" s="464"/>
      <c r="AR591" s="464">
        <f t="shared" si="38"/>
        <v>571</v>
      </c>
      <c r="AS591" s="464" t="s">
        <v>2067</v>
      </c>
      <c r="AT591" s="381">
        <v>8.9800000000000001E-3</v>
      </c>
      <c r="AV591" s="464"/>
      <c r="AW591" s="465"/>
    </row>
    <row r="592" spans="35:49">
      <c r="AI592" s="464">
        <f t="shared" si="37"/>
        <v>572</v>
      </c>
      <c r="AJ592" s="473">
        <v>43711</v>
      </c>
      <c r="AK592" s="474">
        <v>19464.14</v>
      </c>
      <c r="AL592" s="475">
        <v>-8.9999999999999998E-4</v>
      </c>
      <c r="AM592" s="475">
        <f t="shared" si="39"/>
        <v>-8.9366605839880098E-4</v>
      </c>
      <c r="AN592" s="464"/>
      <c r="AO592" s="464"/>
      <c r="AR592" s="464">
        <f t="shared" si="38"/>
        <v>572</v>
      </c>
      <c r="AS592" s="464" t="s">
        <v>2066</v>
      </c>
      <c r="AT592" s="381">
        <v>8.8800000000000007E-3</v>
      </c>
      <c r="AV592" s="464"/>
      <c r="AW592" s="465"/>
    </row>
    <row r="593" spans="35:49">
      <c r="AI593" s="464">
        <f t="shared" si="37"/>
        <v>573</v>
      </c>
      <c r="AJ593" s="473">
        <v>43712</v>
      </c>
      <c r="AK593" s="474">
        <v>19619.11</v>
      </c>
      <c r="AL593" s="475">
        <v>8.0000000000000002E-3</v>
      </c>
      <c r="AM593" s="475">
        <f t="shared" si="39"/>
        <v>7.9618210719816229E-3</v>
      </c>
      <c r="AN593" s="464"/>
      <c r="AO593" s="464"/>
      <c r="AR593" s="464">
        <f t="shared" si="38"/>
        <v>573</v>
      </c>
      <c r="AS593" s="464" t="s">
        <v>2065</v>
      </c>
      <c r="AT593" s="381">
        <v>8.8900000000000003E-3</v>
      </c>
      <c r="AV593" s="464"/>
      <c r="AW593" s="465"/>
    </row>
    <row r="594" spans="35:49">
      <c r="AI594" s="464">
        <f t="shared" si="37"/>
        <v>574</v>
      </c>
      <c r="AJ594" s="473">
        <v>43713</v>
      </c>
      <c r="AK594" s="474">
        <v>19649.560000000001</v>
      </c>
      <c r="AL594" s="475">
        <v>1.6000000000000001E-3</v>
      </c>
      <c r="AM594" s="475">
        <f t="shared" si="39"/>
        <v>1.5520581718539983E-3</v>
      </c>
      <c r="AN594" s="464"/>
      <c r="AO594" s="464"/>
      <c r="AR594" s="464">
        <f t="shared" si="38"/>
        <v>574</v>
      </c>
      <c r="AS594" s="464" t="s">
        <v>2064</v>
      </c>
      <c r="AT594" s="381">
        <v>8.6300000000000005E-3</v>
      </c>
      <c r="AV594" s="464"/>
      <c r="AW594" s="465"/>
    </row>
    <row r="595" spans="35:49">
      <c r="AI595" s="464">
        <f t="shared" si="37"/>
        <v>575</v>
      </c>
      <c r="AJ595" s="473">
        <v>43714</v>
      </c>
      <c r="AK595" s="474">
        <v>19705.52</v>
      </c>
      <c r="AL595" s="475">
        <v>2.8E-3</v>
      </c>
      <c r="AM595" s="475">
        <f t="shared" si="39"/>
        <v>2.8479009199187111E-3</v>
      </c>
      <c r="AN595" s="464"/>
      <c r="AO595" s="464"/>
      <c r="AR595" s="464">
        <f t="shared" si="38"/>
        <v>575</v>
      </c>
      <c r="AS595" s="464" t="s">
        <v>2063</v>
      </c>
      <c r="AT595" s="381">
        <v>9.0299999999999998E-3</v>
      </c>
      <c r="AV595" s="464"/>
      <c r="AW595" s="465"/>
    </row>
    <row r="596" spans="35:49">
      <c r="AI596" s="464">
        <f t="shared" si="37"/>
        <v>576</v>
      </c>
      <c r="AJ596" s="473">
        <v>43717</v>
      </c>
      <c r="AK596" s="474">
        <v>19678.45</v>
      </c>
      <c r="AL596" s="475">
        <v>-1.4E-3</v>
      </c>
      <c r="AM596" s="475">
        <f t="shared" si="39"/>
        <v>-1.3737267527068608E-3</v>
      </c>
      <c r="AN596" s="464"/>
      <c r="AO596" s="464"/>
      <c r="AR596" s="464">
        <f t="shared" si="38"/>
        <v>576</v>
      </c>
      <c r="AS596" s="464" t="s">
        <v>2062</v>
      </c>
      <c r="AT596" s="381">
        <v>8.6499999999999997E-3</v>
      </c>
      <c r="AV596" s="464"/>
      <c r="AW596" s="465"/>
    </row>
    <row r="597" spans="35:49">
      <c r="AI597" s="464">
        <f t="shared" ref="AI597:AI660" si="40">AI596+1</f>
        <v>577</v>
      </c>
      <c r="AJ597" s="473">
        <v>43718</v>
      </c>
      <c r="AK597" s="474">
        <v>19738.86</v>
      </c>
      <c r="AL597" s="475">
        <v>3.0999999999999999E-3</v>
      </c>
      <c r="AM597" s="475">
        <f t="shared" si="39"/>
        <v>3.0698556034647329E-3</v>
      </c>
      <c r="AN597" s="464"/>
      <c r="AO597" s="464"/>
      <c r="AR597" s="464">
        <f t="shared" ref="AR597:AR660" si="41">AR596+1</f>
        <v>577</v>
      </c>
      <c r="AS597" s="464" t="s">
        <v>2061</v>
      </c>
      <c r="AT597" s="381">
        <v>8.26E-3</v>
      </c>
      <c r="AV597" s="464"/>
      <c r="AW597" s="465"/>
    </row>
    <row r="598" spans="35:49">
      <c r="AI598" s="464">
        <f t="shared" si="40"/>
        <v>578</v>
      </c>
      <c r="AJ598" s="473">
        <v>43719</v>
      </c>
      <c r="AK598" s="474">
        <v>19982.16</v>
      </c>
      <c r="AL598" s="475">
        <v>1.23E-2</v>
      </c>
      <c r="AM598" s="475">
        <f t="shared" ref="AM598:AM661" si="42">AK598/AK597-1</f>
        <v>1.2325939795915231E-2</v>
      </c>
      <c r="AN598" s="464"/>
      <c r="AO598" s="464"/>
      <c r="AR598" s="464">
        <f t="shared" si="41"/>
        <v>578</v>
      </c>
      <c r="AS598" s="464" t="s">
        <v>2060</v>
      </c>
      <c r="AT598" s="381">
        <v>8.1399999999999997E-3</v>
      </c>
      <c r="AV598" s="464"/>
      <c r="AW598" s="465"/>
    </row>
    <row r="599" spans="35:49">
      <c r="AI599" s="464">
        <f t="shared" si="40"/>
        <v>579</v>
      </c>
      <c r="AJ599" s="473">
        <v>43720</v>
      </c>
      <c r="AK599" s="474">
        <v>19962.57</v>
      </c>
      <c r="AL599" s="475">
        <v>-1E-3</v>
      </c>
      <c r="AM599" s="475">
        <f t="shared" si="42"/>
        <v>-9.8037449404875243E-4</v>
      </c>
      <c r="AN599" s="464"/>
      <c r="AO599" s="464"/>
      <c r="AR599" s="464">
        <f t="shared" si="41"/>
        <v>579</v>
      </c>
      <c r="AS599" s="464" t="s">
        <v>2059</v>
      </c>
      <c r="AT599" s="381">
        <v>8.4099999999999991E-3</v>
      </c>
      <c r="AV599" s="464"/>
      <c r="AW599" s="465"/>
    </row>
    <row r="600" spans="35:49">
      <c r="AI600" s="464">
        <f t="shared" si="40"/>
        <v>580</v>
      </c>
      <c r="AJ600" s="473">
        <v>43721</v>
      </c>
      <c r="AK600" s="474">
        <v>20195.75</v>
      </c>
      <c r="AL600" s="475">
        <v>1.17E-2</v>
      </c>
      <c r="AM600" s="475">
        <f t="shared" si="42"/>
        <v>1.1680860730857834E-2</v>
      </c>
      <c r="AN600" s="464"/>
      <c r="AO600" s="464"/>
      <c r="AR600" s="464">
        <f t="shared" si="41"/>
        <v>580</v>
      </c>
      <c r="AS600" s="464" t="s">
        <v>2058</v>
      </c>
      <c r="AT600" s="381">
        <v>8.5900000000000004E-3</v>
      </c>
      <c r="AV600" s="464"/>
      <c r="AW600" s="465"/>
    </row>
    <row r="601" spans="35:49">
      <c r="AI601" s="464">
        <f t="shared" si="40"/>
        <v>581</v>
      </c>
      <c r="AJ601" s="473">
        <v>43724</v>
      </c>
      <c r="AK601" s="474">
        <v>20060.3</v>
      </c>
      <c r="AL601" s="475">
        <v>-6.7000000000000002E-3</v>
      </c>
      <c r="AM601" s="475">
        <f t="shared" si="42"/>
        <v>-6.7068566406298658E-3</v>
      </c>
      <c r="AN601" s="464"/>
      <c r="AO601" s="464"/>
      <c r="AR601" s="464">
        <f t="shared" si="41"/>
        <v>581</v>
      </c>
      <c r="AS601" s="464" t="s">
        <v>2057</v>
      </c>
      <c r="AT601" s="381">
        <v>8.6899999999999998E-3</v>
      </c>
      <c r="AV601" s="464"/>
      <c r="AW601" s="465"/>
    </row>
    <row r="602" spans="35:49">
      <c r="AI602" s="464">
        <f t="shared" si="40"/>
        <v>582</v>
      </c>
      <c r="AJ602" s="473">
        <v>43725</v>
      </c>
      <c r="AK602" s="474">
        <v>20040.54</v>
      </c>
      <c r="AL602" s="475">
        <v>-1E-3</v>
      </c>
      <c r="AM602" s="475">
        <f t="shared" si="42"/>
        <v>-9.8503013414552587E-4</v>
      </c>
      <c r="AN602" s="464"/>
      <c r="AO602" s="464"/>
      <c r="AR602" s="464">
        <f t="shared" si="41"/>
        <v>582</v>
      </c>
      <c r="AS602" s="464" t="s">
        <v>2056</v>
      </c>
      <c r="AT602" s="381">
        <v>8.369999999999999E-3</v>
      </c>
      <c r="AV602" s="464"/>
      <c r="AW602" s="465"/>
    </row>
    <row r="603" spans="35:49">
      <c r="AI603" s="464">
        <f t="shared" si="40"/>
        <v>583</v>
      </c>
      <c r="AJ603" s="473">
        <v>43726</v>
      </c>
      <c r="AK603" s="474">
        <v>20054.43</v>
      </c>
      <c r="AL603" s="475">
        <v>6.9999999999999999E-4</v>
      </c>
      <c r="AM603" s="475">
        <f t="shared" si="42"/>
        <v>6.9309509623982635E-4</v>
      </c>
      <c r="AN603" s="464"/>
      <c r="AO603" s="464"/>
      <c r="AR603" s="464">
        <f t="shared" si="41"/>
        <v>583</v>
      </c>
      <c r="AS603" s="464" t="s">
        <v>2055</v>
      </c>
      <c r="AT603" s="381">
        <v>8.4799999999999997E-3</v>
      </c>
      <c r="AV603" s="464"/>
      <c r="AW603" s="465"/>
    </row>
    <row r="604" spans="35:49">
      <c r="AI604" s="464">
        <f t="shared" si="40"/>
        <v>584</v>
      </c>
      <c r="AJ604" s="473">
        <v>43727</v>
      </c>
      <c r="AK604" s="474">
        <v>20089.46</v>
      </c>
      <c r="AL604" s="475">
        <v>1.6999999999999999E-3</v>
      </c>
      <c r="AM604" s="475">
        <f t="shared" si="42"/>
        <v>1.7467462301345993E-3</v>
      </c>
      <c r="AN604" s="464"/>
      <c r="AO604" s="464"/>
      <c r="AR604" s="464">
        <f t="shared" si="41"/>
        <v>584</v>
      </c>
      <c r="AS604" s="464" t="s">
        <v>2054</v>
      </c>
      <c r="AT604" s="381">
        <v>8.5000000000000006E-3</v>
      </c>
      <c r="AV604" s="464"/>
      <c r="AW604" s="465"/>
    </row>
    <row r="605" spans="35:49">
      <c r="AI605" s="464">
        <f t="shared" si="40"/>
        <v>585</v>
      </c>
      <c r="AJ605" s="473">
        <v>43728</v>
      </c>
      <c r="AK605" s="474">
        <v>20169.400000000001</v>
      </c>
      <c r="AL605" s="475">
        <v>4.0000000000000001E-3</v>
      </c>
      <c r="AM605" s="475">
        <f t="shared" si="42"/>
        <v>3.9792010337760253E-3</v>
      </c>
      <c r="AN605" s="464"/>
      <c r="AO605" s="464"/>
      <c r="AR605" s="464">
        <f t="shared" si="41"/>
        <v>585</v>
      </c>
      <c r="AS605" s="464" t="s">
        <v>2053</v>
      </c>
      <c r="AT605" s="381">
        <v>8.5000000000000006E-3</v>
      </c>
      <c r="AV605" s="464"/>
      <c r="AW605" s="465"/>
    </row>
    <row r="606" spans="35:49">
      <c r="AI606" s="464">
        <f t="shared" si="40"/>
        <v>586</v>
      </c>
      <c r="AJ606" s="473">
        <v>43731</v>
      </c>
      <c r="AK606" s="474">
        <v>20043.79</v>
      </c>
      <c r="AL606" s="475">
        <v>-6.1999999999999998E-3</v>
      </c>
      <c r="AM606" s="475">
        <f t="shared" si="42"/>
        <v>-6.2277509494581551E-3</v>
      </c>
      <c r="AN606" s="464"/>
      <c r="AO606" s="464"/>
      <c r="AR606" s="464">
        <f t="shared" si="41"/>
        <v>586</v>
      </c>
      <c r="AS606" s="464" t="s">
        <v>2052</v>
      </c>
      <c r="AT606" s="381">
        <v>8.0700000000000008E-3</v>
      </c>
      <c r="AV606" s="464"/>
      <c r="AW606" s="465"/>
    </row>
    <row r="607" spans="35:49">
      <c r="AI607" s="464">
        <f t="shared" si="40"/>
        <v>587</v>
      </c>
      <c r="AJ607" s="473">
        <v>43732</v>
      </c>
      <c r="AK607" s="474">
        <v>19919.07</v>
      </c>
      <c r="AL607" s="475">
        <v>-6.1999999999999998E-3</v>
      </c>
      <c r="AM607" s="475">
        <f t="shared" si="42"/>
        <v>-6.2223761075126394E-3</v>
      </c>
      <c r="AN607" s="464"/>
      <c r="AO607" s="464"/>
      <c r="AR607" s="464">
        <f t="shared" si="41"/>
        <v>587</v>
      </c>
      <c r="AS607" s="464" t="s">
        <v>2051</v>
      </c>
      <c r="AT607" s="381">
        <v>8.6599999999999993E-3</v>
      </c>
      <c r="AV607" s="464"/>
      <c r="AW607" s="465"/>
    </row>
    <row r="608" spans="35:49">
      <c r="AI608" s="464">
        <f t="shared" si="40"/>
        <v>588</v>
      </c>
      <c r="AJ608" s="473">
        <v>43733</v>
      </c>
      <c r="AK608" s="474">
        <v>19774.919999999998</v>
      </c>
      <c r="AL608" s="475">
        <v>-7.1999999999999998E-3</v>
      </c>
      <c r="AM608" s="475">
        <f t="shared" si="42"/>
        <v>-7.2367836450196732E-3</v>
      </c>
      <c r="AN608" s="464"/>
      <c r="AO608" s="464"/>
      <c r="AR608" s="464">
        <f t="shared" si="41"/>
        <v>588</v>
      </c>
      <c r="AS608" s="464" t="s">
        <v>2050</v>
      </c>
      <c r="AT608" s="381">
        <v>8.1000000000000013E-3</v>
      </c>
      <c r="AV608" s="464"/>
      <c r="AW608" s="465"/>
    </row>
    <row r="609" spans="35:49">
      <c r="AI609" s="464">
        <f t="shared" si="40"/>
        <v>589</v>
      </c>
      <c r="AJ609" s="473">
        <v>43734</v>
      </c>
      <c r="AK609" s="474">
        <v>19818.61</v>
      </c>
      <c r="AL609" s="475">
        <v>2.2000000000000001E-3</v>
      </c>
      <c r="AM609" s="475">
        <f t="shared" si="42"/>
        <v>2.2093641845328804E-3</v>
      </c>
      <c r="AN609" s="464"/>
      <c r="AO609" s="464"/>
      <c r="AR609" s="464">
        <f t="shared" si="41"/>
        <v>589</v>
      </c>
      <c r="AS609" s="464" t="s">
        <v>2049</v>
      </c>
      <c r="AT609" s="381">
        <v>8.4399999999999996E-3</v>
      </c>
      <c r="AV609" s="464"/>
      <c r="AW609" s="465"/>
    </row>
    <row r="610" spans="35:49">
      <c r="AI610" s="464">
        <f t="shared" si="40"/>
        <v>590</v>
      </c>
      <c r="AJ610" s="473">
        <v>43735</v>
      </c>
      <c r="AK610" s="474">
        <v>19970.95</v>
      </c>
      <c r="AL610" s="475">
        <v>7.7000000000000002E-3</v>
      </c>
      <c r="AM610" s="475">
        <f t="shared" si="42"/>
        <v>7.686714658596161E-3</v>
      </c>
      <c r="AN610" s="464"/>
      <c r="AO610" s="464"/>
      <c r="AR610" s="464">
        <f t="shared" si="41"/>
        <v>590</v>
      </c>
      <c r="AS610" s="464" t="s">
        <v>2048</v>
      </c>
      <c r="AT610" s="381">
        <v>8.1700000000000002E-3</v>
      </c>
      <c r="AV610" s="464"/>
      <c r="AW610" s="465"/>
    </row>
    <row r="611" spans="35:49">
      <c r="AI611" s="464">
        <f t="shared" si="40"/>
        <v>591</v>
      </c>
      <c r="AJ611" s="473">
        <v>43738</v>
      </c>
      <c r="AK611" s="474">
        <v>19936.669999999998</v>
      </c>
      <c r="AL611" s="475">
        <v>-1.6999999999999999E-3</v>
      </c>
      <c r="AM611" s="475">
        <f t="shared" si="42"/>
        <v>-1.7164932063823413E-3</v>
      </c>
      <c r="AN611" s="464"/>
      <c r="AO611" s="464"/>
      <c r="AR611" s="464">
        <f t="shared" si="41"/>
        <v>591</v>
      </c>
      <c r="AS611" s="464" t="s">
        <v>2047</v>
      </c>
      <c r="AT611" s="381">
        <v>7.9400000000000009E-3</v>
      </c>
      <c r="AV611" s="464"/>
      <c r="AW611" s="465"/>
    </row>
    <row r="612" spans="35:49">
      <c r="AI612" s="464">
        <f t="shared" si="40"/>
        <v>592</v>
      </c>
      <c r="AJ612" s="473">
        <v>43739</v>
      </c>
      <c r="AK612" s="474">
        <v>19872.82</v>
      </c>
      <c r="AL612" s="475">
        <v>-3.2000000000000002E-3</v>
      </c>
      <c r="AM612" s="475">
        <f t="shared" si="42"/>
        <v>-3.2026411632433138E-3</v>
      </c>
      <c r="AN612" s="464"/>
      <c r="AO612" s="464"/>
      <c r="AR612" s="464">
        <f t="shared" si="41"/>
        <v>592</v>
      </c>
      <c r="AS612" s="464" t="s">
        <v>2046</v>
      </c>
      <c r="AT612" s="381">
        <v>8.3099999999999997E-3</v>
      </c>
      <c r="AV612" s="464"/>
      <c r="AW612" s="465"/>
    </row>
    <row r="613" spans="35:49">
      <c r="AI613" s="464">
        <f t="shared" si="40"/>
        <v>593</v>
      </c>
      <c r="AJ613" s="473">
        <v>43740</v>
      </c>
      <c r="AK613" s="474">
        <v>19476.91</v>
      </c>
      <c r="AL613" s="475">
        <v>-1.9900000000000001E-2</v>
      </c>
      <c r="AM613" s="475">
        <f t="shared" si="42"/>
        <v>-1.9922185175531237E-2</v>
      </c>
      <c r="AN613" s="464"/>
      <c r="AO613" s="464"/>
      <c r="AR613" s="464">
        <f t="shared" si="41"/>
        <v>593</v>
      </c>
      <c r="AS613" s="464" t="s">
        <v>2045</v>
      </c>
      <c r="AT613" s="381">
        <v>8.2299999999999995E-3</v>
      </c>
      <c r="AV613" s="464"/>
      <c r="AW613" s="465"/>
    </row>
    <row r="614" spans="35:49">
      <c r="AI614" s="464">
        <f t="shared" si="40"/>
        <v>594</v>
      </c>
      <c r="AJ614" s="473">
        <v>43741</v>
      </c>
      <c r="AK614" s="474">
        <v>19348.16</v>
      </c>
      <c r="AL614" s="475">
        <v>-6.6E-3</v>
      </c>
      <c r="AM614" s="475">
        <f t="shared" si="42"/>
        <v>-6.6103914840701661E-3</v>
      </c>
      <c r="AN614" s="464"/>
      <c r="AO614" s="464"/>
      <c r="AR614" s="464">
        <f t="shared" si="41"/>
        <v>594</v>
      </c>
      <c r="AS614" s="464" t="s">
        <v>2044</v>
      </c>
      <c r="AT614" s="381">
        <v>8.3199999999999993E-3</v>
      </c>
      <c r="AV614" s="464"/>
      <c r="AW614" s="465"/>
    </row>
    <row r="615" spans="35:49">
      <c r="AI615" s="464">
        <f t="shared" si="40"/>
        <v>595</v>
      </c>
      <c r="AJ615" s="473">
        <v>43742</v>
      </c>
      <c r="AK615" s="474">
        <v>19480.37</v>
      </c>
      <c r="AL615" s="475">
        <v>6.7999999999999996E-3</v>
      </c>
      <c r="AM615" s="475">
        <f t="shared" si="42"/>
        <v>6.8332079122768175E-3</v>
      </c>
      <c r="AN615" s="464"/>
      <c r="AO615" s="464"/>
      <c r="AR615" s="464">
        <f t="shared" si="41"/>
        <v>595</v>
      </c>
      <c r="AS615" s="464" t="s">
        <v>2043</v>
      </c>
      <c r="AT615" s="381">
        <v>8.3400000000000002E-3</v>
      </c>
      <c r="AV615" s="464"/>
      <c r="AW615" s="465"/>
    </row>
    <row r="616" spans="35:49">
      <c r="AI616" s="464">
        <f t="shared" si="40"/>
        <v>596</v>
      </c>
      <c r="AJ616" s="473">
        <v>43745</v>
      </c>
      <c r="AK616" s="474">
        <v>19420.240000000002</v>
      </c>
      <c r="AL616" s="475">
        <v>-3.0999999999999999E-3</v>
      </c>
      <c r="AM616" s="475">
        <f t="shared" si="42"/>
        <v>-3.0866970185883247E-3</v>
      </c>
      <c r="AN616" s="464"/>
      <c r="AO616" s="464"/>
      <c r="AR616" s="464">
        <f t="shared" si="41"/>
        <v>596</v>
      </c>
      <c r="AS616" s="464" t="s">
        <v>2042</v>
      </c>
      <c r="AT616" s="381">
        <v>8.1399999999999997E-3</v>
      </c>
      <c r="AV616" s="464"/>
      <c r="AW616" s="465"/>
    </row>
    <row r="617" spans="35:49">
      <c r="AI617" s="464">
        <f t="shared" si="40"/>
        <v>597</v>
      </c>
      <c r="AJ617" s="473">
        <v>43746</v>
      </c>
      <c r="AK617" s="474">
        <v>19200.900000000001</v>
      </c>
      <c r="AL617" s="475">
        <v>-1.1299999999999999E-2</v>
      </c>
      <c r="AM617" s="475">
        <f t="shared" si="42"/>
        <v>-1.1294402128912973E-2</v>
      </c>
      <c r="AN617" s="464"/>
      <c r="AO617" s="464"/>
      <c r="AR617" s="464">
        <f t="shared" si="41"/>
        <v>597</v>
      </c>
      <c r="AS617" s="464" t="s">
        <v>2041</v>
      </c>
      <c r="AT617" s="381">
        <v>7.2199999999999999E-3</v>
      </c>
      <c r="AV617" s="464"/>
      <c r="AW617" s="465"/>
    </row>
    <row r="618" spans="35:49">
      <c r="AI618" s="464">
        <f t="shared" si="40"/>
        <v>598</v>
      </c>
      <c r="AJ618" s="473">
        <v>43747</v>
      </c>
      <c r="AK618" s="474">
        <v>19171.599999999999</v>
      </c>
      <c r="AL618" s="475">
        <v>-1.5E-3</v>
      </c>
      <c r="AM618" s="475">
        <f t="shared" si="42"/>
        <v>-1.5259701368166567E-3</v>
      </c>
      <c r="AN618" s="464"/>
      <c r="AO618" s="464"/>
      <c r="AR618" s="464">
        <f t="shared" si="41"/>
        <v>598</v>
      </c>
      <c r="AS618" s="464" t="s">
        <v>2040</v>
      </c>
      <c r="AT618" s="381">
        <v>6.9199999999999991E-3</v>
      </c>
      <c r="AV618" s="464"/>
      <c r="AW618" s="465"/>
    </row>
    <row r="619" spans="35:49">
      <c r="AI619" s="464">
        <f t="shared" si="40"/>
        <v>599</v>
      </c>
      <c r="AJ619" s="473">
        <v>43748</v>
      </c>
      <c r="AK619" s="474">
        <v>19235.72</v>
      </c>
      <c r="AL619" s="475">
        <v>3.3E-3</v>
      </c>
      <c r="AM619" s="475">
        <f t="shared" si="42"/>
        <v>3.3445304512926821E-3</v>
      </c>
      <c r="AN619" s="464"/>
      <c r="AO619" s="464"/>
      <c r="AR619" s="464">
        <f t="shared" si="41"/>
        <v>599</v>
      </c>
      <c r="AS619" s="464" t="s">
        <v>2039</v>
      </c>
      <c r="AT619" s="381">
        <v>6.7800000000000004E-3</v>
      </c>
      <c r="AV619" s="464"/>
      <c r="AW619" s="465"/>
    </row>
    <row r="620" spans="35:49">
      <c r="AI620" s="464">
        <f t="shared" si="40"/>
        <v>600</v>
      </c>
      <c r="AJ620" s="473">
        <v>43749</v>
      </c>
      <c r="AK620" s="474">
        <v>20041.71</v>
      </c>
      <c r="AL620" s="475">
        <v>4.19E-2</v>
      </c>
      <c r="AM620" s="475">
        <f t="shared" si="42"/>
        <v>4.1900693085571872E-2</v>
      </c>
      <c r="AN620" s="464"/>
      <c r="AO620" s="464"/>
      <c r="AR620" s="464">
        <f t="shared" si="41"/>
        <v>600</v>
      </c>
      <c r="AS620" s="464" t="s">
        <v>2038</v>
      </c>
      <c r="AT620" s="381">
        <v>7.3800000000000003E-3</v>
      </c>
      <c r="AV620" s="464"/>
      <c r="AW620" s="465"/>
    </row>
    <row r="621" spans="35:49">
      <c r="AI621" s="464">
        <f t="shared" si="40"/>
        <v>601</v>
      </c>
      <c r="AJ621" s="473">
        <v>43752</v>
      </c>
      <c r="AK621" s="474">
        <v>19929.900000000001</v>
      </c>
      <c r="AL621" s="475">
        <v>-5.5999999999999999E-3</v>
      </c>
      <c r="AM621" s="475">
        <f t="shared" si="42"/>
        <v>-5.5788652764657831E-3</v>
      </c>
      <c r="AN621" s="464"/>
      <c r="AO621" s="464"/>
      <c r="AR621" s="464">
        <f t="shared" si="41"/>
        <v>601</v>
      </c>
      <c r="AS621" s="464" t="s">
        <v>2037</v>
      </c>
      <c r="AT621" s="381">
        <v>7.3899999999999999E-3</v>
      </c>
      <c r="AV621" s="464"/>
      <c r="AW621" s="465"/>
    </row>
    <row r="622" spans="35:49">
      <c r="AI622" s="464">
        <f t="shared" si="40"/>
        <v>602</v>
      </c>
      <c r="AJ622" s="473">
        <v>43753</v>
      </c>
      <c r="AK622" s="474">
        <v>20196.97</v>
      </c>
      <c r="AL622" s="475">
        <v>1.34E-2</v>
      </c>
      <c r="AM622" s="475">
        <f t="shared" si="42"/>
        <v>1.3400468642592367E-2</v>
      </c>
      <c r="AN622" s="464"/>
      <c r="AO622" s="464"/>
      <c r="AR622" s="464">
        <f t="shared" si="41"/>
        <v>602</v>
      </c>
      <c r="AS622" s="464" t="s">
        <v>2036</v>
      </c>
      <c r="AT622" s="381">
        <v>7.1500000000000001E-3</v>
      </c>
      <c r="AV622" s="464"/>
      <c r="AW622" s="465"/>
    </row>
    <row r="623" spans="35:49">
      <c r="AI623" s="464">
        <f t="shared" si="40"/>
        <v>603</v>
      </c>
      <c r="AJ623" s="473">
        <v>43754</v>
      </c>
      <c r="AK623" s="474">
        <v>20187.96</v>
      </c>
      <c r="AL623" s="475">
        <v>-4.0000000000000002E-4</v>
      </c>
      <c r="AM623" s="475">
        <f t="shared" si="42"/>
        <v>-4.4610651993848283E-4</v>
      </c>
      <c r="AN623" s="464"/>
      <c r="AO623" s="464"/>
      <c r="AR623" s="464">
        <f t="shared" si="41"/>
        <v>603</v>
      </c>
      <c r="AS623" s="464" t="s">
        <v>2035</v>
      </c>
      <c r="AT623" s="381">
        <v>7.1999999999999998E-3</v>
      </c>
      <c r="AV623" s="464"/>
      <c r="AW623" s="465"/>
    </row>
    <row r="624" spans="35:49">
      <c r="AI624" s="464">
        <f t="shared" si="40"/>
        <v>604</v>
      </c>
      <c r="AJ624" s="473">
        <v>43755</v>
      </c>
      <c r="AK624" s="474">
        <v>20221.11</v>
      </c>
      <c r="AL624" s="475">
        <v>1.6000000000000001E-3</v>
      </c>
      <c r="AM624" s="475">
        <f t="shared" si="42"/>
        <v>1.6420678463797689E-3</v>
      </c>
      <c r="AN624" s="464"/>
      <c r="AO624" s="464"/>
      <c r="AR624" s="464">
        <f t="shared" si="41"/>
        <v>604</v>
      </c>
      <c r="AS624" s="464" t="s">
        <v>2034</v>
      </c>
      <c r="AT624" s="381">
        <v>7.6E-3</v>
      </c>
      <c r="AV624" s="464"/>
      <c r="AW624" s="465"/>
    </row>
    <row r="625" spans="35:49">
      <c r="AI625" s="464">
        <f t="shared" si="40"/>
        <v>605</v>
      </c>
      <c r="AJ625" s="473">
        <v>43756</v>
      </c>
      <c r="AK625" s="474">
        <v>20228.53</v>
      </c>
      <c r="AL625" s="475">
        <v>4.0000000000000002E-4</v>
      </c>
      <c r="AM625" s="475">
        <f t="shared" si="42"/>
        <v>3.6694325880226586E-4</v>
      </c>
      <c r="AN625" s="464"/>
      <c r="AO625" s="464"/>
      <c r="AR625" s="464">
        <f t="shared" si="41"/>
        <v>605</v>
      </c>
      <c r="AS625" s="464" t="s">
        <v>2033</v>
      </c>
      <c r="AT625" s="381">
        <v>8.369999999999999E-3</v>
      </c>
      <c r="AV625" s="464"/>
      <c r="AW625" s="465"/>
    </row>
    <row r="626" spans="35:49">
      <c r="AI626" s="464">
        <f t="shared" si="40"/>
        <v>606</v>
      </c>
      <c r="AJ626" s="473">
        <v>43759</v>
      </c>
      <c r="AK626" s="474">
        <v>20308.79</v>
      </c>
      <c r="AL626" s="475">
        <v>4.0000000000000001E-3</v>
      </c>
      <c r="AM626" s="475">
        <f t="shared" si="42"/>
        <v>3.9676634930962962E-3</v>
      </c>
      <c r="AN626" s="464"/>
      <c r="AO626" s="464"/>
      <c r="AR626" s="464">
        <f t="shared" si="41"/>
        <v>606</v>
      </c>
      <c r="AS626" s="464" t="s">
        <v>2032</v>
      </c>
      <c r="AT626" s="381">
        <v>8.3599999999999994E-3</v>
      </c>
      <c r="AV626" s="464"/>
      <c r="AW626" s="465"/>
    </row>
    <row r="627" spans="35:49">
      <c r="AI627" s="464">
        <f t="shared" si="40"/>
        <v>607</v>
      </c>
      <c r="AJ627" s="473">
        <v>43760</v>
      </c>
      <c r="AK627" s="474">
        <v>20181.91</v>
      </c>
      <c r="AL627" s="475">
        <v>-6.1999999999999998E-3</v>
      </c>
      <c r="AM627" s="475">
        <f t="shared" si="42"/>
        <v>-6.2475410893509942E-3</v>
      </c>
      <c r="AN627" s="464"/>
      <c r="AO627" s="464"/>
      <c r="AR627" s="464">
        <f t="shared" si="41"/>
        <v>607</v>
      </c>
      <c r="AS627" s="464" t="s">
        <v>2031</v>
      </c>
      <c r="AT627" s="381">
        <v>8.3800000000000003E-3</v>
      </c>
      <c r="AV627" s="464"/>
      <c r="AW627" s="465"/>
    </row>
    <row r="628" spans="35:49">
      <c r="AI628" s="464">
        <f t="shared" si="40"/>
        <v>608</v>
      </c>
      <c r="AJ628" s="473">
        <v>43761</v>
      </c>
      <c r="AK628" s="474">
        <v>20180.939999999999</v>
      </c>
      <c r="AL628" s="475">
        <v>0</v>
      </c>
      <c r="AM628" s="475">
        <f t="shared" si="42"/>
        <v>-4.8062844398844007E-5</v>
      </c>
      <c r="AN628" s="464"/>
      <c r="AO628" s="464"/>
      <c r="AR628" s="464">
        <f t="shared" si="41"/>
        <v>608</v>
      </c>
      <c r="AS628" s="464" t="s">
        <v>2030</v>
      </c>
      <c r="AT628" s="381">
        <v>8.0000000000000002E-3</v>
      </c>
      <c r="AV628" s="464"/>
      <c r="AW628" s="465"/>
    </row>
    <row r="629" spans="35:49">
      <c r="AI629" s="464">
        <f t="shared" si="40"/>
        <v>609</v>
      </c>
      <c r="AJ629" s="473">
        <v>43762</v>
      </c>
      <c r="AK629" s="474">
        <v>20152.150000000001</v>
      </c>
      <c r="AL629" s="475">
        <v>-1.4E-3</v>
      </c>
      <c r="AM629" s="475">
        <f t="shared" si="42"/>
        <v>-1.4265936076316432E-3</v>
      </c>
      <c r="AN629" s="464"/>
      <c r="AO629" s="464"/>
      <c r="AR629" s="464">
        <f t="shared" si="41"/>
        <v>609</v>
      </c>
      <c r="AS629" s="464" t="s">
        <v>2029</v>
      </c>
      <c r="AT629" s="381">
        <v>8.199999999999999E-3</v>
      </c>
      <c r="AV629" s="464"/>
      <c r="AW629" s="465"/>
    </row>
    <row r="630" spans="35:49">
      <c r="AI630" s="464">
        <f t="shared" si="40"/>
        <v>610</v>
      </c>
      <c r="AJ630" s="473">
        <v>43763</v>
      </c>
      <c r="AK630" s="474">
        <v>20103.509999999998</v>
      </c>
      <c r="AL630" s="475">
        <v>-2.3999999999999998E-3</v>
      </c>
      <c r="AM630" s="475">
        <f t="shared" si="42"/>
        <v>-2.4136382470357765E-3</v>
      </c>
      <c r="AN630" s="464"/>
      <c r="AO630" s="464"/>
      <c r="AR630" s="464">
        <f t="shared" si="41"/>
        <v>610</v>
      </c>
      <c r="AS630" s="464" t="s">
        <v>2028</v>
      </c>
      <c r="AT630" s="381">
        <v>7.5900000000000004E-3</v>
      </c>
      <c r="AV630" s="464"/>
      <c r="AW630" s="465"/>
    </row>
    <row r="631" spans="35:49">
      <c r="AI631" s="464">
        <f t="shared" si="40"/>
        <v>611</v>
      </c>
      <c r="AJ631" s="473">
        <v>43766</v>
      </c>
      <c r="AK631" s="474">
        <v>20210.16</v>
      </c>
      <c r="AL631" s="475">
        <v>5.3E-3</v>
      </c>
      <c r="AM631" s="475">
        <f t="shared" si="42"/>
        <v>5.3050437460921973E-3</v>
      </c>
      <c r="AN631" s="464"/>
      <c r="AO631" s="464"/>
      <c r="AR631" s="464">
        <f t="shared" si="41"/>
        <v>611</v>
      </c>
      <c r="AS631" s="464" t="s">
        <v>2027</v>
      </c>
      <c r="AT631" s="381">
        <v>7.6100000000000004E-3</v>
      </c>
      <c r="AV631" s="464"/>
      <c r="AW631" s="465"/>
    </row>
    <row r="632" spans="35:49">
      <c r="AI632" s="464">
        <f t="shared" si="40"/>
        <v>612</v>
      </c>
      <c r="AJ632" s="473">
        <v>43767</v>
      </c>
      <c r="AK632" s="474">
        <v>20168.330000000002</v>
      </c>
      <c r="AL632" s="475">
        <v>-2.0999999999999999E-3</v>
      </c>
      <c r="AM632" s="475">
        <f t="shared" si="42"/>
        <v>-2.0697510559044563E-3</v>
      </c>
      <c r="AN632" s="464"/>
      <c r="AO632" s="464"/>
      <c r="AR632" s="464">
        <f t="shared" si="41"/>
        <v>612</v>
      </c>
      <c r="AS632" s="464" t="s">
        <v>2026</v>
      </c>
      <c r="AT632" s="381">
        <v>7.3400000000000002E-3</v>
      </c>
      <c r="AV632" s="464"/>
      <c r="AW632" s="465"/>
    </row>
    <row r="633" spans="35:49">
      <c r="AI633" s="464">
        <f t="shared" si="40"/>
        <v>613</v>
      </c>
      <c r="AJ633" s="473">
        <v>43768</v>
      </c>
      <c r="AK633" s="474">
        <v>20115.099999999999</v>
      </c>
      <c r="AL633" s="475">
        <v>-2.5999999999999999E-3</v>
      </c>
      <c r="AM633" s="475">
        <f t="shared" si="42"/>
        <v>-2.6392864456304954E-3</v>
      </c>
      <c r="AN633" s="464"/>
      <c r="AO633" s="464"/>
      <c r="AR633" s="464">
        <f t="shared" si="41"/>
        <v>613</v>
      </c>
      <c r="AS633" s="464" t="s">
        <v>2025</v>
      </c>
      <c r="AT633" s="381">
        <v>7.0899999999999999E-3</v>
      </c>
      <c r="AV633" s="464"/>
      <c r="AW633" s="465"/>
    </row>
    <row r="634" spans="35:49">
      <c r="AI634" s="464">
        <f t="shared" si="40"/>
        <v>614</v>
      </c>
      <c r="AJ634" s="473">
        <v>43769</v>
      </c>
      <c r="AK634" s="474">
        <v>20021.5</v>
      </c>
      <c r="AL634" s="475">
        <v>-4.7000000000000002E-3</v>
      </c>
      <c r="AM634" s="475">
        <f t="shared" si="42"/>
        <v>-4.6532207147863547E-3</v>
      </c>
      <c r="AN634" s="464"/>
      <c r="AO634" s="464"/>
      <c r="AR634" s="464">
        <f t="shared" si="41"/>
        <v>614</v>
      </c>
      <c r="AS634" s="464" t="s">
        <v>2024</v>
      </c>
      <c r="AT634" s="381">
        <v>6.9199999999999991E-3</v>
      </c>
      <c r="AV634" s="464"/>
      <c r="AW634" s="465"/>
    </row>
    <row r="635" spans="35:49">
      <c r="AI635" s="464">
        <f t="shared" si="40"/>
        <v>615</v>
      </c>
      <c r="AJ635" s="473">
        <v>43770</v>
      </c>
      <c r="AK635" s="474">
        <v>20158.77</v>
      </c>
      <c r="AL635" s="475">
        <v>6.8999999999999999E-3</v>
      </c>
      <c r="AM635" s="475">
        <f t="shared" si="42"/>
        <v>6.8561296606148847E-3</v>
      </c>
      <c r="AN635" s="464"/>
      <c r="AO635" s="464"/>
      <c r="AR635" s="464">
        <f t="shared" si="41"/>
        <v>615</v>
      </c>
      <c r="AS635" s="464" t="s">
        <v>2023</v>
      </c>
      <c r="AT635" s="381">
        <v>6.7900000000000009E-3</v>
      </c>
      <c r="AV635" s="464"/>
      <c r="AW635" s="465"/>
    </row>
    <row r="636" spans="35:49">
      <c r="AI636" s="464">
        <f t="shared" si="40"/>
        <v>616</v>
      </c>
      <c r="AJ636" s="473">
        <v>43773</v>
      </c>
      <c r="AK636" s="474">
        <v>20249.72</v>
      </c>
      <c r="AL636" s="475">
        <v>4.4999999999999997E-3</v>
      </c>
      <c r="AM636" s="475">
        <f t="shared" si="42"/>
        <v>4.5116839965930744E-3</v>
      </c>
      <c r="AN636" s="464"/>
      <c r="AO636" s="464"/>
      <c r="AR636" s="464">
        <f t="shared" si="41"/>
        <v>616</v>
      </c>
      <c r="AS636" s="464" t="s">
        <v>2022</v>
      </c>
      <c r="AT636" s="381">
        <v>7.11E-3</v>
      </c>
      <c r="AV636" s="464"/>
      <c r="AW636" s="465"/>
    </row>
    <row r="637" spans="35:49">
      <c r="AI637" s="464">
        <f t="shared" si="40"/>
        <v>617</v>
      </c>
      <c r="AJ637" s="473">
        <v>43774</v>
      </c>
      <c r="AK637" s="474">
        <v>20294.990000000002</v>
      </c>
      <c r="AL637" s="475">
        <v>2.2000000000000001E-3</v>
      </c>
      <c r="AM637" s="475">
        <f t="shared" si="42"/>
        <v>2.2355864673684334E-3</v>
      </c>
      <c r="AN637" s="464"/>
      <c r="AO637" s="464"/>
      <c r="AR637" s="464">
        <f t="shared" si="41"/>
        <v>617</v>
      </c>
      <c r="AS637" s="464" t="s">
        <v>2021</v>
      </c>
      <c r="AT637" s="381">
        <v>6.8700000000000002E-3</v>
      </c>
      <c r="AV637" s="464"/>
      <c r="AW637" s="465"/>
    </row>
    <row r="638" spans="35:49">
      <c r="AI638" s="464">
        <f t="shared" si="40"/>
        <v>618</v>
      </c>
      <c r="AJ638" s="473">
        <v>43775</v>
      </c>
      <c r="AK638" s="474">
        <v>20216.59</v>
      </c>
      <c r="AL638" s="475">
        <v>-3.8999999999999998E-3</v>
      </c>
      <c r="AM638" s="475">
        <f t="shared" si="42"/>
        <v>-3.8630223518218987E-3</v>
      </c>
      <c r="AN638" s="464"/>
      <c r="AO638" s="464"/>
      <c r="AR638" s="464">
        <f t="shared" si="41"/>
        <v>618</v>
      </c>
      <c r="AS638" s="464" t="s">
        <v>2020</v>
      </c>
      <c r="AT638" s="381">
        <v>6.5500000000000003E-3</v>
      </c>
      <c r="AV638" s="464"/>
      <c r="AW638" s="465"/>
    </row>
    <row r="639" spans="35:49">
      <c r="AI639" s="464">
        <f t="shared" si="40"/>
        <v>619</v>
      </c>
      <c r="AJ639" s="473">
        <v>43776</v>
      </c>
      <c r="AK639" s="474">
        <v>20433.22</v>
      </c>
      <c r="AL639" s="475">
        <v>1.0699999999999999E-2</v>
      </c>
      <c r="AM639" s="475">
        <f t="shared" si="42"/>
        <v>1.0715456958864111E-2</v>
      </c>
      <c r="AN639" s="464"/>
      <c r="AO639" s="464"/>
      <c r="AR639" s="464">
        <f t="shared" si="41"/>
        <v>619</v>
      </c>
      <c r="AS639" s="464" t="s">
        <v>2019</v>
      </c>
      <c r="AT639" s="381">
        <v>6.3499999999999997E-3</v>
      </c>
      <c r="AV639" s="464"/>
      <c r="AW639" s="465"/>
    </row>
    <row r="640" spans="35:49">
      <c r="AI640" s="464">
        <f t="shared" si="40"/>
        <v>620</v>
      </c>
      <c r="AJ640" s="473">
        <v>43777</v>
      </c>
      <c r="AK640" s="474">
        <v>20357.63</v>
      </c>
      <c r="AL640" s="475">
        <v>-3.7000000000000002E-3</v>
      </c>
      <c r="AM640" s="475">
        <f t="shared" si="42"/>
        <v>-3.6993679899692822E-3</v>
      </c>
      <c r="AN640" s="464"/>
      <c r="AO640" s="464"/>
      <c r="AR640" s="464">
        <f t="shared" si="41"/>
        <v>620</v>
      </c>
      <c r="AS640" s="464" t="s">
        <v>2018</v>
      </c>
      <c r="AT640" s="381">
        <v>6.0899999999999999E-3</v>
      </c>
      <c r="AV640" s="464"/>
      <c r="AW640" s="465"/>
    </row>
    <row r="641" spans="35:49">
      <c r="AI641" s="464">
        <f t="shared" si="40"/>
        <v>621</v>
      </c>
      <c r="AJ641" s="473">
        <v>43780</v>
      </c>
      <c r="AK641" s="474">
        <v>20410.03</v>
      </c>
      <c r="AL641" s="475">
        <v>2.5999999999999999E-3</v>
      </c>
      <c r="AM641" s="475">
        <f t="shared" si="42"/>
        <v>2.5739734929850488E-3</v>
      </c>
      <c r="AN641" s="464"/>
      <c r="AO641" s="464"/>
      <c r="AR641" s="464">
        <f t="shared" si="41"/>
        <v>621</v>
      </c>
      <c r="AS641" s="464" t="s">
        <v>2017</v>
      </c>
      <c r="AT641" s="381">
        <v>5.9499999999999996E-3</v>
      </c>
      <c r="AV641" s="464"/>
      <c r="AW641" s="465"/>
    </row>
    <row r="642" spans="35:49">
      <c r="AI642" s="464">
        <f t="shared" si="40"/>
        <v>622</v>
      </c>
      <c r="AJ642" s="473">
        <v>43781</v>
      </c>
      <c r="AK642" s="474">
        <v>20427.169999999998</v>
      </c>
      <c r="AL642" s="475">
        <v>8.0000000000000004E-4</v>
      </c>
      <c r="AM642" s="475">
        <f t="shared" si="42"/>
        <v>8.3978318503197258E-4</v>
      </c>
      <c r="AN642" s="464"/>
      <c r="AO642" s="464"/>
      <c r="AR642" s="464">
        <f t="shared" si="41"/>
        <v>622</v>
      </c>
      <c r="AS642" s="464" t="s">
        <v>2016</v>
      </c>
      <c r="AT642" s="381">
        <v>5.5200000000000006E-3</v>
      </c>
      <c r="AV642" s="464"/>
      <c r="AW642" s="465"/>
    </row>
    <row r="643" spans="35:49">
      <c r="AI643" s="464">
        <f t="shared" si="40"/>
        <v>623</v>
      </c>
      <c r="AJ643" s="473">
        <v>43782</v>
      </c>
      <c r="AK643" s="474">
        <v>20289.78</v>
      </c>
      <c r="AL643" s="475">
        <v>-6.7000000000000002E-3</v>
      </c>
      <c r="AM643" s="475">
        <f t="shared" si="42"/>
        <v>-6.7258460178282187E-3</v>
      </c>
      <c r="AN643" s="464"/>
      <c r="AO643" s="464"/>
      <c r="AR643" s="464">
        <f t="shared" si="41"/>
        <v>623</v>
      </c>
      <c r="AS643" s="464" t="s">
        <v>2015</v>
      </c>
      <c r="AT643" s="381">
        <v>5.13E-3</v>
      </c>
      <c r="AV643" s="464"/>
      <c r="AW643" s="465"/>
    </row>
    <row r="644" spans="35:49">
      <c r="AI644" s="464">
        <f t="shared" si="40"/>
        <v>624</v>
      </c>
      <c r="AJ644" s="473">
        <v>43783</v>
      </c>
      <c r="AK644" s="474">
        <v>20231.8</v>
      </c>
      <c r="AL644" s="475">
        <v>-2.8999999999999998E-3</v>
      </c>
      <c r="AM644" s="475">
        <f t="shared" si="42"/>
        <v>-2.8575962873919059E-3</v>
      </c>
      <c r="AN644" s="464"/>
      <c r="AO644" s="464"/>
      <c r="AR644" s="464">
        <f t="shared" si="41"/>
        <v>624</v>
      </c>
      <c r="AS644" s="464" t="s">
        <v>2014</v>
      </c>
      <c r="AT644" s="381">
        <v>5.1400000000000005E-3</v>
      </c>
      <c r="AV644" s="464"/>
      <c r="AW644" s="465"/>
    </row>
    <row r="645" spans="35:49">
      <c r="AI645" s="464">
        <f t="shared" si="40"/>
        <v>625</v>
      </c>
      <c r="AJ645" s="473">
        <v>43784</v>
      </c>
      <c r="AK645" s="474">
        <v>20404.400000000001</v>
      </c>
      <c r="AL645" s="475">
        <v>8.5000000000000006E-3</v>
      </c>
      <c r="AM645" s="475">
        <f t="shared" si="42"/>
        <v>8.531124269714141E-3</v>
      </c>
      <c r="AN645" s="464"/>
      <c r="AO645" s="464"/>
      <c r="AR645" s="464">
        <f t="shared" si="41"/>
        <v>625</v>
      </c>
      <c r="AS645" s="464" t="s">
        <v>2013</v>
      </c>
      <c r="AT645" s="381">
        <v>4.8900000000000002E-3</v>
      </c>
      <c r="AV645" s="464"/>
      <c r="AW645" s="465"/>
    </row>
    <row r="646" spans="35:49">
      <c r="AI646" s="464">
        <f t="shared" si="40"/>
        <v>626</v>
      </c>
      <c r="AJ646" s="473">
        <v>43787</v>
      </c>
      <c r="AK646" s="474">
        <v>20440.5</v>
      </c>
      <c r="AL646" s="475">
        <v>1.8E-3</v>
      </c>
      <c r="AM646" s="475">
        <f t="shared" si="42"/>
        <v>1.7692262453194996E-3</v>
      </c>
      <c r="AN646" s="464"/>
      <c r="AO646" s="464"/>
      <c r="AR646" s="464">
        <f t="shared" si="41"/>
        <v>626</v>
      </c>
      <c r="AS646" s="464" t="s">
        <v>2012</v>
      </c>
      <c r="AT646" s="381">
        <v>5.2199999999999998E-3</v>
      </c>
      <c r="AV646" s="464"/>
      <c r="AW646" s="465"/>
    </row>
    <row r="647" spans="35:49">
      <c r="AI647" s="464">
        <f t="shared" si="40"/>
        <v>627</v>
      </c>
      <c r="AJ647" s="473">
        <v>43788</v>
      </c>
      <c r="AK647" s="474">
        <v>20528.48</v>
      </c>
      <c r="AL647" s="475">
        <v>4.3E-3</v>
      </c>
      <c r="AM647" s="475">
        <f t="shared" si="42"/>
        <v>4.3041999951076715E-3</v>
      </c>
      <c r="AN647" s="464"/>
      <c r="AO647" s="464"/>
      <c r="AR647" s="464">
        <f t="shared" si="41"/>
        <v>627</v>
      </c>
      <c r="AS647" s="464" t="s">
        <v>2011</v>
      </c>
      <c r="AT647" s="381">
        <v>4.8500000000000001E-3</v>
      </c>
      <c r="AV647" s="464"/>
      <c r="AW647" s="465"/>
    </row>
    <row r="648" spans="35:49">
      <c r="AI648" s="464">
        <f t="shared" si="40"/>
        <v>628</v>
      </c>
      <c r="AJ648" s="473">
        <v>43789</v>
      </c>
      <c r="AK648" s="474">
        <v>20475.25</v>
      </c>
      <c r="AL648" s="475">
        <v>-2.5999999999999999E-3</v>
      </c>
      <c r="AM648" s="475">
        <f t="shared" si="42"/>
        <v>-2.592983016765027E-3</v>
      </c>
      <c r="AN648" s="464"/>
      <c r="AO648" s="464"/>
      <c r="AR648" s="464">
        <f t="shared" si="41"/>
        <v>628</v>
      </c>
      <c r="AS648" s="464" t="s">
        <v>2010</v>
      </c>
      <c r="AT648" s="381">
        <v>4.8700000000000002E-3</v>
      </c>
      <c r="AV648" s="464"/>
      <c r="AW648" s="465"/>
    </row>
    <row r="649" spans="35:49">
      <c r="AI649" s="464">
        <f t="shared" si="40"/>
        <v>629</v>
      </c>
      <c r="AJ649" s="473">
        <v>43790</v>
      </c>
      <c r="AK649" s="474">
        <v>20369.86</v>
      </c>
      <c r="AL649" s="475">
        <v>-5.1000000000000004E-3</v>
      </c>
      <c r="AM649" s="475">
        <f t="shared" si="42"/>
        <v>-5.1471899000011812E-3</v>
      </c>
      <c r="AN649" s="464"/>
      <c r="AO649" s="464"/>
      <c r="AR649" s="464">
        <f t="shared" si="41"/>
        <v>629</v>
      </c>
      <c r="AS649" s="464" t="s">
        <v>2009</v>
      </c>
      <c r="AT649" s="381">
        <v>4.8900000000000002E-3</v>
      </c>
      <c r="AV649" s="464"/>
      <c r="AW649" s="465"/>
    </row>
    <row r="650" spans="35:49">
      <c r="AI650" s="464">
        <f t="shared" si="40"/>
        <v>630</v>
      </c>
      <c r="AJ650" s="473">
        <v>43791</v>
      </c>
      <c r="AK650" s="474">
        <v>20485.810000000001</v>
      </c>
      <c r="AL650" s="475">
        <v>5.7000000000000002E-3</v>
      </c>
      <c r="AM650" s="475">
        <f t="shared" si="42"/>
        <v>5.6922335254145917E-3</v>
      </c>
      <c r="AN650" s="464"/>
      <c r="AO650" s="464"/>
      <c r="AR650" s="464">
        <f t="shared" si="41"/>
        <v>630</v>
      </c>
      <c r="AS650" s="464" t="s">
        <v>2008</v>
      </c>
      <c r="AT650" s="381">
        <v>4.9300000000000004E-3</v>
      </c>
      <c r="AV650" s="464"/>
      <c r="AW650" s="465"/>
    </row>
    <row r="651" spans="35:49">
      <c r="AI651" s="464">
        <f t="shared" si="40"/>
        <v>631</v>
      </c>
      <c r="AJ651" s="473">
        <v>43794</v>
      </c>
      <c r="AK651" s="474">
        <v>20703.169999999998</v>
      </c>
      <c r="AL651" s="475">
        <v>1.06E-2</v>
      </c>
      <c r="AM651" s="475">
        <f t="shared" si="42"/>
        <v>1.0610271207240451E-2</v>
      </c>
      <c r="AN651" s="464"/>
      <c r="AO651" s="464"/>
      <c r="AR651" s="464">
        <f t="shared" si="41"/>
        <v>631</v>
      </c>
      <c r="AS651" s="464" t="s">
        <v>2007</v>
      </c>
      <c r="AT651" s="381">
        <v>4.4600000000000004E-3</v>
      </c>
      <c r="AV651" s="464"/>
      <c r="AW651" s="465"/>
    </row>
    <row r="652" spans="35:49">
      <c r="AI652" s="464">
        <f t="shared" si="40"/>
        <v>632</v>
      </c>
      <c r="AJ652" s="473">
        <v>43795</v>
      </c>
      <c r="AK652" s="474">
        <v>20864.919999999998</v>
      </c>
      <c r="AL652" s="475">
        <v>7.7999999999999996E-3</v>
      </c>
      <c r="AM652" s="475">
        <f t="shared" si="42"/>
        <v>7.8128132068664424E-3</v>
      </c>
      <c r="AN652" s="464"/>
      <c r="AO652" s="464"/>
      <c r="AR652" s="464">
        <f t="shared" si="41"/>
        <v>632</v>
      </c>
      <c r="AS652" s="464" t="s">
        <v>2006</v>
      </c>
      <c r="AT652" s="381">
        <v>4.0699999999999998E-3</v>
      </c>
      <c r="AV652" s="464"/>
      <c r="AW652" s="465"/>
    </row>
    <row r="653" spans="35:49">
      <c r="AI653" s="464">
        <f t="shared" si="40"/>
        <v>633</v>
      </c>
      <c r="AJ653" s="473">
        <v>43796</v>
      </c>
      <c r="AK653" s="474">
        <v>20954.32</v>
      </c>
      <c r="AL653" s="475">
        <v>4.3E-3</v>
      </c>
      <c r="AM653" s="475">
        <f t="shared" si="42"/>
        <v>4.284703703632875E-3</v>
      </c>
      <c r="AN653" s="464"/>
      <c r="AO653" s="464"/>
      <c r="AR653" s="464">
        <f t="shared" si="41"/>
        <v>633</v>
      </c>
      <c r="AS653" s="464" t="s">
        <v>2005</v>
      </c>
      <c r="AT653" s="381">
        <v>4.64E-3</v>
      </c>
      <c r="AV653" s="464"/>
      <c r="AW653" s="465"/>
    </row>
    <row r="654" spans="35:49">
      <c r="AI654" s="464">
        <f t="shared" si="40"/>
        <v>634</v>
      </c>
      <c r="AJ654" s="473">
        <v>43797</v>
      </c>
      <c r="AK654" s="474">
        <v>21023.55</v>
      </c>
      <c r="AL654" s="475">
        <v>3.3E-3</v>
      </c>
      <c r="AM654" s="475">
        <f t="shared" si="42"/>
        <v>3.3038533343003884E-3</v>
      </c>
      <c r="AN654" s="464"/>
      <c r="AO654" s="464"/>
      <c r="AR654" s="464">
        <f t="shared" si="41"/>
        <v>634</v>
      </c>
      <c r="AS654" s="464" t="s">
        <v>2004</v>
      </c>
      <c r="AT654" s="381">
        <v>4.6800000000000001E-3</v>
      </c>
      <c r="AV654" s="464"/>
      <c r="AW654" s="465"/>
    </row>
    <row r="655" spans="35:49">
      <c r="AI655" s="464">
        <f t="shared" si="40"/>
        <v>635</v>
      </c>
      <c r="AJ655" s="473">
        <v>43798</v>
      </c>
      <c r="AK655" s="474">
        <v>20812.599999999999</v>
      </c>
      <c r="AL655" s="475">
        <v>-0.01</v>
      </c>
      <c r="AM655" s="475">
        <f t="shared" si="42"/>
        <v>-1.0033985696992209E-2</v>
      </c>
      <c r="AN655" s="464"/>
      <c r="AO655" s="464"/>
      <c r="AR655" s="464">
        <f t="shared" si="41"/>
        <v>635</v>
      </c>
      <c r="AS655" s="464" t="s">
        <v>2003</v>
      </c>
      <c r="AT655" s="381">
        <v>4.6800000000000001E-3</v>
      </c>
      <c r="AV655" s="464"/>
      <c r="AW655" s="465"/>
    </row>
    <row r="656" spans="35:49">
      <c r="AI656" s="464">
        <f t="shared" si="40"/>
        <v>636</v>
      </c>
      <c r="AJ656" s="473">
        <v>43801</v>
      </c>
      <c r="AK656" s="474">
        <v>20700.21</v>
      </c>
      <c r="AL656" s="475">
        <v>-5.4000000000000003E-3</v>
      </c>
      <c r="AM656" s="475">
        <f t="shared" si="42"/>
        <v>-5.4000941737216701E-3</v>
      </c>
      <c r="AN656" s="464"/>
      <c r="AO656" s="464"/>
      <c r="AR656" s="464">
        <f t="shared" si="41"/>
        <v>636</v>
      </c>
      <c r="AS656" s="464" t="s">
        <v>2002</v>
      </c>
      <c r="AT656" s="381">
        <v>4.5199999999999997E-3</v>
      </c>
      <c r="AV656" s="464"/>
      <c r="AW656" s="465"/>
    </row>
    <row r="657" spans="35:49">
      <c r="AI657" s="464">
        <f t="shared" si="40"/>
        <v>637</v>
      </c>
      <c r="AJ657" s="473">
        <v>43802</v>
      </c>
      <c r="AK657" s="474">
        <v>20500.93</v>
      </c>
      <c r="AL657" s="475">
        <v>-9.5999999999999992E-3</v>
      </c>
      <c r="AM657" s="475">
        <f t="shared" si="42"/>
        <v>-9.6269554753308784E-3</v>
      </c>
      <c r="AN657" s="464"/>
      <c r="AO657" s="464"/>
      <c r="AR657" s="464">
        <f t="shared" si="41"/>
        <v>637</v>
      </c>
      <c r="AS657" s="464" t="s">
        <v>2001</v>
      </c>
      <c r="AT657" s="381">
        <v>4.7499999999999999E-3</v>
      </c>
      <c r="AV657" s="464"/>
      <c r="AW657" s="465"/>
    </row>
    <row r="658" spans="35:49">
      <c r="AI658" s="464">
        <f t="shared" si="40"/>
        <v>638</v>
      </c>
      <c r="AJ658" s="473">
        <v>43803</v>
      </c>
      <c r="AK658" s="474">
        <v>20665.48</v>
      </c>
      <c r="AL658" s="475">
        <v>8.0000000000000002E-3</v>
      </c>
      <c r="AM658" s="475">
        <f t="shared" si="42"/>
        <v>8.0264651408497034E-3</v>
      </c>
      <c r="AN658" s="464"/>
      <c r="AO658" s="464"/>
      <c r="AR658" s="464">
        <f t="shared" si="41"/>
        <v>638</v>
      </c>
      <c r="AS658" s="464" t="s">
        <v>2000</v>
      </c>
      <c r="AT658" s="381">
        <v>5.1800000000000006E-3</v>
      </c>
      <c r="AV658" s="464"/>
      <c r="AW658" s="465"/>
    </row>
    <row r="659" spans="35:49">
      <c r="AI659" s="464">
        <f t="shared" si="40"/>
        <v>639</v>
      </c>
      <c r="AJ659" s="473">
        <v>43804</v>
      </c>
      <c r="AK659" s="474">
        <v>20707.330000000002</v>
      </c>
      <c r="AL659" s="475">
        <v>2E-3</v>
      </c>
      <c r="AM659" s="475">
        <f t="shared" si="42"/>
        <v>2.0251162808704315E-3</v>
      </c>
      <c r="AN659" s="464"/>
      <c r="AO659" s="464"/>
      <c r="AR659" s="464">
        <f t="shared" si="41"/>
        <v>639</v>
      </c>
      <c r="AS659" s="464" t="s">
        <v>1999</v>
      </c>
      <c r="AT659" s="381">
        <v>4.79E-3</v>
      </c>
      <c r="AV659" s="464"/>
      <c r="AW659" s="465"/>
    </row>
    <row r="660" spans="35:49">
      <c r="AI660" s="464">
        <f t="shared" si="40"/>
        <v>640</v>
      </c>
      <c r="AJ660" s="473">
        <v>43805</v>
      </c>
      <c r="AK660" s="474">
        <v>20933.03</v>
      </c>
      <c r="AL660" s="475">
        <v>1.09E-2</v>
      </c>
      <c r="AM660" s="475">
        <f t="shared" si="42"/>
        <v>1.0899522053301691E-2</v>
      </c>
      <c r="AN660" s="464"/>
      <c r="AO660" s="464"/>
      <c r="AR660" s="464">
        <f t="shared" si="41"/>
        <v>640</v>
      </c>
      <c r="AS660" s="464" t="s">
        <v>1998</v>
      </c>
      <c r="AT660" s="381">
        <v>5.6699999999999997E-3</v>
      </c>
      <c r="AV660" s="464"/>
      <c r="AW660" s="465"/>
    </row>
    <row r="661" spans="35:49">
      <c r="AI661" s="464">
        <f t="shared" ref="AI661:AI724" si="43">AI660+1</f>
        <v>641</v>
      </c>
      <c r="AJ661" s="473">
        <v>43808</v>
      </c>
      <c r="AK661" s="474">
        <v>20922.64</v>
      </c>
      <c r="AL661" s="475">
        <v>-5.0000000000000001E-4</v>
      </c>
      <c r="AM661" s="475">
        <f t="shared" si="42"/>
        <v>-4.9634477187487924E-4</v>
      </c>
      <c r="AN661" s="464"/>
      <c r="AO661" s="464"/>
      <c r="AR661" s="464">
        <f t="shared" ref="AR661:AR724" si="44">AR660+1</f>
        <v>641</v>
      </c>
      <c r="AS661" s="464" t="s">
        <v>1997</v>
      </c>
      <c r="AT661" s="381">
        <v>5.0400000000000002E-3</v>
      </c>
      <c r="AV661" s="464"/>
      <c r="AW661" s="465"/>
    </row>
    <row r="662" spans="35:49">
      <c r="AI662" s="464">
        <f t="shared" si="43"/>
        <v>642</v>
      </c>
      <c r="AJ662" s="473">
        <v>43809</v>
      </c>
      <c r="AK662" s="474">
        <v>20781.09</v>
      </c>
      <c r="AL662" s="475">
        <v>-6.7999999999999996E-3</v>
      </c>
      <c r="AM662" s="475">
        <f t="shared" ref="AM662:AM725" si="45">AK662/AK661-1</f>
        <v>-6.7653986303831681E-3</v>
      </c>
      <c r="AN662" s="464"/>
      <c r="AO662" s="464"/>
      <c r="AR662" s="464">
        <f t="shared" si="44"/>
        <v>642</v>
      </c>
      <c r="AS662" s="464" t="s">
        <v>1996</v>
      </c>
      <c r="AT662" s="381">
        <v>4.4400000000000004E-3</v>
      </c>
      <c r="AV662" s="464"/>
      <c r="AW662" s="465"/>
    </row>
    <row r="663" spans="35:49">
      <c r="AI663" s="464">
        <f t="shared" si="43"/>
        <v>643</v>
      </c>
      <c r="AJ663" s="473">
        <v>43810</v>
      </c>
      <c r="AK663" s="474">
        <v>20647.11</v>
      </c>
      <c r="AL663" s="475">
        <v>-6.4000000000000003E-3</v>
      </c>
      <c r="AM663" s="475">
        <f t="shared" si="45"/>
        <v>-6.4472075333873446E-3</v>
      </c>
      <c r="AN663" s="464"/>
      <c r="AO663" s="464"/>
      <c r="AR663" s="464">
        <f t="shared" si="44"/>
        <v>643</v>
      </c>
      <c r="AS663" s="464" t="s">
        <v>1995</v>
      </c>
      <c r="AT663" s="381">
        <v>4.3699999999999998E-3</v>
      </c>
      <c r="AV663" s="464"/>
      <c r="AW663" s="465"/>
    </row>
    <row r="664" spans="35:49">
      <c r="AI664" s="464">
        <f t="shared" si="43"/>
        <v>644</v>
      </c>
      <c r="AJ664" s="473">
        <v>43811</v>
      </c>
      <c r="AK664" s="474">
        <v>20793.03</v>
      </c>
      <c r="AL664" s="475">
        <v>7.1000000000000004E-3</v>
      </c>
      <c r="AM664" s="475">
        <f t="shared" si="45"/>
        <v>7.0673329100294779E-3</v>
      </c>
      <c r="AN664" s="464"/>
      <c r="AO664" s="464"/>
      <c r="AR664" s="464">
        <f t="shared" si="44"/>
        <v>644</v>
      </c>
      <c r="AS664" s="464" t="s">
        <v>1994</v>
      </c>
      <c r="AT664" s="381">
        <v>4.79E-3</v>
      </c>
      <c r="AV664" s="464"/>
      <c r="AW664" s="465"/>
    </row>
    <row r="665" spans="35:49">
      <c r="AI665" s="464">
        <f t="shared" si="43"/>
        <v>645</v>
      </c>
      <c r="AJ665" s="473">
        <v>43812</v>
      </c>
      <c r="AK665" s="474">
        <v>21507.79</v>
      </c>
      <c r="AL665" s="475">
        <v>3.44E-2</v>
      </c>
      <c r="AM665" s="475">
        <f t="shared" si="45"/>
        <v>3.4374980462203109E-2</v>
      </c>
      <c r="AN665" s="464"/>
      <c r="AO665" s="464"/>
      <c r="AR665" s="464">
        <f t="shared" si="44"/>
        <v>645</v>
      </c>
      <c r="AS665" s="464" t="s">
        <v>1993</v>
      </c>
      <c r="AT665" s="381">
        <v>4.8199999999999996E-3</v>
      </c>
      <c r="AV665" s="464"/>
      <c r="AW665" s="465"/>
    </row>
    <row r="666" spans="35:49">
      <c r="AI666" s="464">
        <f t="shared" si="43"/>
        <v>646</v>
      </c>
      <c r="AJ666" s="473">
        <v>43815</v>
      </c>
      <c r="AK666" s="474">
        <v>21920.69</v>
      </c>
      <c r="AL666" s="475">
        <v>1.9199999999999998E-2</v>
      </c>
      <c r="AM666" s="475">
        <f t="shared" si="45"/>
        <v>1.9197695346662602E-2</v>
      </c>
      <c r="AN666" s="464"/>
      <c r="AO666" s="464"/>
      <c r="AR666" s="464">
        <f t="shared" si="44"/>
        <v>646</v>
      </c>
      <c r="AS666" s="464" t="s">
        <v>1992</v>
      </c>
      <c r="AT666" s="381">
        <v>4.1700000000000001E-3</v>
      </c>
      <c r="AV666" s="464"/>
      <c r="AW666" s="465"/>
    </row>
    <row r="667" spans="35:49">
      <c r="AI667" s="464">
        <f t="shared" si="43"/>
        <v>647</v>
      </c>
      <c r="AJ667" s="473">
        <v>43816</v>
      </c>
      <c r="AK667" s="474">
        <v>21690.2</v>
      </c>
      <c r="AL667" s="475">
        <v>-1.0500000000000001E-2</v>
      </c>
      <c r="AM667" s="475">
        <f t="shared" si="45"/>
        <v>-1.0514723760976397E-2</v>
      </c>
      <c r="AN667" s="464"/>
      <c r="AO667" s="464"/>
      <c r="AR667" s="464">
        <f t="shared" si="44"/>
        <v>647</v>
      </c>
      <c r="AS667" s="464" t="s">
        <v>1991</v>
      </c>
      <c r="AT667" s="381">
        <v>4.0799999999999994E-3</v>
      </c>
      <c r="AV667" s="464"/>
      <c r="AW667" s="465"/>
    </row>
    <row r="668" spans="35:49">
      <c r="AI668" s="464">
        <f t="shared" si="43"/>
        <v>648</v>
      </c>
      <c r="AJ668" s="473">
        <v>43817</v>
      </c>
      <c r="AK668" s="474">
        <v>21663.13</v>
      </c>
      <c r="AL668" s="475">
        <v>-1.1999999999999999E-3</v>
      </c>
      <c r="AM668" s="475">
        <f t="shared" si="45"/>
        <v>-1.2480290638168245E-3</v>
      </c>
      <c r="AN668" s="464"/>
      <c r="AO668" s="464"/>
      <c r="AR668" s="464">
        <f t="shared" si="44"/>
        <v>648</v>
      </c>
      <c r="AS668" s="464" t="s">
        <v>1990</v>
      </c>
      <c r="AT668" s="381">
        <v>4.9300000000000004E-3</v>
      </c>
      <c r="AV668" s="464"/>
      <c r="AW668" s="465"/>
    </row>
    <row r="669" spans="35:49">
      <c r="AI669" s="464">
        <f t="shared" si="43"/>
        <v>649</v>
      </c>
      <c r="AJ669" s="473">
        <v>43818</v>
      </c>
      <c r="AK669" s="474">
        <v>21666.14</v>
      </c>
      <c r="AL669" s="475">
        <v>1E-4</v>
      </c>
      <c r="AM669" s="475">
        <f t="shared" si="45"/>
        <v>1.3894575714590296E-4</v>
      </c>
      <c r="AN669" s="464"/>
      <c r="AO669" s="464"/>
      <c r="AR669" s="464">
        <f t="shared" si="44"/>
        <v>649</v>
      </c>
      <c r="AS669" s="464" t="s">
        <v>1989</v>
      </c>
      <c r="AT669" s="381">
        <v>5.9899999999999997E-3</v>
      </c>
      <c r="AV669" s="464"/>
      <c r="AW669" s="465"/>
    </row>
    <row r="670" spans="35:49">
      <c r="AI670" s="464">
        <f t="shared" si="43"/>
        <v>650</v>
      </c>
      <c r="AJ670" s="473">
        <v>43819</v>
      </c>
      <c r="AK670" s="474">
        <v>21674.3</v>
      </c>
      <c r="AL670" s="475">
        <v>4.0000000000000002E-4</v>
      </c>
      <c r="AM670" s="475">
        <f t="shared" si="45"/>
        <v>3.7662453948872354E-4</v>
      </c>
      <c r="AN670" s="464"/>
      <c r="AO670" s="464"/>
      <c r="AR670" s="464">
        <f t="shared" si="44"/>
        <v>650</v>
      </c>
      <c r="AS670" s="464" t="s">
        <v>1988</v>
      </c>
      <c r="AT670" s="381">
        <v>5.0400000000000002E-3</v>
      </c>
      <c r="AV670" s="464"/>
      <c r="AW670" s="465"/>
    </row>
    <row r="671" spans="35:49">
      <c r="AI671" s="464">
        <f t="shared" si="43"/>
        <v>651</v>
      </c>
      <c r="AJ671" s="473">
        <v>43822</v>
      </c>
      <c r="AK671" s="474">
        <v>21843.35</v>
      </c>
      <c r="AL671" s="475">
        <v>7.7999999999999996E-3</v>
      </c>
      <c r="AM671" s="475">
        <f t="shared" si="45"/>
        <v>7.7995598473767913E-3</v>
      </c>
      <c r="AN671" s="464"/>
      <c r="AO671" s="464"/>
      <c r="AR671" s="464">
        <f t="shared" si="44"/>
        <v>651</v>
      </c>
      <c r="AS671" s="464" t="s">
        <v>1987</v>
      </c>
      <c r="AT671" s="381">
        <v>5.0699999999999999E-3</v>
      </c>
      <c r="AV671" s="464"/>
      <c r="AW671" s="465"/>
    </row>
    <row r="672" spans="35:49">
      <c r="AI672" s="464">
        <f t="shared" si="43"/>
        <v>652</v>
      </c>
      <c r="AJ672" s="473">
        <v>43823</v>
      </c>
      <c r="AK672" s="474">
        <v>21981.09</v>
      </c>
      <c r="AL672" s="475">
        <v>6.3E-3</v>
      </c>
      <c r="AM672" s="475">
        <f t="shared" si="45"/>
        <v>6.3058093195411669E-3</v>
      </c>
      <c r="AN672" s="464"/>
      <c r="AO672" s="464"/>
      <c r="AR672" s="464">
        <f t="shared" si="44"/>
        <v>652</v>
      </c>
      <c r="AS672" s="464" t="s">
        <v>1986</v>
      </c>
      <c r="AT672" s="381">
        <v>5.9199999999999999E-3</v>
      </c>
      <c r="AV672" s="464"/>
      <c r="AW672" s="465"/>
    </row>
    <row r="673" spans="35:49">
      <c r="AI673" s="464">
        <f t="shared" si="43"/>
        <v>653</v>
      </c>
      <c r="AJ673" s="473">
        <v>43826</v>
      </c>
      <c r="AK673" s="474">
        <v>22058.99</v>
      </c>
      <c r="AL673" s="475">
        <v>3.5000000000000001E-3</v>
      </c>
      <c r="AM673" s="475">
        <f t="shared" si="45"/>
        <v>3.5439552815625941E-3</v>
      </c>
      <c r="AN673" s="464"/>
      <c r="AO673" s="464"/>
      <c r="AR673" s="464">
        <f t="shared" si="44"/>
        <v>653</v>
      </c>
      <c r="AS673" s="464" t="s">
        <v>1985</v>
      </c>
      <c r="AT673" s="381">
        <v>6.4099999999999999E-3</v>
      </c>
      <c r="AV673" s="464"/>
      <c r="AW673" s="465"/>
    </row>
    <row r="674" spans="35:49">
      <c r="AI674" s="464">
        <f t="shared" si="43"/>
        <v>654</v>
      </c>
      <c r="AJ674" s="473">
        <v>43829</v>
      </c>
      <c r="AK674" s="474">
        <v>21936.26</v>
      </c>
      <c r="AL674" s="475">
        <v>-5.5999999999999999E-3</v>
      </c>
      <c r="AM674" s="475">
        <f t="shared" si="45"/>
        <v>-5.5637180124749053E-3</v>
      </c>
      <c r="AN674" s="464"/>
      <c r="AO674" s="464"/>
      <c r="AR674" s="464">
        <f t="shared" si="44"/>
        <v>654</v>
      </c>
      <c r="AS674" s="464" t="s">
        <v>1984</v>
      </c>
      <c r="AT674" s="381">
        <v>6.3800000000000003E-3</v>
      </c>
      <c r="AV674" s="464"/>
      <c r="AW674" s="465"/>
    </row>
    <row r="675" spans="35:49">
      <c r="AI675" s="464">
        <f t="shared" si="43"/>
        <v>655</v>
      </c>
      <c r="AJ675" s="473">
        <v>43830</v>
      </c>
      <c r="AK675" s="474">
        <v>21883.42</v>
      </c>
      <c r="AL675" s="475">
        <v>-2.3999999999999998E-3</v>
      </c>
      <c r="AM675" s="475">
        <f t="shared" si="45"/>
        <v>-2.4087971240311923E-3</v>
      </c>
      <c r="AN675" s="464"/>
      <c r="AO675" s="464"/>
      <c r="AR675" s="464">
        <f t="shared" si="44"/>
        <v>655</v>
      </c>
      <c r="AS675" s="464" t="s">
        <v>1983</v>
      </c>
      <c r="AT675" s="381">
        <v>6.7000000000000002E-3</v>
      </c>
      <c r="AV675" s="464"/>
      <c r="AW675" s="465"/>
    </row>
    <row r="676" spans="35:49">
      <c r="AI676" s="464">
        <f t="shared" si="43"/>
        <v>656</v>
      </c>
      <c r="AJ676" s="473">
        <v>43832</v>
      </c>
      <c r="AK676" s="474">
        <v>22108.29</v>
      </c>
      <c r="AL676" s="475">
        <v>1.03E-2</v>
      </c>
      <c r="AM676" s="475">
        <f t="shared" si="45"/>
        <v>1.0275816120149495E-2</v>
      </c>
      <c r="AN676" s="464"/>
      <c r="AO676" s="464"/>
      <c r="AR676" s="464">
        <f t="shared" si="44"/>
        <v>656</v>
      </c>
      <c r="AS676" s="464" t="s">
        <v>1982</v>
      </c>
      <c r="AT676" s="381">
        <v>7.6100000000000004E-3</v>
      </c>
      <c r="AV676" s="464"/>
      <c r="AW676" s="465"/>
    </row>
    <row r="677" spans="35:49">
      <c r="AI677" s="464">
        <f t="shared" si="43"/>
        <v>657</v>
      </c>
      <c r="AJ677" s="473">
        <v>43833</v>
      </c>
      <c r="AK677" s="474">
        <v>21988.19</v>
      </c>
      <c r="AL677" s="475">
        <v>-5.4000000000000003E-3</v>
      </c>
      <c r="AM677" s="475">
        <f t="shared" si="45"/>
        <v>-5.4323513939794621E-3</v>
      </c>
      <c r="AN677" s="464"/>
      <c r="AO677" s="464"/>
      <c r="AR677" s="464">
        <f t="shared" si="44"/>
        <v>657</v>
      </c>
      <c r="AS677" s="464" t="s">
        <v>1981</v>
      </c>
      <c r="AT677" s="381">
        <v>7.62E-3</v>
      </c>
      <c r="AV677" s="464"/>
      <c r="AW677" s="465"/>
    </row>
    <row r="678" spans="35:49">
      <c r="AI678" s="464">
        <f t="shared" si="43"/>
        <v>658</v>
      </c>
      <c r="AJ678" s="473">
        <v>43836</v>
      </c>
      <c r="AK678" s="474">
        <v>21760.53</v>
      </c>
      <c r="AL678" s="475">
        <v>-1.04E-2</v>
      </c>
      <c r="AM678" s="475">
        <f t="shared" si="45"/>
        <v>-1.0353739894006786E-2</v>
      </c>
      <c r="AN678" s="464"/>
      <c r="AO678" s="464"/>
      <c r="AR678" s="464">
        <f t="shared" si="44"/>
        <v>658</v>
      </c>
      <c r="AS678" s="464" t="s">
        <v>1980</v>
      </c>
      <c r="AT678" s="381">
        <v>6.9199999999999991E-3</v>
      </c>
      <c r="AV678" s="464"/>
      <c r="AW678" s="465"/>
    </row>
    <row r="679" spans="35:49">
      <c r="AI679" s="464">
        <f t="shared" si="43"/>
        <v>659</v>
      </c>
      <c r="AJ679" s="473">
        <v>43837</v>
      </c>
      <c r="AK679" s="474">
        <v>21832.68</v>
      </c>
      <c r="AL679" s="475">
        <v>3.3E-3</v>
      </c>
      <c r="AM679" s="475">
        <f t="shared" si="45"/>
        <v>3.3156361540827017E-3</v>
      </c>
      <c r="AN679" s="464"/>
      <c r="AO679" s="464"/>
      <c r="AR679" s="464">
        <f t="shared" si="44"/>
        <v>659</v>
      </c>
      <c r="AS679" s="464" t="s">
        <v>1979</v>
      </c>
      <c r="AT679" s="381">
        <v>6.9599999999999992E-3</v>
      </c>
      <c r="AV679" s="464"/>
      <c r="AW679" s="465"/>
    </row>
    <row r="680" spans="35:49">
      <c r="AI680" s="464">
        <f t="shared" si="43"/>
        <v>660</v>
      </c>
      <c r="AJ680" s="473">
        <v>43838</v>
      </c>
      <c r="AK680" s="474">
        <v>21651.919999999998</v>
      </c>
      <c r="AL680" s="475">
        <v>-8.3000000000000001E-3</v>
      </c>
      <c r="AM680" s="475">
        <f t="shared" si="45"/>
        <v>-8.2793317174072456E-3</v>
      </c>
      <c r="AN680" s="464"/>
      <c r="AO680" s="464"/>
      <c r="AR680" s="464">
        <f t="shared" si="44"/>
        <v>660</v>
      </c>
      <c r="AS680" s="464" t="s">
        <v>1978</v>
      </c>
      <c r="AT680" s="381">
        <v>6.4200000000000004E-3</v>
      </c>
      <c r="AV680" s="464"/>
      <c r="AW680" s="465"/>
    </row>
    <row r="681" spans="35:49">
      <c r="AI681" s="464">
        <f t="shared" si="43"/>
        <v>661</v>
      </c>
      <c r="AJ681" s="473">
        <v>43839</v>
      </c>
      <c r="AK681" s="474">
        <v>21643.07</v>
      </c>
      <c r="AL681" s="475">
        <v>-4.0000000000000002E-4</v>
      </c>
      <c r="AM681" s="475">
        <f t="shared" si="45"/>
        <v>-4.0873973301203126E-4</v>
      </c>
      <c r="AN681" s="464"/>
      <c r="AO681" s="464"/>
      <c r="AR681" s="464">
        <f t="shared" si="44"/>
        <v>661</v>
      </c>
      <c r="AS681" s="464" t="s">
        <v>1977</v>
      </c>
      <c r="AT681" s="381">
        <v>6.3600000000000002E-3</v>
      </c>
      <c r="AV681" s="464"/>
      <c r="AW681" s="465"/>
    </row>
    <row r="682" spans="35:49">
      <c r="AI682" s="464">
        <f t="shared" si="43"/>
        <v>662</v>
      </c>
      <c r="AJ682" s="473">
        <v>43840</v>
      </c>
      <c r="AK682" s="474">
        <v>21566.67</v>
      </c>
      <c r="AL682" s="475">
        <v>-3.5000000000000001E-3</v>
      </c>
      <c r="AM682" s="475">
        <f t="shared" si="45"/>
        <v>-3.5299982858254531E-3</v>
      </c>
      <c r="AN682" s="464"/>
      <c r="AO682" s="464"/>
      <c r="AR682" s="464">
        <f t="shared" si="44"/>
        <v>662</v>
      </c>
      <c r="AS682" s="464" t="s">
        <v>1976</v>
      </c>
      <c r="AT682" s="381">
        <v>6.28E-3</v>
      </c>
      <c r="AV682" s="464"/>
      <c r="AW682" s="465"/>
    </row>
    <row r="683" spans="35:49">
      <c r="AI683" s="464">
        <f t="shared" si="43"/>
        <v>663</v>
      </c>
      <c r="AJ683" s="473">
        <v>43843</v>
      </c>
      <c r="AK683" s="474">
        <v>21716.76</v>
      </c>
      <c r="AL683" s="475">
        <v>7.0000000000000001E-3</v>
      </c>
      <c r="AM683" s="475">
        <f t="shared" si="45"/>
        <v>6.9593497744435684E-3</v>
      </c>
      <c r="AN683" s="464"/>
      <c r="AO683" s="464"/>
      <c r="AR683" s="464">
        <f t="shared" si="44"/>
        <v>663</v>
      </c>
      <c r="AS683" s="464" t="s">
        <v>1975</v>
      </c>
      <c r="AT683" s="381">
        <v>6.3E-3</v>
      </c>
      <c r="AV683" s="464"/>
      <c r="AW683" s="465"/>
    </row>
    <row r="684" spans="35:49">
      <c r="AI684" s="464">
        <f t="shared" si="43"/>
        <v>664</v>
      </c>
      <c r="AJ684" s="473">
        <v>43844</v>
      </c>
      <c r="AK684" s="474">
        <v>21756.05</v>
      </c>
      <c r="AL684" s="475">
        <v>1.8E-3</v>
      </c>
      <c r="AM684" s="475">
        <f t="shared" si="45"/>
        <v>1.809201740959665E-3</v>
      </c>
      <c r="AN684" s="464"/>
      <c r="AO684" s="464"/>
      <c r="AR684" s="464">
        <f t="shared" si="44"/>
        <v>664</v>
      </c>
      <c r="AS684" s="464" t="s">
        <v>1974</v>
      </c>
      <c r="AT684" s="381">
        <v>5.5000000000000005E-3</v>
      </c>
      <c r="AV684" s="464"/>
      <c r="AW684" s="465"/>
    </row>
    <row r="685" spans="35:49">
      <c r="AI685" s="464">
        <f t="shared" si="43"/>
        <v>665</v>
      </c>
      <c r="AJ685" s="473">
        <v>43845</v>
      </c>
      <c r="AK685" s="474">
        <v>21713.11</v>
      </c>
      <c r="AL685" s="475">
        <v>-2E-3</v>
      </c>
      <c r="AM685" s="475">
        <f t="shared" si="45"/>
        <v>-1.9737038662808182E-3</v>
      </c>
      <c r="AN685" s="464"/>
      <c r="AO685" s="464"/>
      <c r="AR685" s="464">
        <f t="shared" si="44"/>
        <v>665</v>
      </c>
      <c r="AS685" s="464" t="s">
        <v>1973</v>
      </c>
      <c r="AT685" s="381">
        <v>5.2900000000000004E-3</v>
      </c>
      <c r="AV685" s="464"/>
      <c r="AW685" s="465"/>
    </row>
    <row r="686" spans="35:49">
      <c r="AI686" s="464">
        <f t="shared" si="43"/>
        <v>666</v>
      </c>
      <c r="AJ686" s="473">
        <v>43846</v>
      </c>
      <c r="AK686" s="474">
        <v>21721.23</v>
      </c>
      <c r="AL686" s="475">
        <v>4.0000000000000002E-4</v>
      </c>
      <c r="AM686" s="475">
        <f t="shared" si="45"/>
        <v>3.739676167993089E-4</v>
      </c>
      <c r="AN686" s="464"/>
      <c r="AO686" s="464"/>
      <c r="AR686" s="464">
        <f t="shared" si="44"/>
        <v>666</v>
      </c>
      <c r="AS686" s="464" t="s">
        <v>1972</v>
      </c>
      <c r="AT686" s="381">
        <v>5.3400000000000001E-3</v>
      </c>
      <c r="AV686" s="464"/>
      <c r="AW686" s="465"/>
    </row>
    <row r="687" spans="35:49">
      <c r="AI687" s="464">
        <f t="shared" si="43"/>
        <v>667</v>
      </c>
      <c r="AJ687" s="473">
        <v>43847</v>
      </c>
      <c r="AK687" s="474">
        <v>21886.080000000002</v>
      </c>
      <c r="AL687" s="475">
        <v>7.6E-3</v>
      </c>
      <c r="AM687" s="475">
        <f t="shared" si="45"/>
        <v>7.5893492219363257E-3</v>
      </c>
      <c r="AN687" s="464"/>
      <c r="AO687" s="464"/>
      <c r="AR687" s="464">
        <f t="shared" si="44"/>
        <v>667</v>
      </c>
      <c r="AS687" s="464" t="s">
        <v>1971</v>
      </c>
      <c r="AT687" s="381">
        <v>5.1999999999999998E-3</v>
      </c>
      <c r="AV687" s="464"/>
      <c r="AW687" s="465"/>
    </row>
    <row r="688" spans="35:49">
      <c r="AI688" s="464">
        <f t="shared" si="43"/>
        <v>668</v>
      </c>
      <c r="AJ688" s="473">
        <v>43850</v>
      </c>
      <c r="AK688" s="474">
        <v>21847.040000000001</v>
      </c>
      <c r="AL688" s="475">
        <v>-1.8E-3</v>
      </c>
      <c r="AM688" s="475">
        <f t="shared" si="45"/>
        <v>-1.7837822031172568E-3</v>
      </c>
      <c r="AN688" s="464"/>
      <c r="AO688" s="464"/>
      <c r="AR688" s="464">
        <f t="shared" si="44"/>
        <v>668</v>
      </c>
      <c r="AS688" s="464" t="s">
        <v>1970</v>
      </c>
      <c r="AT688" s="381">
        <v>4.9800000000000001E-3</v>
      </c>
      <c r="AV688" s="464"/>
      <c r="AW688" s="465"/>
    </row>
    <row r="689" spans="35:49">
      <c r="AI689" s="464">
        <f t="shared" si="43"/>
        <v>669</v>
      </c>
      <c r="AJ689" s="473">
        <v>43851</v>
      </c>
      <c r="AK689" s="474">
        <v>21745.41</v>
      </c>
      <c r="AL689" s="475">
        <v>-4.7000000000000002E-3</v>
      </c>
      <c r="AM689" s="475">
        <f t="shared" si="45"/>
        <v>-4.6518887684556809E-3</v>
      </c>
      <c r="AN689" s="464"/>
      <c r="AO689" s="464"/>
      <c r="AR689" s="464">
        <f t="shared" si="44"/>
        <v>669</v>
      </c>
      <c r="AS689" s="464" t="s">
        <v>1969</v>
      </c>
      <c r="AT689" s="381">
        <v>4.8399999999999997E-3</v>
      </c>
      <c r="AV689" s="464"/>
      <c r="AW689" s="465"/>
    </row>
    <row r="690" spans="35:49">
      <c r="AI690" s="464">
        <f t="shared" si="43"/>
        <v>670</v>
      </c>
      <c r="AJ690" s="473">
        <v>43852</v>
      </c>
      <c r="AK690" s="474">
        <v>21762.98</v>
      </c>
      <c r="AL690" s="475">
        <v>8.0000000000000004E-4</v>
      </c>
      <c r="AM690" s="475">
        <f t="shared" si="45"/>
        <v>8.0798660498926367E-4</v>
      </c>
      <c r="AN690" s="464"/>
      <c r="AO690" s="464"/>
      <c r="AR690" s="464">
        <f t="shared" si="44"/>
        <v>670</v>
      </c>
      <c r="AS690" s="464" t="s">
        <v>1968</v>
      </c>
      <c r="AT690" s="381">
        <v>4.8399999999999997E-3</v>
      </c>
      <c r="AV690" s="464"/>
      <c r="AW690" s="465"/>
    </row>
    <row r="691" spans="35:49">
      <c r="AI691" s="464">
        <f t="shared" si="43"/>
        <v>671</v>
      </c>
      <c r="AJ691" s="473">
        <v>43853</v>
      </c>
      <c r="AK691" s="474">
        <v>21540.560000000001</v>
      </c>
      <c r="AL691" s="475">
        <v>-1.0200000000000001E-2</v>
      </c>
      <c r="AM691" s="475">
        <f t="shared" si="45"/>
        <v>-1.0220107724217886E-2</v>
      </c>
      <c r="AN691" s="464"/>
      <c r="AO691" s="464"/>
      <c r="AR691" s="464">
        <f t="shared" si="44"/>
        <v>671</v>
      </c>
      <c r="AS691" s="464" t="s">
        <v>1967</v>
      </c>
      <c r="AT691" s="381">
        <v>4.8599999999999997E-3</v>
      </c>
      <c r="AV691" s="464"/>
      <c r="AW691" s="465"/>
    </row>
    <row r="692" spans="35:49">
      <c r="AI692" s="464">
        <f t="shared" si="43"/>
        <v>672</v>
      </c>
      <c r="AJ692" s="473">
        <v>43854</v>
      </c>
      <c r="AK692" s="474">
        <v>21763.94</v>
      </c>
      <c r="AL692" s="475">
        <v>1.04E-2</v>
      </c>
      <c r="AM692" s="475">
        <f t="shared" si="45"/>
        <v>1.0370203931559629E-2</v>
      </c>
      <c r="AN692" s="464"/>
      <c r="AO692" s="464"/>
      <c r="AR692" s="464">
        <f t="shared" si="44"/>
        <v>672</v>
      </c>
      <c r="AS692" s="464" t="s">
        <v>1966</v>
      </c>
      <c r="AT692" s="381">
        <v>4.7099999999999998E-3</v>
      </c>
      <c r="AV692" s="464"/>
      <c r="AW692" s="465"/>
    </row>
    <row r="693" spans="35:49">
      <c r="AI693" s="464">
        <f t="shared" si="43"/>
        <v>673</v>
      </c>
      <c r="AJ693" s="473">
        <v>43857</v>
      </c>
      <c r="AK693" s="474">
        <v>21303.67</v>
      </c>
      <c r="AL693" s="475">
        <v>-2.1100000000000001E-2</v>
      </c>
      <c r="AM693" s="475">
        <f t="shared" si="45"/>
        <v>-2.1148284731532963E-2</v>
      </c>
      <c r="AN693" s="464"/>
      <c r="AO693" s="464"/>
      <c r="AR693" s="464">
        <f t="shared" si="44"/>
        <v>673</v>
      </c>
      <c r="AS693" s="464" t="s">
        <v>1965</v>
      </c>
      <c r="AT693" s="381">
        <v>5.0400000000000002E-3</v>
      </c>
      <c r="AV693" s="464"/>
      <c r="AW693" s="465"/>
    </row>
    <row r="694" spans="35:49">
      <c r="AI694" s="464">
        <f t="shared" si="43"/>
        <v>674</v>
      </c>
      <c r="AJ694" s="473">
        <v>43858</v>
      </c>
      <c r="AK694" s="474">
        <v>21433.06</v>
      </c>
      <c r="AL694" s="475">
        <v>6.1000000000000004E-3</v>
      </c>
      <c r="AM694" s="475">
        <f t="shared" si="45"/>
        <v>6.0736014029509899E-3</v>
      </c>
      <c r="AN694" s="464"/>
      <c r="AO694" s="464"/>
      <c r="AR694" s="464">
        <f t="shared" si="44"/>
        <v>674</v>
      </c>
      <c r="AS694" s="464" t="s">
        <v>1964</v>
      </c>
      <c r="AT694" s="381">
        <v>4.7299999999999998E-3</v>
      </c>
      <c r="AV694" s="464"/>
      <c r="AW694" s="465"/>
    </row>
    <row r="695" spans="35:49">
      <c r="AI695" s="464">
        <f t="shared" si="43"/>
        <v>675</v>
      </c>
      <c r="AJ695" s="473">
        <v>43859</v>
      </c>
      <c r="AK695" s="474">
        <v>21468.99</v>
      </c>
      <c r="AL695" s="475">
        <v>1.6999999999999999E-3</v>
      </c>
      <c r="AM695" s="475">
        <f t="shared" si="45"/>
        <v>1.6763821871446094E-3</v>
      </c>
      <c r="AN695" s="464"/>
      <c r="AO695" s="464"/>
      <c r="AR695" s="464">
        <f t="shared" si="44"/>
        <v>675</v>
      </c>
      <c r="AS695" s="464" t="s">
        <v>1963</v>
      </c>
      <c r="AT695" s="381">
        <v>4.4400000000000004E-3</v>
      </c>
      <c r="AV695" s="464"/>
      <c r="AW695" s="465"/>
    </row>
    <row r="696" spans="35:49">
      <c r="AI696" s="464">
        <f t="shared" si="43"/>
        <v>676</v>
      </c>
      <c r="AJ696" s="473">
        <v>43860</v>
      </c>
      <c r="AK696" s="474">
        <v>21291.88</v>
      </c>
      <c r="AL696" s="475">
        <v>-8.2000000000000007E-3</v>
      </c>
      <c r="AM696" s="475">
        <f t="shared" si="45"/>
        <v>-8.249572988761944E-3</v>
      </c>
      <c r="AN696" s="464"/>
      <c r="AO696" s="464"/>
      <c r="AR696" s="464">
        <f t="shared" si="44"/>
        <v>676</v>
      </c>
      <c r="AS696" s="464" t="s">
        <v>1962</v>
      </c>
      <c r="AT696" s="381">
        <v>4.5000000000000005E-3</v>
      </c>
      <c r="AV696" s="464"/>
      <c r="AW696" s="465"/>
    </row>
    <row r="697" spans="35:49">
      <c r="AI697" s="464">
        <f t="shared" si="43"/>
        <v>677</v>
      </c>
      <c r="AJ697" s="473">
        <v>43861</v>
      </c>
      <c r="AK697" s="474">
        <v>21143.49</v>
      </c>
      <c r="AL697" s="475">
        <v>-7.0000000000000001E-3</v>
      </c>
      <c r="AM697" s="475">
        <f t="shared" si="45"/>
        <v>-6.9693235167584966E-3</v>
      </c>
      <c r="AN697" s="464"/>
      <c r="AO697" s="464"/>
      <c r="AR697" s="464">
        <f t="shared" si="44"/>
        <v>677</v>
      </c>
      <c r="AS697" s="464" t="s">
        <v>1961</v>
      </c>
      <c r="AT697" s="381">
        <v>4.3800000000000002E-3</v>
      </c>
      <c r="AV697" s="464"/>
      <c r="AW697" s="465"/>
    </row>
    <row r="698" spans="35:49">
      <c r="AI698" s="464">
        <f t="shared" si="43"/>
        <v>678</v>
      </c>
      <c r="AJ698" s="473">
        <v>43864</v>
      </c>
      <c r="AK698" s="474">
        <v>21160.85</v>
      </c>
      <c r="AL698" s="475">
        <v>8.0000000000000004E-4</v>
      </c>
      <c r="AM698" s="475">
        <f t="shared" si="45"/>
        <v>8.2105650486252735E-4</v>
      </c>
      <c r="AN698" s="464"/>
      <c r="AO698" s="464"/>
      <c r="AR698" s="464">
        <f t="shared" si="44"/>
        <v>678</v>
      </c>
      <c r="AS698" s="464" t="s">
        <v>1960</v>
      </c>
      <c r="AT698" s="381">
        <v>4.5100000000000001E-3</v>
      </c>
      <c r="AV698" s="464"/>
      <c r="AW698" s="465"/>
    </row>
    <row r="699" spans="35:49">
      <c r="AI699" s="464">
        <f t="shared" si="43"/>
        <v>679</v>
      </c>
      <c r="AJ699" s="473">
        <v>43865</v>
      </c>
      <c r="AK699" s="474">
        <v>21439.93</v>
      </c>
      <c r="AL699" s="475">
        <v>1.32E-2</v>
      </c>
      <c r="AM699" s="475">
        <f t="shared" si="45"/>
        <v>1.3188506132787658E-2</v>
      </c>
      <c r="AN699" s="464"/>
      <c r="AO699" s="464"/>
      <c r="AR699" s="464">
        <f t="shared" si="44"/>
        <v>679</v>
      </c>
      <c r="AS699" s="464" t="s">
        <v>1959</v>
      </c>
      <c r="AT699" s="381">
        <v>4.1700000000000001E-3</v>
      </c>
      <c r="AV699" s="464"/>
      <c r="AW699" s="465"/>
    </row>
    <row r="700" spans="35:49">
      <c r="AI700" s="464">
        <f t="shared" si="43"/>
        <v>680</v>
      </c>
      <c r="AJ700" s="473">
        <v>43866</v>
      </c>
      <c r="AK700" s="474">
        <v>21520</v>
      </c>
      <c r="AL700" s="475">
        <v>3.7000000000000002E-3</v>
      </c>
      <c r="AM700" s="475">
        <f t="shared" si="45"/>
        <v>3.7346204022121743E-3</v>
      </c>
      <c r="AN700" s="464"/>
      <c r="AO700" s="464"/>
      <c r="AR700" s="464">
        <f t="shared" si="44"/>
        <v>680</v>
      </c>
      <c r="AS700" s="464" t="s">
        <v>1958</v>
      </c>
      <c r="AT700" s="381">
        <v>4.6300000000000004E-3</v>
      </c>
      <c r="AV700" s="464"/>
      <c r="AW700" s="465"/>
    </row>
    <row r="701" spans="35:49">
      <c r="AI701" s="464">
        <f t="shared" si="43"/>
        <v>681</v>
      </c>
      <c r="AJ701" s="473">
        <v>43867</v>
      </c>
      <c r="AK701" s="474">
        <v>21572.86</v>
      </c>
      <c r="AL701" s="475">
        <v>2.5000000000000001E-3</v>
      </c>
      <c r="AM701" s="475">
        <f t="shared" si="45"/>
        <v>2.4563197026021832E-3</v>
      </c>
      <c r="AN701" s="464"/>
      <c r="AO701" s="464"/>
      <c r="AR701" s="464">
        <f t="shared" si="44"/>
        <v>681</v>
      </c>
      <c r="AS701" s="464" t="s">
        <v>1957</v>
      </c>
      <c r="AT701" s="381">
        <v>5.8999999999999999E-3</v>
      </c>
      <c r="AV701" s="464"/>
      <c r="AW701" s="465"/>
    </row>
    <row r="702" spans="35:49">
      <c r="AI702" s="464">
        <f t="shared" si="43"/>
        <v>682</v>
      </c>
      <c r="AJ702" s="473">
        <v>43868</v>
      </c>
      <c r="AK702" s="474">
        <v>21499.29</v>
      </c>
      <c r="AL702" s="475">
        <v>-3.3999999999999998E-3</v>
      </c>
      <c r="AM702" s="475">
        <f t="shared" si="45"/>
        <v>-3.4103035017146732E-3</v>
      </c>
      <c r="AN702" s="464"/>
      <c r="AO702" s="464"/>
      <c r="AR702" s="464">
        <f t="shared" si="44"/>
        <v>682</v>
      </c>
      <c r="AS702" s="464" t="s">
        <v>1956</v>
      </c>
      <c r="AT702" s="381">
        <v>7.0599999999999994E-3</v>
      </c>
      <c r="AV702" s="464"/>
      <c r="AW702" s="465"/>
    </row>
    <row r="703" spans="35:49">
      <c r="AI703" s="464">
        <f t="shared" si="43"/>
        <v>683</v>
      </c>
      <c r="AJ703" s="473">
        <v>43871</v>
      </c>
      <c r="AK703" s="474">
        <v>21493.32</v>
      </c>
      <c r="AL703" s="475">
        <v>-2.9999999999999997E-4</v>
      </c>
      <c r="AM703" s="475">
        <f t="shared" si="45"/>
        <v>-2.7768358862090281E-4</v>
      </c>
      <c r="AN703" s="464"/>
      <c r="AO703" s="464"/>
      <c r="AR703" s="464">
        <f t="shared" si="44"/>
        <v>683</v>
      </c>
      <c r="AS703" s="464" t="s">
        <v>1955</v>
      </c>
      <c r="AT703" s="381">
        <v>7.0999999999999995E-3</v>
      </c>
      <c r="AV703" s="464"/>
      <c r="AW703" s="465"/>
    </row>
    <row r="704" spans="35:49">
      <c r="AI704" s="464">
        <f t="shared" si="43"/>
        <v>684</v>
      </c>
      <c r="AJ704" s="473">
        <v>43872</v>
      </c>
      <c r="AK704" s="474">
        <v>21646.02</v>
      </c>
      <c r="AL704" s="475">
        <v>7.1000000000000004E-3</v>
      </c>
      <c r="AM704" s="475">
        <f t="shared" si="45"/>
        <v>7.1045329432586346E-3</v>
      </c>
      <c r="AN704" s="464"/>
      <c r="AO704" s="464"/>
      <c r="AR704" s="464">
        <f t="shared" si="44"/>
        <v>684</v>
      </c>
      <c r="AS704" s="464" t="s">
        <v>1954</v>
      </c>
      <c r="AT704" s="381">
        <v>6.3899999999999998E-3</v>
      </c>
      <c r="AV704" s="464"/>
      <c r="AW704" s="465"/>
    </row>
    <row r="705" spans="35:49">
      <c r="AI705" s="464">
        <f t="shared" si="43"/>
        <v>685</v>
      </c>
      <c r="AJ705" s="473">
        <v>43873</v>
      </c>
      <c r="AK705" s="474">
        <v>21793.48</v>
      </c>
      <c r="AL705" s="475">
        <v>6.7999999999999996E-3</v>
      </c>
      <c r="AM705" s="475">
        <f t="shared" si="45"/>
        <v>6.8123377877318259E-3</v>
      </c>
      <c r="AN705" s="464"/>
      <c r="AO705" s="464"/>
      <c r="AR705" s="464">
        <f t="shared" si="44"/>
        <v>685</v>
      </c>
      <c r="AS705" s="464" t="s">
        <v>1953</v>
      </c>
      <c r="AT705" s="381">
        <v>6.9299999999999995E-3</v>
      </c>
      <c r="AV705" s="464"/>
      <c r="AW705" s="465"/>
    </row>
    <row r="706" spans="35:49">
      <c r="AI706" s="464">
        <f t="shared" si="43"/>
        <v>686</v>
      </c>
      <c r="AJ706" s="473">
        <v>43874</v>
      </c>
      <c r="AK706" s="474">
        <v>21673.9</v>
      </c>
      <c r="AL706" s="475">
        <v>-5.4999999999999997E-3</v>
      </c>
      <c r="AM706" s="475">
        <f t="shared" si="45"/>
        <v>-5.4869621556538073E-3</v>
      </c>
      <c r="AN706" s="464"/>
      <c r="AO706" s="464"/>
      <c r="AR706" s="464">
        <f t="shared" si="44"/>
        <v>686</v>
      </c>
      <c r="AS706" s="464" t="s">
        <v>1952</v>
      </c>
      <c r="AT706" s="381">
        <v>7.1699999999999993E-3</v>
      </c>
      <c r="AV706" s="464"/>
      <c r="AW706" s="465"/>
    </row>
    <row r="707" spans="35:49">
      <c r="AI707" s="464">
        <f t="shared" si="43"/>
        <v>687</v>
      </c>
      <c r="AJ707" s="473">
        <v>43875</v>
      </c>
      <c r="AK707" s="474">
        <v>21790.080000000002</v>
      </c>
      <c r="AL707" s="475">
        <v>5.4000000000000003E-3</v>
      </c>
      <c r="AM707" s="475">
        <f t="shared" si="45"/>
        <v>5.3603643091459929E-3</v>
      </c>
      <c r="AN707" s="464"/>
      <c r="AO707" s="464"/>
      <c r="AR707" s="464">
        <f t="shared" si="44"/>
        <v>687</v>
      </c>
      <c r="AS707" s="464" t="s">
        <v>1951</v>
      </c>
      <c r="AT707" s="381">
        <v>6.7800000000000004E-3</v>
      </c>
      <c r="AV707" s="464"/>
      <c r="AW707" s="465"/>
    </row>
    <row r="708" spans="35:49">
      <c r="AI708" s="464">
        <f t="shared" si="43"/>
        <v>688</v>
      </c>
      <c r="AJ708" s="473">
        <v>43878</v>
      </c>
      <c r="AK708" s="474">
        <v>21826.34</v>
      </c>
      <c r="AL708" s="475">
        <v>1.6999999999999999E-3</v>
      </c>
      <c r="AM708" s="475">
        <f t="shared" si="45"/>
        <v>1.6640599759156771E-3</v>
      </c>
      <c r="AN708" s="464"/>
      <c r="AO708" s="464"/>
      <c r="AR708" s="464">
        <f t="shared" si="44"/>
        <v>688</v>
      </c>
      <c r="AS708" s="464" t="s">
        <v>1950</v>
      </c>
      <c r="AT708" s="381">
        <v>7.0899999999999999E-3</v>
      </c>
      <c r="AV708" s="464"/>
      <c r="AW708" s="465"/>
    </row>
    <row r="709" spans="35:49">
      <c r="AI709" s="464">
        <f t="shared" si="43"/>
        <v>689</v>
      </c>
      <c r="AJ709" s="473">
        <v>43879</v>
      </c>
      <c r="AK709" s="474">
        <v>21678.46</v>
      </c>
      <c r="AL709" s="475">
        <v>-6.7999999999999996E-3</v>
      </c>
      <c r="AM709" s="475">
        <f t="shared" si="45"/>
        <v>-6.7752999357657551E-3</v>
      </c>
      <c r="AN709" s="464"/>
      <c r="AO709" s="464"/>
      <c r="AR709" s="464">
        <f t="shared" si="44"/>
        <v>689</v>
      </c>
      <c r="AS709" s="464" t="s">
        <v>1949</v>
      </c>
      <c r="AT709" s="381">
        <v>7.0899999999999999E-3</v>
      </c>
      <c r="AV709" s="464"/>
      <c r="AW709" s="465"/>
    </row>
    <row r="710" spans="35:49">
      <c r="AI710" s="464">
        <f t="shared" si="43"/>
        <v>690</v>
      </c>
      <c r="AJ710" s="473">
        <v>43880</v>
      </c>
      <c r="AK710" s="474">
        <v>21850.86</v>
      </c>
      <c r="AL710" s="475">
        <v>8.0000000000000002E-3</v>
      </c>
      <c r="AM710" s="475">
        <f t="shared" si="45"/>
        <v>7.952594418607184E-3</v>
      </c>
      <c r="AN710" s="464"/>
      <c r="AO710" s="464"/>
      <c r="AR710" s="464">
        <f t="shared" si="44"/>
        <v>690</v>
      </c>
      <c r="AS710" s="464" t="s">
        <v>1948</v>
      </c>
      <c r="AT710" s="381">
        <v>7.5100000000000002E-3</v>
      </c>
      <c r="AV710" s="464"/>
      <c r="AW710" s="465"/>
    </row>
    <row r="711" spans="35:49">
      <c r="AI711" s="464">
        <f t="shared" si="43"/>
        <v>691</v>
      </c>
      <c r="AJ711" s="473">
        <v>43881</v>
      </c>
      <c r="AK711" s="474">
        <v>21866.69</v>
      </c>
      <c r="AL711" s="475">
        <v>6.9999999999999999E-4</v>
      </c>
      <c r="AM711" s="475">
        <f t="shared" si="45"/>
        <v>7.2445661177633625E-4</v>
      </c>
      <c r="AN711" s="464"/>
      <c r="AO711" s="464"/>
      <c r="AR711" s="464">
        <f t="shared" si="44"/>
        <v>691</v>
      </c>
      <c r="AS711" s="464" t="s">
        <v>1947</v>
      </c>
      <c r="AT711" s="381">
        <v>7.1399999999999996E-3</v>
      </c>
      <c r="AV711" s="464"/>
      <c r="AW711" s="465"/>
    </row>
    <row r="712" spans="35:49">
      <c r="AI712" s="464">
        <f t="shared" si="43"/>
        <v>692</v>
      </c>
      <c r="AJ712" s="473">
        <v>43882</v>
      </c>
      <c r="AK712" s="474">
        <v>21780.2</v>
      </c>
      <c r="AL712" s="475">
        <v>-4.0000000000000001E-3</v>
      </c>
      <c r="AM712" s="475">
        <f t="shared" si="45"/>
        <v>-3.9553311452258377E-3</v>
      </c>
      <c r="AN712" s="464"/>
      <c r="AO712" s="464"/>
      <c r="AR712" s="464">
        <f t="shared" si="44"/>
        <v>692</v>
      </c>
      <c r="AS712" s="464" t="s">
        <v>1946</v>
      </c>
      <c r="AT712" s="381">
        <v>6.8500000000000002E-3</v>
      </c>
      <c r="AV712" s="464"/>
      <c r="AW712" s="465"/>
    </row>
    <row r="713" spans="35:49">
      <c r="AI713" s="464">
        <f t="shared" si="43"/>
        <v>693</v>
      </c>
      <c r="AJ713" s="473">
        <v>43885</v>
      </c>
      <c r="AK713" s="474">
        <v>21117.87</v>
      </c>
      <c r="AL713" s="475">
        <v>-3.04E-2</v>
      </c>
      <c r="AM713" s="475">
        <f t="shared" si="45"/>
        <v>-3.0409729938200791E-2</v>
      </c>
      <c r="AN713" s="464"/>
      <c r="AO713" s="464"/>
      <c r="AR713" s="464">
        <f t="shared" si="44"/>
        <v>693</v>
      </c>
      <c r="AS713" s="464" t="s">
        <v>1945</v>
      </c>
      <c r="AT713" s="381">
        <v>6.2300000000000003E-3</v>
      </c>
      <c r="AV713" s="464"/>
      <c r="AW713" s="465"/>
    </row>
    <row r="714" spans="35:49">
      <c r="AI714" s="464">
        <f t="shared" si="43"/>
        <v>694</v>
      </c>
      <c r="AJ714" s="473">
        <v>43886</v>
      </c>
      <c r="AK714" s="474">
        <v>20715.97</v>
      </c>
      <c r="AL714" s="475">
        <v>-1.9E-2</v>
      </c>
      <c r="AM714" s="475">
        <f t="shared" si="45"/>
        <v>-1.9031275407983772E-2</v>
      </c>
      <c r="AN714" s="464"/>
      <c r="AO714" s="464"/>
      <c r="AR714" s="464">
        <f t="shared" si="44"/>
        <v>694</v>
      </c>
      <c r="AS714" s="464" t="s">
        <v>1944</v>
      </c>
      <c r="AT714" s="381">
        <v>6.8300000000000001E-3</v>
      </c>
      <c r="AV714" s="464"/>
      <c r="AW714" s="465"/>
    </row>
    <row r="715" spans="35:49">
      <c r="AI715" s="464">
        <f t="shared" si="43"/>
        <v>695</v>
      </c>
      <c r="AJ715" s="473">
        <v>43887</v>
      </c>
      <c r="AK715" s="474">
        <v>20622.95</v>
      </c>
      <c r="AL715" s="475">
        <v>-4.4999999999999997E-3</v>
      </c>
      <c r="AM715" s="475">
        <f t="shared" si="45"/>
        <v>-4.4902555854251514E-3</v>
      </c>
      <c r="AN715" s="464"/>
      <c r="AO715" s="464"/>
      <c r="AR715" s="464">
        <f t="shared" si="44"/>
        <v>695</v>
      </c>
      <c r="AS715" s="464" t="s">
        <v>1943</v>
      </c>
      <c r="AT715" s="381">
        <v>6.5950000000000002E-3</v>
      </c>
      <c r="AV715" s="464"/>
      <c r="AW715" s="465"/>
    </row>
    <row r="716" spans="35:49">
      <c r="AI716" s="464">
        <f t="shared" si="43"/>
        <v>696</v>
      </c>
      <c r="AJ716" s="473">
        <v>43888</v>
      </c>
      <c r="AK716" s="474">
        <v>19783.45</v>
      </c>
      <c r="AL716" s="475">
        <v>-4.07E-2</v>
      </c>
      <c r="AM716" s="475">
        <f t="shared" si="45"/>
        <v>-4.0707076339708936E-2</v>
      </c>
      <c r="AN716" s="464"/>
      <c r="AO716" s="464"/>
      <c r="AR716" s="464">
        <f t="shared" si="44"/>
        <v>696</v>
      </c>
      <c r="AS716" s="464" t="s">
        <v>1942</v>
      </c>
      <c r="AT716" s="381">
        <v>7.2099999999999994E-3</v>
      </c>
      <c r="AV716" s="464"/>
      <c r="AW716" s="465"/>
    </row>
    <row r="717" spans="35:49">
      <c r="AI717" s="464">
        <f t="shared" si="43"/>
        <v>697</v>
      </c>
      <c r="AJ717" s="473">
        <v>43889</v>
      </c>
      <c r="AK717" s="474">
        <v>19330.919999999998</v>
      </c>
      <c r="AL717" s="475">
        <v>-2.29E-2</v>
      </c>
      <c r="AM717" s="475">
        <f t="shared" si="45"/>
        <v>-2.2874170076503497E-2</v>
      </c>
      <c r="AN717" s="464"/>
      <c r="AO717" s="464"/>
      <c r="AR717" s="464">
        <f t="shared" si="44"/>
        <v>697</v>
      </c>
      <c r="AS717" s="464" t="s">
        <v>1941</v>
      </c>
      <c r="AT717" s="381">
        <v>7.11E-3</v>
      </c>
      <c r="AV717" s="464"/>
      <c r="AW717" s="465"/>
    </row>
    <row r="718" spans="35:49">
      <c r="AI718" s="464">
        <f t="shared" si="43"/>
        <v>698</v>
      </c>
      <c r="AJ718" s="473">
        <v>43892</v>
      </c>
      <c r="AK718" s="474">
        <v>19301.7</v>
      </c>
      <c r="AL718" s="475">
        <v>-1.5E-3</v>
      </c>
      <c r="AM718" s="475">
        <f t="shared" si="45"/>
        <v>-1.5115679957290462E-3</v>
      </c>
      <c r="AN718" s="464"/>
      <c r="AO718" s="464"/>
      <c r="AR718" s="464">
        <f t="shared" si="44"/>
        <v>698</v>
      </c>
      <c r="AS718" s="464" t="s">
        <v>1940</v>
      </c>
      <c r="AT718" s="381">
        <v>6.8600000000000006E-3</v>
      </c>
      <c r="AV718" s="464"/>
      <c r="AW718" s="465"/>
    </row>
    <row r="719" spans="35:49">
      <c r="AI719" s="464">
        <f t="shared" si="43"/>
        <v>699</v>
      </c>
      <c r="AJ719" s="473">
        <v>43893</v>
      </c>
      <c r="AK719" s="474">
        <v>19682.650000000001</v>
      </c>
      <c r="AL719" s="475">
        <v>1.9699999999999999E-2</v>
      </c>
      <c r="AM719" s="475">
        <f t="shared" si="45"/>
        <v>1.9736603511607775E-2</v>
      </c>
      <c r="AN719" s="464"/>
      <c r="AO719" s="464"/>
      <c r="AR719" s="464">
        <f t="shared" si="44"/>
        <v>699</v>
      </c>
      <c r="AS719" s="464" t="s">
        <v>1939</v>
      </c>
      <c r="AT719" s="381">
        <v>6.3099999999999996E-3</v>
      </c>
      <c r="AV719" s="464"/>
      <c r="AW719" s="465"/>
    </row>
    <row r="720" spans="35:49">
      <c r="AI720" s="464">
        <f t="shared" si="43"/>
        <v>700</v>
      </c>
      <c r="AJ720" s="473">
        <v>43894</v>
      </c>
      <c r="AK720" s="474">
        <v>19742.830000000002</v>
      </c>
      <c r="AL720" s="475">
        <v>3.0999999999999999E-3</v>
      </c>
      <c r="AM720" s="475">
        <f t="shared" si="45"/>
        <v>3.0575151211853502E-3</v>
      </c>
      <c r="AN720" s="464"/>
      <c r="AO720" s="464"/>
      <c r="AR720" s="464">
        <f t="shared" si="44"/>
        <v>700</v>
      </c>
      <c r="AS720" s="464" t="s">
        <v>1938</v>
      </c>
      <c r="AT720" s="381">
        <v>6.6400000000000001E-3</v>
      </c>
      <c r="AV720" s="464"/>
      <c r="AW720" s="465"/>
    </row>
    <row r="721" spans="35:49">
      <c r="AI721" s="464">
        <f t="shared" si="43"/>
        <v>701</v>
      </c>
      <c r="AJ721" s="473">
        <v>43895</v>
      </c>
      <c r="AK721" s="474">
        <v>19323.13</v>
      </c>
      <c r="AL721" s="475">
        <v>-2.1299999999999999E-2</v>
      </c>
      <c r="AM721" s="475">
        <f t="shared" si="45"/>
        <v>-2.1258350499902989E-2</v>
      </c>
      <c r="AN721" s="464"/>
      <c r="AO721" s="464"/>
      <c r="AR721" s="464">
        <f t="shared" si="44"/>
        <v>701</v>
      </c>
      <c r="AS721" s="464" t="s">
        <v>1937</v>
      </c>
      <c r="AT721" s="381">
        <v>7.2299999999999994E-3</v>
      </c>
      <c r="AV721" s="464"/>
      <c r="AW721" s="465"/>
    </row>
    <row r="722" spans="35:49">
      <c r="AI722" s="464">
        <f t="shared" si="43"/>
        <v>702</v>
      </c>
      <c r="AJ722" s="473">
        <v>43896</v>
      </c>
      <c r="AK722" s="474">
        <v>18746.509999999998</v>
      </c>
      <c r="AL722" s="475">
        <v>-2.98E-2</v>
      </c>
      <c r="AM722" s="475">
        <f t="shared" si="45"/>
        <v>-2.9840921217214933E-2</v>
      </c>
      <c r="AN722" s="464"/>
      <c r="AO722" s="464"/>
      <c r="AR722" s="464">
        <f t="shared" si="44"/>
        <v>702</v>
      </c>
      <c r="AS722" s="464" t="s">
        <v>1936</v>
      </c>
      <c r="AT722" s="381">
        <v>7.7400000000000004E-3</v>
      </c>
      <c r="AV722" s="464"/>
      <c r="AW722" s="465"/>
    </row>
    <row r="723" spans="35:49">
      <c r="AI723" s="464">
        <f t="shared" si="43"/>
        <v>703</v>
      </c>
      <c r="AJ723" s="473">
        <v>43899</v>
      </c>
      <c r="AK723" s="474">
        <v>17547.150000000001</v>
      </c>
      <c r="AL723" s="475">
        <v>-6.4000000000000001E-2</v>
      </c>
      <c r="AM723" s="475">
        <f t="shared" si="45"/>
        <v>-6.3977775063198239E-2</v>
      </c>
      <c r="AN723" s="464"/>
      <c r="AO723" s="464"/>
      <c r="AR723" s="464">
        <f t="shared" si="44"/>
        <v>703</v>
      </c>
      <c r="AS723" s="464" t="s">
        <v>1935</v>
      </c>
      <c r="AT723" s="381">
        <v>7.1500000000000001E-3</v>
      </c>
      <c r="AV723" s="464"/>
      <c r="AW723" s="465"/>
    </row>
    <row r="724" spans="35:49">
      <c r="AI724" s="464">
        <f t="shared" si="43"/>
        <v>704</v>
      </c>
      <c r="AJ724" s="473">
        <v>43900</v>
      </c>
      <c r="AK724" s="474">
        <v>17547.05</v>
      </c>
      <c r="AL724" s="475">
        <v>0</v>
      </c>
      <c r="AM724" s="475">
        <f t="shared" si="45"/>
        <v>-5.6989311655319952E-6</v>
      </c>
      <c r="AN724" s="464"/>
      <c r="AO724" s="464"/>
      <c r="AR724" s="464">
        <f t="shared" si="44"/>
        <v>704</v>
      </c>
      <c r="AS724" s="464" t="s">
        <v>1934</v>
      </c>
      <c r="AT724" s="381">
        <v>7.92E-3</v>
      </c>
      <c r="AV724" s="464"/>
      <c r="AW724" s="465"/>
    </row>
    <row r="725" spans="35:49">
      <c r="AI725" s="464">
        <f t="shared" ref="AI725:AI788" si="46">AI724+1</f>
        <v>705</v>
      </c>
      <c r="AJ725" s="473">
        <v>43901</v>
      </c>
      <c r="AK725" s="474">
        <v>17339.23</v>
      </c>
      <c r="AL725" s="475">
        <v>-1.18E-2</v>
      </c>
      <c r="AM725" s="475">
        <f t="shared" si="45"/>
        <v>-1.184358624384152E-2</v>
      </c>
      <c r="AN725" s="464"/>
      <c r="AO725" s="464"/>
      <c r="AR725" s="464">
        <f t="shared" ref="AR725:AR788" si="47">AR724+1</f>
        <v>705</v>
      </c>
      <c r="AS725" s="464" t="s">
        <v>1933</v>
      </c>
      <c r="AT725" s="381">
        <v>7.9100000000000004E-3</v>
      </c>
      <c r="AV725" s="464"/>
      <c r="AW725" s="465"/>
    </row>
    <row r="726" spans="35:49">
      <c r="AI726" s="464">
        <f t="shared" si="46"/>
        <v>706</v>
      </c>
      <c r="AJ726" s="473">
        <v>43902</v>
      </c>
      <c r="AK726" s="474">
        <v>15717.42</v>
      </c>
      <c r="AL726" s="475">
        <v>-9.35E-2</v>
      </c>
      <c r="AM726" s="475">
        <f t="shared" ref="AM726:AM789" si="48">AK726/AK725-1</f>
        <v>-9.3534141942865912E-2</v>
      </c>
      <c r="AN726" s="464"/>
      <c r="AO726" s="464"/>
      <c r="AR726" s="464">
        <f t="shared" si="47"/>
        <v>706</v>
      </c>
      <c r="AS726" s="464" t="s">
        <v>1932</v>
      </c>
      <c r="AT726" s="381">
        <v>7.9000000000000008E-3</v>
      </c>
      <c r="AV726" s="464"/>
      <c r="AW726" s="465"/>
    </row>
    <row r="727" spans="35:49">
      <c r="AI727" s="464">
        <f t="shared" si="46"/>
        <v>707</v>
      </c>
      <c r="AJ727" s="473">
        <v>43903</v>
      </c>
      <c r="AK727" s="474">
        <v>15562</v>
      </c>
      <c r="AL727" s="475">
        <v>-9.9000000000000008E-3</v>
      </c>
      <c r="AM727" s="475">
        <f t="shared" si="48"/>
        <v>-9.8883913517613387E-3</v>
      </c>
      <c r="AN727" s="464"/>
      <c r="AO727" s="464"/>
      <c r="AR727" s="464">
        <f t="shared" si="47"/>
        <v>707</v>
      </c>
      <c r="AS727" s="464" t="s">
        <v>1931</v>
      </c>
      <c r="AT727" s="381">
        <v>8.1100000000000009E-3</v>
      </c>
      <c r="AV727" s="464"/>
      <c r="AW727" s="465"/>
    </row>
    <row r="728" spans="35:49">
      <c r="AI728" s="464">
        <f t="shared" si="46"/>
        <v>708</v>
      </c>
      <c r="AJ728" s="473">
        <v>43906</v>
      </c>
      <c r="AK728" s="474">
        <v>14349.75</v>
      </c>
      <c r="AL728" s="475">
        <v>-7.7899999999999997E-2</v>
      </c>
      <c r="AM728" s="475">
        <f t="shared" si="48"/>
        <v>-7.7898085079038726E-2</v>
      </c>
      <c r="AN728" s="464"/>
      <c r="AO728" s="464"/>
      <c r="AR728" s="464">
        <f t="shared" si="47"/>
        <v>708</v>
      </c>
      <c r="AS728" s="464" t="s">
        <v>1930</v>
      </c>
      <c r="AT728" s="381">
        <v>8.0700000000000008E-3</v>
      </c>
      <c r="AV728" s="464"/>
      <c r="AW728" s="465"/>
    </row>
    <row r="729" spans="35:49">
      <c r="AI729" s="464">
        <f t="shared" si="46"/>
        <v>709</v>
      </c>
      <c r="AJ729" s="473">
        <v>43907</v>
      </c>
      <c r="AK729" s="474">
        <v>13924.88</v>
      </c>
      <c r="AL729" s="475">
        <v>-2.9600000000000001E-2</v>
      </c>
      <c r="AM729" s="475">
        <f t="shared" si="48"/>
        <v>-2.9608181327200889E-2</v>
      </c>
      <c r="AN729" s="464"/>
      <c r="AO729" s="464"/>
      <c r="AR729" s="464">
        <f t="shared" si="47"/>
        <v>709</v>
      </c>
      <c r="AS729" s="464" t="s">
        <v>1929</v>
      </c>
      <c r="AT729" s="381">
        <v>7.6E-3</v>
      </c>
      <c r="AV729" s="464"/>
      <c r="AW729" s="465"/>
    </row>
    <row r="730" spans="35:49">
      <c r="AI730" s="464">
        <f t="shared" si="46"/>
        <v>710</v>
      </c>
      <c r="AJ730" s="473">
        <v>43908</v>
      </c>
      <c r="AK730" s="474">
        <v>13008.19</v>
      </c>
      <c r="AL730" s="475">
        <v>-6.5799999999999997E-2</v>
      </c>
      <c r="AM730" s="475">
        <f t="shared" si="48"/>
        <v>-6.5831087951924827E-2</v>
      </c>
      <c r="AN730" s="464"/>
      <c r="AO730" s="464"/>
      <c r="AR730" s="464">
        <f t="shared" si="47"/>
        <v>710</v>
      </c>
      <c r="AS730" s="464" t="s">
        <v>1928</v>
      </c>
      <c r="AT730" s="381">
        <v>7.0999999999999995E-3</v>
      </c>
      <c r="AV730" s="464"/>
      <c r="AW730" s="465"/>
    </row>
    <row r="731" spans="35:49">
      <c r="AI731" s="464">
        <f t="shared" si="46"/>
        <v>711</v>
      </c>
      <c r="AJ731" s="473">
        <v>43909</v>
      </c>
      <c r="AK731" s="474">
        <v>12829.7</v>
      </c>
      <c r="AL731" s="475">
        <v>-1.37E-2</v>
      </c>
      <c r="AM731" s="475">
        <f t="shared" si="48"/>
        <v>-1.3721355546005953E-2</v>
      </c>
      <c r="AN731" s="464"/>
      <c r="AO731" s="464"/>
      <c r="AR731" s="464">
        <f t="shared" si="47"/>
        <v>711</v>
      </c>
      <c r="AS731" s="464" t="s">
        <v>1927</v>
      </c>
      <c r="AT731" s="381">
        <v>7.2899999999999996E-3</v>
      </c>
      <c r="AV731" s="464"/>
      <c r="AW731" s="465"/>
    </row>
    <row r="732" spans="35:49">
      <c r="AI732" s="464">
        <f t="shared" si="46"/>
        <v>712</v>
      </c>
      <c r="AJ732" s="473">
        <v>43910</v>
      </c>
      <c r="AK732" s="474">
        <v>13592.64</v>
      </c>
      <c r="AL732" s="475">
        <v>5.9499999999999997E-2</v>
      </c>
      <c r="AM732" s="475">
        <f t="shared" si="48"/>
        <v>5.9466706158366911E-2</v>
      </c>
      <c r="AN732" s="464"/>
      <c r="AO732" s="464"/>
      <c r="AR732" s="464">
        <f t="shared" si="47"/>
        <v>712</v>
      </c>
      <c r="AS732" s="464" t="s">
        <v>1926</v>
      </c>
      <c r="AT732" s="381">
        <v>7.2199999999999999E-3</v>
      </c>
      <c r="AV732" s="464"/>
      <c r="AW732" s="465"/>
    </row>
    <row r="733" spans="35:49">
      <c r="AI733" s="464">
        <f t="shared" si="46"/>
        <v>713</v>
      </c>
      <c r="AJ733" s="473">
        <v>43913</v>
      </c>
      <c r="AK733" s="474">
        <v>13078.01</v>
      </c>
      <c r="AL733" s="475">
        <v>-3.7900000000000003E-2</v>
      </c>
      <c r="AM733" s="475">
        <f t="shared" si="48"/>
        <v>-3.7860930621277378E-2</v>
      </c>
      <c r="AN733" s="464"/>
      <c r="AO733" s="464"/>
      <c r="AR733" s="464">
        <f t="shared" si="47"/>
        <v>713</v>
      </c>
      <c r="AS733" s="464" t="s">
        <v>1925</v>
      </c>
      <c r="AT733" s="381">
        <v>7.5100000000000002E-3</v>
      </c>
      <c r="AV733" s="464"/>
      <c r="AW733" s="465"/>
    </row>
    <row r="734" spans="35:49">
      <c r="AI734" s="464">
        <f t="shared" si="46"/>
        <v>714</v>
      </c>
      <c r="AJ734" s="473">
        <v>43914</v>
      </c>
      <c r="AK734" s="474">
        <v>14172.73</v>
      </c>
      <c r="AL734" s="475">
        <v>8.3699999999999997E-2</v>
      </c>
      <c r="AM734" s="475">
        <f t="shared" si="48"/>
        <v>8.3706924830306617E-2</v>
      </c>
      <c r="AN734" s="464"/>
      <c r="AO734" s="464"/>
      <c r="AR734" s="464">
        <f t="shared" si="47"/>
        <v>714</v>
      </c>
      <c r="AS734" s="464" t="s">
        <v>1924</v>
      </c>
      <c r="AT734" s="381">
        <v>7.3400000000000002E-3</v>
      </c>
      <c r="AV734" s="464"/>
      <c r="AW734" s="465"/>
    </row>
    <row r="735" spans="35:49">
      <c r="AI735" s="464">
        <f t="shared" si="46"/>
        <v>715</v>
      </c>
      <c r="AJ735" s="473">
        <v>43915</v>
      </c>
      <c r="AK735" s="474">
        <v>14819.91</v>
      </c>
      <c r="AL735" s="475">
        <v>4.5699999999999998E-2</v>
      </c>
      <c r="AM735" s="475">
        <f t="shared" si="48"/>
        <v>4.5663750032633121E-2</v>
      </c>
      <c r="AN735" s="464"/>
      <c r="AO735" s="464"/>
      <c r="AR735" s="464">
        <f t="shared" si="47"/>
        <v>715</v>
      </c>
      <c r="AS735" s="464" t="s">
        <v>1923</v>
      </c>
      <c r="AT735" s="381">
        <v>7.3200000000000001E-3</v>
      </c>
      <c r="AV735" s="464"/>
      <c r="AW735" s="465"/>
    </row>
    <row r="736" spans="35:49">
      <c r="AI736" s="464">
        <f t="shared" si="46"/>
        <v>716</v>
      </c>
      <c r="AJ736" s="473">
        <v>43916</v>
      </c>
      <c r="AK736" s="474">
        <v>15380.71</v>
      </c>
      <c r="AL736" s="475">
        <v>3.78E-2</v>
      </c>
      <c r="AM736" s="475">
        <f t="shared" si="48"/>
        <v>3.7840985539048466E-2</v>
      </c>
      <c r="AN736" s="464"/>
      <c r="AO736" s="464"/>
      <c r="AR736" s="464">
        <f t="shared" si="47"/>
        <v>716</v>
      </c>
      <c r="AS736" s="464" t="s">
        <v>1922</v>
      </c>
      <c r="AT736" s="381">
        <v>7.5599999999999999E-3</v>
      </c>
      <c r="AV736" s="464"/>
      <c r="AW736" s="465"/>
    </row>
    <row r="737" spans="35:49">
      <c r="AI737" s="464">
        <f t="shared" si="46"/>
        <v>717</v>
      </c>
      <c r="AJ737" s="473">
        <v>43917</v>
      </c>
      <c r="AK737" s="474">
        <v>14769.8</v>
      </c>
      <c r="AL737" s="475">
        <v>-3.9699999999999999E-2</v>
      </c>
      <c r="AM737" s="475">
        <f t="shared" si="48"/>
        <v>-3.9719232727227771E-2</v>
      </c>
      <c r="AN737" s="464"/>
      <c r="AO737" s="464"/>
      <c r="AR737" s="464">
        <f t="shared" si="47"/>
        <v>717</v>
      </c>
      <c r="AS737" s="464" t="s">
        <v>1921</v>
      </c>
      <c r="AT737" s="381">
        <v>7.0699999999999999E-3</v>
      </c>
      <c r="AV737" s="464"/>
      <c r="AW737" s="465"/>
    </row>
    <row r="738" spans="35:49">
      <c r="AI738" s="464">
        <f t="shared" si="46"/>
        <v>718</v>
      </c>
      <c r="AJ738" s="473">
        <v>43920</v>
      </c>
      <c r="AK738" s="474">
        <v>14624.63</v>
      </c>
      <c r="AL738" s="475">
        <v>-9.7999999999999997E-3</v>
      </c>
      <c r="AM738" s="475">
        <f t="shared" si="48"/>
        <v>-9.8288399301277307E-3</v>
      </c>
      <c r="AN738" s="464"/>
      <c r="AO738" s="464"/>
      <c r="AR738" s="464">
        <f t="shared" si="47"/>
        <v>718</v>
      </c>
      <c r="AS738" s="464" t="s">
        <v>1920</v>
      </c>
      <c r="AT738" s="381">
        <v>7.0299999999999998E-3</v>
      </c>
      <c r="AV738" s="464"/>
      <c r="AW738" s="465"/>
    </row>
    <row r="739" spans="35:49">
      <c r="AI739" s="464">
        <f t="shared" si="46"/>
        <v>719</v>
      </c>
      <c r="AJ739" s="473">
        <v>43921</v>
      </c>
      <c r="AK739" s="474">
        <v>15101.13</v>
      </c>
      <c r="AL739" s="475">
        <v>3.2599999999999997E-2</v>
      </c>
      <c r="AM739" s="475">
        <f t="shared" si="48"/>
        <v>3.2582020878476836E-2</v>
      </c>
      <c r="AN739" s="464"/>
      <c r="AO739" s="464"/>
      <c r="AR739" s="464">
        <f t="shared" si="47"/>
        <v>719</v>
      </c>
      <c r="AS739" s="464" t="s">
        <v>1919</v>
      </c>
      <c r="AT739" s="381">
        <v>6.9699999999999996E-3</v>
      </c>
      <c r="AV739" s="464"/>
      <c r="AW739" s="465"/>
    </row>
    <row r="740" spans="35:49">
      <c r="AI740" s="464">
        <f t="shared" si="46"/>
        <v>720</v>
      </c>
      <c r="AJ740" s="473">
        <v>43922</v>
      </c>
      <c r="AK740" s="474">
        <v>14547.2</v>
      </c>
      <c r="AL740" s="475">
        <v>-3.6700000000000003E-2</v>
      </c>
      <c r="AM740" s="475">
        <f t="shared" si="48"/>
        <v>-3.6681360931267948E-2</v>
      </c>
      <c r="AN740" s="464"/>
      <c r="AO740" s="464"/>
      <c r="AR740" s="464">
        <f t="shared" si="47"/>
        <v>720</v>
      </c>
      <c r="AS740" s="464" t="s">
        <v>1918</v>
      </c>
      <c r="AT740" s="381">
        <v>6.5300000000000002E-3</v>
      </c>
      <c r="AV740" s="464"/>
      <c r="AW740" s="465"/>
    </row>
    <row r="741" spans="35:49">
      <c r="AI741" s="464">
        <f t="shared" si="46"/>
        <v>721</v>
      </c>
      <c r="AJ741" s="473">
        <v>43923</v>
      </c>
      <c r="AK741" s="474">
        <v>14436.8</v>
      </c>
      <c r="AL741" s="475">
        <v>-7.6E-3</v>
      </c>
      <c r="AM741" s="475">
        <f t="shared" si="48"/>
        <v>-7.5890893092830369E-3</v>
      </c>
      <c r="AN741" s="464"/>
      <c r="AO741" s="464"/>
      <c r="AR741" s="464">
        <f t="shared" si="47"/>
        <v>721</v>
      </c>
      <c r="AS741" s="464" t="s">
        <v>1917</v>
      </c>
      <c r="AT741" s="381">
        <v>6.7800000000000004E-3</v>
      </c>
      <c r="AV741" s="464"/>
      <c r="AW741" s="465"/>
    </row>
    <row r="742" spans="35:49">
      <c r="AI742" s="464">
        <f t="shared" si="46"/>
        <v>722</v>
      </c>
      <c r="AJ742" s="473">
        <v>43924</v>
      </c>
      <c r="AK742" s="474">
        <v>14099.21</v>
      </c>
      <c r="AL742" s="475">
        <v>-2.3400000000000001E-2</v>
      </c>
      <c r="AM742" s="475">
        <f t="shared" si="48"/>
        <v>-2.3383990912113517E-2</v>
      </c>
      <c r="AN742" s="464"/>
      <c r="AO742" s="464"/>
      <c r="AR742" s="464">
        <f t="shared" si="47"/>
        <v>722</v>
      </c>
      <c r="AS742" s="464" t="s">
        <v>1916</v>
      </c>
      <c r="AT742" s="381">
        <v>6.7700000000000008E-3</v>
      </c>
      <c r="AV742" s="464"/>
      <c r="AW742" s="465"/>
    </row>
    <row r="743" spans="35:49">
      <c r="AI743" s="464">
        <f t="shared" si="46"/>
        <v>723</v>
      </c>
      <c r="AJ743" s="473">
        <v>43927</v>
      </c>
      <c r="AK743" s="474">
        <v>14812.36</v>
      </c>
      <c r="AL743" s="475">
        <v>5.0599999999999999E-2</v>
      </c>
      <c r="AM743" s="475">
        <f t="shared" si="48"/>
        <v>5.0580848146811075E-2</v>
      </c>
      <c r="AN743" s="464"/>
      <c r="AO743" s="464"/>
      <c r="AR743" s="464">
        <f t="shared" si="47"/>
        <v>723</v>
      </c>
      <c r="AS743" s="464" t="s">
        <v>1915</v>
      </c>
      <c r="AT743" s="381">
        <v>6.9999999999999993E-3</v>
      </c>
      <c r="AV743" s="464"/>
      <c r="AW743" s="465"/>
    </row>
    <row r="744" spans="35:49">
      <c r="AI744" s="464">
        <f t="shared" si="46"/>
        <v>724</v>
      </c>
      <c r="AJ744" s="473">
        <v>43928</v>
      </c>
      <c r="AK744" s="474">
        <v>15568.96</v>
      </c>
      <c r="AL744" s="475">
        <v>5.11E-2</v>
      </c>
      <c r="AM744" s="475">
        <f t="shared" si="48"/>
        <v>5.1078963784298992E-2</v>
      </c>
      <c r="AN744" s="464"/>
      <c r="AO744" s="464"/>
      <c r="AR744" s="464">
        <f t="shared" si="47"/>
        <v>724</v>
      </c>
      <c r="AS744" s="464" t="s">
        <v>1914</v>
      </c>
      <c r="AT744" s="381">
        <v>6.9799999999999992E-3</v>
      </c>
      <c r="AV744" s="464"/>
      <c r="AW744" s="465"/>
    </row>
    <row r="745" spans="35:49">
      <c r="AI745" s="464">
        <f t="shared" si="46"/>
        <v>725</v>
      </c>
      <c r="AJ745" s="473">
        <v>43929</v>
      </c>
      <c r="AK745" s="474">
        <v>15862.83</v>
      </c>
      <c r="AL745" s="475">
        <v>1.89E-2</v>
      </c>
      <c r="AM745" s="475">
        <f t="shared" si="48"/>
        <v>1.8875377674552496E-2</v>
      </c>
      <c r="AN745" s="464"/>
      <c r="AO745" s="464"/>
      <c r="AR745" s="464">
        <f t="shared" si="47"/>
        <v>725</v>
      </c>
      <c r="AS745" s="464" t="s">
        <v>1913</v>
      </c>
      <c r="AT745" s="381">
        <v>7.4099999999999999E-3</v>
      </c>
      <c r="AV745" s="464"/>
      <c r="AW745" s="465"/>
    </row>
    <row r="746" spans="35:49">
      <c r="AI746" s="464">
        <f t="shared" si="46"/>
        <v>726</v>
      </c>
      <c r="AJ746" s="473">
        <v>43930</v>
      </c>
      <c r="AK746" s="474">
        <v>16407.919999999998</v>
      </c>
      <c r="AL746" s="475">
        <v>3.44E-2</v>
      </c>
      <c r="AM746" s="475">
        <f t="shared" si="48"/>
        <v>3.4362720901629729E-2</v>
      </c>
      <c r="AN746" s="464"/>
      <c r="AO746" s="464"/>
      <c r="AR746" s="464">
        <f t="shared" si="47"/>
        <v>726</v>
      </c>
      <c r="AS746" s="464" t="s">
        <v>1912</v>
      </c>
      <c r="AT746" s="381">
        <v>6.7000000000000002E-3</v>
      </c>
      <c r="AV746" s="464"/>
      <c r="AW746" s="465"/>
    </row>
    <row r="747" spans="35:49">
      <c r="AI747" s="464">
        <f t="shared" si="46"/>
        <v>727</v>
      </c>
      <c r="AJ747" s="473">
        <v>43935</v>
      </c>
      <c r="AK747" s="474">
        <v>16082.57</v>
      </c>
      <c r="AL747" s="475">
        <v>-1.9800000000000002E-2</v>
      </c>
      <c r="AM747" s="475">
        <f t="shared" si="48"/>
        <v>-1.9828838755917788E-2</v>
      </c>
      <c r="AN747" s="464"/>
      <c r="AO747" s="464"/>
      <c r="AR747" s="464">
        <f t="shared" si="47"/>
        <v>727</v>
      </c>
      <c r="AS747" s="464" t="s">
        <v>1911</v>
      </c>
      <c r="AT747" s="381">
        <v>7.4199999999999995E-3</v>
      </c>
      <c r="AV747" s="464"/>
      <c r="AW747" s="465"/>
    </row>
    <row r="748" spans="35:49">
      <c r="AI748" s="464">
        <f t="shared" si="46"/>
        <v>728</v>
      </c>
      <c r="AJ748" s="473">
        <v>43936</v>
      </c>
      <c r="AK748" s="474">
        <v>15347.56</v>
      </c>
      <c r="AL748" s="475">
        <v>-4.5699999999999998E-2</v>
      </c>
      <c r="AM748" s="475">
        <f t="shared" si="48"/>
        <v>-4.5702272708901592E-2</v>
      </c>
      <c r="AN748" s="464"/>
      <c r="AO748" s="464"/>
      <c r="AR748" s="464">
        <f t="shared" si="47"/>
        <v>728</v>
      </c>
      <c r="AS748" s="464" t="s">
        <v>1910</v>
      </c>
      <c r="AT748" s="381">
        <v>7.7499999999999999E-3</v>
      </c>
      <c r="AV748" s="464"/>
      <c r="AW748" s="465"/>
    </row>
    <row r="749" spans="35:49">
      <c r="AI749" s="464">
        <f t="shared" si="46"/>
        <v>729</v>
      </c>
      <c r="AJ749" s="473">
        <v>43937</v>
      </c>
      <c r="AK749" s="474">
        <v>15378.57</v>
      </c>
      <c r="AL749" s="475">
        <v>2E-3</v>
      </c>
      <c r="AM749" s="475">
        <f t="shared" si="48"/>
        <v>2.0205166163220767E-3</v>
      </c>
      <c r="AN749" s="464"/>
      <c r="AO749" s="464"/>
      <c r="AR749" s="464">
        <f t="shared" si="47"/>
        <v>729</v>
      </c>
      <c r="AS749" s="464" t="s">
        <v>1909</v>
      </c>
      <c r="AT749" s="381">
        <v>7.7299999999999999E-3</v>
      </c>
      <c r="AV749" s="464"/>
      <c r="AW749" s="465"/>
    </row>
    <row r="750" spans="35:49">
      <c r="AI750" s="464">
        <f t="shared" si="46"/>
        <v>730</v>
      </c>
      <c r="AJ750" s="473">
        <v>43938</v>
      </c>
      <c r="AK750" s="474">
        <v>15859.29</v>
      </c>
      <c r="AL750" s="475">
        <v>3.1300000000000001E-2</v>
      </c>
      <c r="AM750" s="475">
        <f t="shared" si="48"/>
        <v>3.1259083256765852E-2</v>
      </c>
      <c r="AN750" s="464"/>
      <c r="AO750" s="464"/>
      <c r="AR750" s="464">
        <f t="shared" si="47"/>
        <v>730</v>
      </c>
      <c r="AS750" s="464" t="s">
        <v>1908</v>
      </c>
      <c r="AT750" s="381">
        <v>7.6249999999999998E-3</v>
      </c>
      <c r="AV750" s="464"/>
      <c r="AW750" s="465"/>
    </row>
    <row r="751" spans="35:49">
      <c r="AI751" s="464">
        <f t="shared" si="46"/>
        <v>731</v>
      </c>
      <c r="AJ751" s="473">
        <v>43941</v>
      </c>
      <c r="AK751" s="474">
        <v>15822.73</v>
      </c>
      <c r="AL751" s="475">
        <v>-2.3E-3</v>
      </c>
      <c r="AM751" s="475">
        <f t="shared" si="48"/>
        <v>-2.3052734391010299E-3</v>
      </c>
      <c r="AN751" s="464"/>
      <c r="AO751" s="464"/>
      <c r="AR751" s="464">
        <f t="shared" si="47"/>
        <v>731</v>
      </c>
      <c r="AS751" s="464" t="s">
        <v>1907</v>
      </c>
      <c r="AT751" s="381">
        <v>7.6500000000000005E-3</v>
      </c>
      <c r="AV751" s="464"/>
      <c r="AW751" s="465"/>
    </row>
    <row r="752" spans="35:49">
      <c r="AI752" s="464">
        <f t="shared" si="46"/>
        <v>732</v>
      </c>
      <c r="AJ752" s="473">
        <v>43942</v>
      </c>
      <c r="AK752" s="474">
        <v>15399.25</v>
      </c>
      <c r="AL752" s="475">
        <v>-2.6800000000000001E-2</v>
      </c>
      <c r="AM752" s="475">
        <f t="shared" si="48"/>
        <v>-2.6764028710595467E-2</v>
      </c>
      <c r="AN752" s="464"/>
      <c r="AO752" s="464"/>
      <c r="AR752" s="464">
        <f t="shared" si="47"/>
        <v>732</v>
      </c>
      <c r="AS752" s="464" t="s">
        <v>1906</v>
      </c>
      <c r="AT752" s="381">
        <v>8.0099999999999998E-3</v>
      </c>
      <c r="AV752" s="464"/>
      <c r="AW752" s="465"/>
    </row>
    <row r="753" spans="35:49">
      <c r="AI753" s="464">
        <f t="shared" si="46"/>
        <v>733</v>
      </c>
      <c r="AJ753" s="473">
        <v>43943</v>
      </c>
      <c r="AK753" s="474">
        <v>15586.14</v>
      </c>
      <c r="AL753" s="475">
        <v>1.21E-2</v>
      </c>
      <c r="AM753" s="475">
        <f t="shared" si="48"/>
        <v>1.2136305339545794E-2</v>
      </c>
      <c r="AN753" s="464"/>
      <c r="AO753" s="464"/>
      <c r="AR753" s="464">
        <f t="shared" si="47"/>
        <v>733</v>
      </c>
      <c r="AS753" s="464" t="s">
        <v>1905</v>
      </c>
      <c r="AT753" s="381">
        <v>7.7499999999999999E-3</v>
      </c>
      <c r="AV753" s="464"/>
      <c r="AW753" s="465"/>
    </row>
    <row r="754" spans="35:49">
      <c r="AI754" s="464">
        <f t="shared" si="46"/>
        <v>734</v>
      </c>
      <c r="AJ754" s="473">
        <v>43944</v>
      </c>
      <c r="AK754" s="474">
        <v>15794.04</v>
      </c>
      <c r="AL754" s="475">
        <v>1.3299999999999999E-2</v>
      </c>
      <c r="AM754" s="475">
        <f t="shared" si="48"/>
        <v>1.3338774064649783E-2</v>
      </c>
      <c r="AN754" s="464"/>
      <c r="AO754" s="464"/>
      <c r="AR754" s="464">
        <f t="shared" si="47"/>
        <v>734</v>
      </c>
      <c r="AS754" s="464" t="s">
        <v>1904</v>
      </c>
      <c r="AT754" s="381">
        <v>8.2199999999999999E-3</v>
      </c>
      <c r="AV754" s="464"/>
      <c r="AW754" s="465"/>
    </row>
    <row r="755" spans="35:49">
      <c r="AI755" s="464">
        <f t="shared" si="46"/>
        <v>735</v>
      </c>
      <c r="AJ755" s="473">
        <v>43945</v>
      </c>
      <c r="AK755" s="474">
        <v>15687.43</v>
      </c>
      <c r="AL755" s="475">
        <v>-6.7999999999999996E-3</v>
      </c>
      <c r="AM755" s="475">
        <f t="shared" si="48"/>
        <v>-6.7500145624552754E-3</v>
      </c>
      <c r="AN755" s="464"/>
      <c r="AO755" s="464"/>
      <c r="AR755" s="464">
        <f t="shared" si="47"/>
        <v>735</v>
      </c>
      <c r="AS755" s="464" t="s">
        <v>1903</v>
      </c>
      <c r="AT755" s="381">
        <v>7.9100000000000004E-3</v>
      </c>
      <c r="AV755" s="464"/>
      <c r="AW755" s="465"/>
    </row>
    <row r="756" spans="35:49">
      <c r="AI756" s="464">
        <f t="shared" si="46"/>
        <v>736</v>
      </c>
      <c r="AJ756" s="473">
        <v>43948</v>
      </c>
      <c r="AK756" s="474">
        <v>15952.72</v>
      </c>
      <c r="AL756" s="475">
        <v>1.6899999999999998E-2</v>
      </c>
      <c r="AM756" s="475">
        <f t="shared" si="48"/>
        <v>1.6910991794066854E-2</v>
      </c>
      <c r="AN756" s="464"/>
      <c r="AO756" s="464"/>
      <c r="AR756" s="464">
        <f t="shared" si="47"/>
        <v>736</v>
      </c>
      <c r="AS756" s="464" t="s">
        <v>1902</v>
      </c>
      <c r="AT756" s="381">
        <v>8.2500000000000004E-3</v>
      </c>
      <c r="AV756" s="464"/>
      <c r="AW756" s="465"/>
    </row>
    <row r="757" spans="35:49">
      <c r="AI757" s="464">
        <f t="shared" si="46"/>
        <v>737</v>
      </c>
      <c r="AJ757" s="473">
        <v>43949</v>
      </c>
      <c r="AK757" s="474">
        <v>16291.58</v>
      </c>
      <c r="AL757" s="475">
        <v>2.12E-2</v>
      </c>
      <c r="AM757" s="475">
        <f t="shared" si="48"/>
        <v>2.1241518687722172E-2</v>
      </c>
      <c r="AN757" s="464"/>
      <c r="AO757" s="464"/>
      <c r="AR757" s="464">
        <f t="shared" si="47"/>
        <v>737</v>
      </c>
      <c r="AS757" s="464" t="s">
        <v>1901</v>
      </c>
      <c r="AT757" s="381">
        <v>7.6400000000000001E-3</v>
      </c>
      <c r="AV757" s="464"/>
      <c r="AW757" s="465"/>
    </row>
    <row r="758" spans="35:49">
      <c r="AI758" s="464">
        <f t="shared" si="46"/>
        <v>738</v>
      </c>
      <c r="AJ758" s="473">
        <v>43950</v>
      </c>
      <c r="AK758" s="474">
        <v>16835.34</v>
      </c>
      <c r="AL758" s="475">
        <v>3.3399999999999999E-2</v>
      </c>
      <c r="AM758" s="475">
        <f t="shared" si="48"/>
        <v>3.3376750444094494E-2</v>
      </c>
      <c r="AN758" s="464"/>
      <c r="AO758" s="464"/>
      <c r="AR758" s="464">
        <f t="shared" si="47"/>
        <v>738</v>
      </c>
      <c r="AS758" s="464" t="s">
        <v>1900</v>
      </c>
      <c r="AT758" s="381">
        <v>7.77E-3</v>
      </c>
      <c r="AV758" s="464"/>
      <c r="AW758" s="465"/>
    </row>
    <row r="759" spans="35:49">
      <c r="AI759" s="464">
        <f t="shared" si="46"/>
        <v>739</v>
      </c>
      <c r="AJ759" s="473">
        <v>43951</v>
      </c>
      <c r="AK759" s="474">
        <v>16454.46</v>
      </c>
      <c r="AL759" s="475">
        <v>-2.2599999999999999E-2</v>
      </c>
      <c r="AM759" s="475">
        <f t="shared" si="48"/>
        <v>-2.262383771281129E-2</v>
      </c>
      <c r="AN759" s="464"/>
      <c r="AO759" s="464"/>
      <c r="AR759" s="464">
        <f t="shared" si="47"/>
        <v>739</v>
      </c>
      <c r="AS759" s="464" t="s">
        <v>1899</v>
      </c>
      <c r="AT759" s="381">
        <v>8.0300000000000007E-3</v>
      </c>
      <c r="AV759" s="464"/>
      <c r="AW759" s="465"/>
    </row>
    <row r="760" spans="35:49">
      <c r="AI760" s="464">
        <f t="shared" si="46"/>
        <v>740</v>
      </c>
      <c r="AJ760" s="473">
        <v>43952</v>
      </c>
      <c r="AK760" s="474">
        <v>16148.34</v>
      </c>
      <c r="AL760" s="475">
        <v>-1.8599999999999998E-2</v>
      </c>
      <c r="AM760" s="475">
        <f t="shared" si="48"/>
        <v>-1.8604074518397962E-2</v>
      </c>
      <c r="AN760" s="464"/>
      <c r="AO760" s="464"/>
      <c r="AR760" s="464">
        <f t="shared" si="47"/>
        <v>740</v>
      </c>
      <c r="AS760" s="464" t="s">
        <v>1898</v>
      </c>
      <c r="AT760" s="381">
        <v>7.8399999999999997E-3</v>
      </c>
      <c r="AV760" s="464"/>
      <c r="AW760" s="465"/>
    </row>
    <row r="761" spans="35:49">
      <c r="AI761" s="464">
        <f t="shared" si="46"/>
        <v>741</v>
      </c>
      <c r="AJ761" s="473">
        <v>43955</v>
      </c>
      <c r="AK761" s="474">
        <v>15951.68</v>
      </c>
      <c r="AL761" s="475">
        <v>-1.2200000000000001E-2</v>
      </c>
      <c r="AM761" s="475">
        <f t="shared" si="48"/>
        <v>-1.2178341550896254E-2</v>
      </c>
      <c r="AN761" s="464"/>
      <c r="AO761" s="464"/>
      <c r="AR761" s="464">
        <f t="shared" si="47"/>
        <v>741</v>
      </c>
      <c r="AS761" s="464" t="s">
        <v>1897</v>
      </c>
      <c r="AT761" s="381">
        <v>7.8100000000000001E-3</v>
      </c>
      <c r="AV761" s="464"/>
      <c r="AW761" s="465"/>
    </row>
    <row r="762" spans="35:49">
      <c r="AI762" s="464">
        <f t="shared" si="46"/>
        <v>742</v>
      </c>
      <c r="AJ762" s="473">
        <v>43956</v>
      </c>
      <c r="AK762" s="474">
        <v>16093.14</v>
      </c>
      <c r="AL762" s="475">
        <v>8.8999999999999999E-3</v>
      </c>
      <c r="AM762" s="475">
        <f t="shared" si="48"/>
        <v>8.8680314549940409E-3</v>
      </c>
      <c r="AN762" s="464"/>
      <c r="AO762" s="464"/>
      <c r="AR762" s="464">
        <f t="shared" si="47"/>
        <v>742</v>
      </c>
      <c r="AS762" s="464" t="s">
        <v>1896</v>
      </c>
      <c r="AT762" s="381">
        <v>7.7499999999999999E-3</v>
      </c>
      <c r="AV762" s="464"/>
      <c r="AW762" s="465"/>
    </row>
    <row r="763" spans="35:49">
      <c r="AI763" s="464">
        <f t="shared" si="46"/>
        <v>743</v>
      </c>
      <c r="AJ763" s="473">
        <v>43957</v>
      </c>
      <c r="AK763" s="474">
        <v>15982.47</v>
      </c>
      <c r="AL763" s="475">
        <v>-6.8999999999999999E-3</v>
      </c>
      <c r="AM763" s="475">
        <f t="shared" si="48"/>
        <v>-6.8768431766579319E-3</v>
      </c>
      <c r="AN763" s="464"/>
      <c r="AO763" s="464"/>
      <c r="AR763" s="464">
        <f t="shared" si="47"/>
        <v>743</v>
      </c>
      <c r="AS763" s="464" t="s">
        <v>1895</v>
      </c>
      <c r="AT763" s="381">
        <v>7.7200000000000003E-3</v>
      </c>
      <c r="AV763" s="464"/>
      <c r="AW763" s="465"/>
    </row>
    <row r="764" spans="35:49">
      <c r="AI764" s="464">
        <f t="shared" si="46"/>
        <v>744</v>
      </c>
      <c r="AJ764" s="473">
        <v>43958</v>
      </c>
      <c r="AK764" s="474">
        <v>16247.94</v>
      </c>
      <c r="AL764" s="475">
        <v>1.66E-2</v>
      </c>
      <c r="AM764" s="475">
        <f t="shared" si="48"/>
        <v>1.6610073411681636E-2</v>
      </c>
      <c r="AN764" s="464"/>
      <c r="AO764" s="464"/>
      <c r="AR764" s="464">
        <f t="shared" si="47"/>
        <v>744</v>
      </c>
      <c r="AS764" s="464" t="s">
        <v>1894</v>
      </c>
      <c r="AT764" s="381">
        <v>7.5599999999999999E-3</v>
      </c>
      <c r="AV764" s="464"/>
      <c r="AW764" s="465"/>
    </row>
    <row r="765" spans="35:49">
      <c r="AI765" s="464">
        <f t="shared" si="46"/>
        <v>745</v>
      </c>
      <c r="AJ765" s="473">
        <v>43962</v>
      </c>
      <c r="AK765" s="474">
        <v>16271.49</v>
      </c>
      <c r="AL765" s="475">
        <v>1.4E-3</v>
      </c>
      <c r="AM765" s="475">
        <f t="shared" si="48"/>
        <v>1.4494145103933764E-3</v>
      </c>
      <c r="AN765" s="464"/>
      <c r="AO765" s="464"/>
      <c r="AR765" s="464">
        <f t="shared" si="47"/>
        <v>745</v>
      </c>
      <c r="AS765" s="464" t="s">
        <v>1893</v>
      </c>
      <c r="AT765" s="381">
        <v>8.6499999999999997E-3</v>
      </c>
      <c r="AV765" s="464"/>
      <c r="AW765" s="465"/>
    </row>
    <row r="766" spans="35:49">
      <c r="AI766" s="464">
        <f t="shared" si="46"/>
        <v>746</v>
      </c>
      <c r="AJ766" s="473">
        <v>43963</v>
      </c>
      <c r="AK766" s="474">
        <v>16173.04</v>
      </c>
      <c r="AL766" s="475">
        <v>-6.1000000000000004E-3</v>
      </c>
      <c r="AM766" s="475">
        <f t="shared" si="48"/>
        <v>-6.0504600377715434E-3</v>
      </c>
      <c r="AN766" s="464"/>
      <c r="AO766" s="464"/>
      <c r="AR766" s="464">
        <f t="shared" si="47"/>
        <v>746</v>
      </c>
      <c r="AS766" s="464" t="s">
        <v>1892</v>
      </c>
      <c r="AT766" s="381">
        <v>8.2500000000000004E-3</v>
      </c>
      <c r="AV766" s="464"/>
      <c r="AW766" s="465"/>
    </row>
    <row r="767" spans="35:49">
      <c r="AI767" s="464">
        <f t="shared" si="46"/>
        <v>747</v>
      </c>
      <c r="AJ767" s="473">
        <v>43964</v>
      </c>
      <c r="AK767" s="474">
        <v>15878.12</v>
      </c>
      <c r="AL767" s="475">
        <v>-1.8200000000000001E-2</v>
      </c>
      <c r="AM767" s="475">
        <f t="shared" si="48"/>
        <v>-1.8235285388523148E-2</v>
      </c>
      <c r="AN767" s="464"/>
      <c r="AO767" s="464"/>
      <c r="AR767" s="464">
        <f t="shared" si="47"/>
        <v>747</v>
      </c>
      <c r="AS767" s="464" t="s">
        <v>1891</v>
      </c>
      <c r="AT767" s="381">
        <v>8.1399999999999997E-3</v>
      </c>
      <c r="AV767" s="464"/>
      <c r="AW767" s="465"/>
    </row>
    <row r="768" spans="35:49">
      <c r="AI768" s="464">
        <f t="shared" si="46"/>
        <v>748</v>
      </c>
      <c r="AJ768" s="473">
        <v>43965</v>
      </c>
      <c r="AK768" s="474">
        <v>15404.59</v>
      </c>
      <c r="AL768" s="475">
        <v>-2.98E-2</v>
      </c>
      <c r="AM768" s="475">
        <f t="shared" si="48"/>
        <v>-2.9822800180374087E-2</v>
      </c>
      <c r="AN768" s="464"/>
      <c r="AO768" s="464"/>
      <c r="AR768" s="464">
        <f t="shared" si="47"/>
        <v>748</v>
      </c>
      <c r="AS768" s="464" t="s">
        <v>1890</v>
      </c>
      <c r="AT768" s="381">
        <v>7.9299999999999995E-3</v>
      </c>
      <c r="AV768" s="464"/>
      <c r="AW768" s="465"/>
    </row>
    <row r="769" spans="35:49">
      <c r="AI769" s="464">
        <f t="shared" si="46"/>
        <v>749</v>
      </c>
      <c r="AJ769" s="473">
        <v>43966</v>
      </c>
      <c r="AK769" s="474">
        <v>15660.77</v>
      </c>
      <c r="AL769" s="475">
        <v>1.66E-2</v>
      </c>
      <c r="AM769" s="475">
        <f t="shared" si="48"/>
        <v>1.6630108298890223E-2</v>
      </c>
      <c r="AN769" s="464"/>
      <c r="AO769" s="464"/>
      <c r="AR769" s="464">
        <f t="shared" si="47"/>
        <v>749</v>
      </c>
      <c r="AS769" s="464" t="s">
        <v>1889</v>
      </c>
      <c r="AT769" s="381">
        <v>7.4000000000000003E-3</v>
      </c>
      <c r="AV769" s="464"/>
      <c r="AW769" s="465"/>
    </row>
    <row r="770" spans="35:49">
      <c r="AI770" s="464">
        <f t="shared" si="46"/>
        <v>750</v>
      </c>
      <c r="AJ770" s="473">
        <v>43969</v>
      </c>
      <c r="AK770" s="474">
        <v>16230.03</v>
      </c>
      <c r="AL770" s="475">
        <v>3.6299999999999999E-2</v>
      </c>
      <c r="AM770" s="475">
        <f t="shared" si="48"/>
        <v>3.6349425986078598E-2</v>
      </c>
      <c r="AN770" s="464"/>
      <c r="AO770" s="464"/>
      <c r="AR770" s="464">
        <f t="shared" si="47"/>
        <v>750</v>
      </c>
      <c r="AS770" s="464" t="s">
        <v>1888</v>
      </c>
      <c r="AT770" s="381">
        <v>7.4150000000000006E-3</v>
      </c>
      <c r="AV770" s="464"/>
      <c r="AW770" s="465"/>
    </row>
    <row r="771" spans="35:49">
      <c r="AI771" s="464">
        <f t="shared" si="46"/>
        <v>751</v>
      </c>
      <c r="AJ771" s="473">
        <v>43970</v>
      </c>
      <c r="AK771" s="474">
        <v>16320.08</v>
      </c>
      <c r="AL771" s="475">
        <v>5.4999999999999997E-3</v>
      </c>
      <c r="AM771" s="475">
        <f t="shared" si="48"/>
        <v>5.5483569654521947E-3</v>
      </c>
      <c r="AN771" s="464"/>
      <c r="AO771" s="464"/>
      <c r="AR771" s="464">
        <f t="shared" si="47"/>
        <v>751</v>
      </c>
      <c r="AS771" s="464" t="s">
        <v>1887</v>
      </c>
      <c r="AT771" s="381">
        <v>7.7099999999999998E-3</v>
      </c>
      <c r="AV771" s="464"/>
      <c r="AW771" s="465"/>
    </row>
    <row r="772" spans="35:49">
      <c r="AI772" s="464">
        <f t="shared" si="46"/>
        <v>752</v>
      </c>
      <c r="AJ772" s="473">
        <v>43971</v>
      </c>
      <c r="AK772" s="474">
        <v>16367.48</v>
      </c>
      <c r="AL772" s="475">
        <v>2.8999999999999998E-3</v>
      </c>
      <c r="AM772" s="475">
        <f t="shared" si="48"/>
        <v>2.9043975274631872E-3</v>
      </c>
      <c r="AN772" s="464"/>
      <c r="AO772" s="464"/>
      <c r="AR772" s="464">
        <f t="shared" si="47"/>
        <v>752</v>
      </c>
      <c r="AS772" s="464" t="s">
        <v>1886</v>
      </c>
      <c r="AT772" s="381">
        <v>7.9299999999999995E-3</v>
      </c>
      <c r="AV772" s="464"/>
      <c r="AW772" s="465"/>
    </row>
    <row r="773" spans="35:49">
      <c r="AI773" s="464">
        <f t="shared" si="46"/>
        <v>753</v>
      </c>
      <c r="AJ773" s="473">
        <v>43972</v>
      </c>
      <c r="AK773" s="474">
        <v>16385.96</v>
      </c>
      <c r="AL773" s="475">
        <v>1.1000000000000001E-3</v>
      </c>
      <c r="AM773" s="475">
        <f t="shared" si="48"/>
        <v>1.1290681277753567E-3</v>
      </c>
      <c r="AN773" s="464"/>
      <c r="AO773" s="464"/>
      <c r="AR773" s="464">
        <f t="shared" si="47"/>
        <v>753</v>
      </c>
      <c r="AS773" s="464" t="s">
        <v>1885</v>
      </c>
      <c r="AT773" s="381">
        <v>8.2199999999999999E-3</v>
      </c>
      <c r="AV773" s="464"/>
      <c r="AW773" s="465"/>
    </row>
    <row r="774" spans="35:49">
      <c r="AI774" s="464">
        <f t="shared" si="46"/>
        <v>754</v>
      </c>
      <c r="AJ774" s="473">
        <v>43973</v>
      </c>
      <c r="AK774" s="474">
        <v>16398.86</v>
      </c>
      <c r="AL774" s="475">
        <v>8.0000000000000004E-4</v>
      </c>
      <c r="AM774" s="475">
        <f t="shared" si="48"/>
        <v>7.8725933665180214E-4</v>
      </c>
      <c r="AN774" s="464"/>
      <c r="AO774" s="464"/>
      <c r="AR774" s="464">
        <f t="shared" si="47"/>
        <v>754</v>
      </c>
      <c r="AS774" s="464" t="s">
        <v>1884</v>
      </c>
      <c r="AT774" s="381">
        <v>8.2299999999999995E-3</v>
      </c>
      <c r="AV774" s="464"/>
      <c r="AW774" s="465"/>
    </row>
    <row r="775" spans="35:49">
      <c r="AI775" s="464">
        <f t="shared" si="46"/>
        <v>755</v>
      </c>
      <c r="AJ775" s="473">
        <v>43977</v>
      </c>
      <c r="AK775" s="474">
        <v>16933.419999999998</v>
      </c>
      <c r="AL775" s="475">
        <v>3.2599999999999997E-2</v>
      </c>
      <c r="AM775" s="475">
        <f t="shared" si="48"/>
        <v>3.259738786720523E-2</v>
      </c>
      <c r="AN775" s="464"/>
      <c r="AO775" s="464"/>
      <c r="AR775" s="464">
        <f t="shared" si="47"/>
        <v>755</v>
      </c>
      <c r="AS775" s="464" t="s">
        <v>1883</v>
      </c>
      <c r="AT775" s="381">
        <v>7.7000000000000002E-3</v>
      </c>
      <c r="AV775" s="464"/>
      <c r="AW775" s="465"/>
    </row>
    <row r="776" spans="35:49">
      <c r="AI776" s="464">
        <f t="shared" si="46"/>
        <v>756</v>
      </c>
      <c r="AJ776" s="473">
        <v>43978</v>
      </c>
      <c r="AK776" s="474">
        <v>17143.62</v>
      </c>
      <c r="AL776" s="475">
        <v>1.24E-2</v>
      </c>
      <c r="AM776" s="475">
        <f t="shared" si="48"/>
        <v>1.2413322294019702E-2</v>
      </c>
      <c r="AN776" s="464"/>
      <c r="AO776" s="464"/>
      <c r="AR776" s="464">
        <f t="shared" si="47"/>
        <v>756</v>
      </c>
      <c r="AS776" s="464" t="s">
        <v>1882</v>
      </c>
      <c r="AT776" s="381">
        <v>7.77E-3</v>
      </c>
      <c r="AV776" s="464"/>
      <c r="AW776" s="465"/>
    </row>
    <row r="777" spans="35:49">
      <c r="AI777" s="464">
        <f t="shared" si="46"/>
        <v>757</v>
      </c>
      <c r="AJ777" s="473">
        <v>43979</v>
      </c>
      <c r="AK777" s="474">
        <v>17338.48</v>
      </c>
      <c r="AL777" s="475">
        <v>1.14E-2</v>
      </c>
      <c r="AM777" s="475">
        <f t="shared" si="48"/>
        <v>1.1366327531758147E-2</v>
      </c>
      <c r="AN777" s="464"/>
      <c r="AO777" s="464"/>
      <c r="AR777" s="464">
        <f t="shared" si="47"/>
        <v>757</v>
      </c>
      <c r="AS777" s="464" t="s">
        <v>1881</v>
      </c>
      <c r="AT777" s="381">
        <v>7.5100000000000002E-3</v>
      </c>
      <c r="AV777" s="464"/>
      <c r="AW777" s="465"/>
    </row>
    <row r="778" spans="35:49">
      <c r="AI778" s="464">
        <f t="shared" si="46"/>
        <v>758</v>
      </c>
      <c r="AJ778" s="473">
        <v>43980</v>
      </c>
      <c r="AK778" s="474">
        <v>17042.96</v>
      </c>
      <c r="AL778" s="475">
        <v>-1.7000000000000001E-2</v>
      </c>
      <c r="AM778" s="475">
        <f t="shared" si="48"/>
        <v>-1.7044169961842104E-2</v>
      </c>
      <c r="AN778" s="464"/>
      <c r="AO778" s="464"/>
      <c r="AR778" s="464">
        <f t="shared" si="47"/>
        <v>758</v>
      </c>
      <c r="AS778" s="464" t="s">
        <v>1880</v>
      </c>
      <c r="AT778" s="381">
        <v>7.2299999999999994E-3</v>
      </c>
      <c r="AV778" s="464"/>
      <c r="AW778" s="465"/>
    </row>
    <row r="779" spans="35:49">
      <c r="AI779" s="464">
        <f t="shared" si="46"/>
        <v>759</v>
      </c>
      <c r="AJ779" s="473">
        <v>43983</v>
      </c>
      <c r="AK779" s="474">
        <v>17277.53</v>
      </c>
      <c r="AL779" s="475">
        <v>1.38E-2</v>
      </c>
      <c r="AM779" s="475">
        <f t="shared" si="48"/>
        <v>1.3763454235649286E-2</v>
      </c>
      <c r="AN779" s="464"/>
      <c r="AO779" s="464"/>
      <c r="AR779" s="464">
        <f t="shared" si="47"/>
        <v>759</v>
      </c>
      <c r="AS779" s="464" t="s">
        <v>1879</v>
      </c>
      <c r="AT779" s="381">
        <v>6.5400000000000007E-3</v>
      </c>
      <c r="AV779" s="464"/>
      <c r="AW779" s="465"/>
    </row>
    <row r="780" spans="35:49">
      <c r="AI780" s="464">
        <f t="shared" si="46"/>
        <v>760</v>
      </c>
      <c r="AJ780" s="473">
        <v>43984</v>
      </c>
      <c r="AK780" s="474">
        <v>17436.310000000001</v>
      </c>
      <c r="AL780" s="475">
        <v>9.1999999999999998E-3</v>
      </c>
      <c r="AM780" s="475">
        <f t="shared" si="48"/>
        <v>9.1899710201632789E-3</v>
      </c>
      <c r="AN780" s="464"/>
      <c r="AO780" s="464"/>
      <c r="AR780" s="464">
        <f t="shared" si="47"/>
        <v>760</v>
      </c>
      <c r="AS780" s="464" t="s">
        <v>1878</v>
      </c>
      <c r="AT780" s="381">
        <v>6.45E-3</v>
      </c>
      <c r="AV780" s="464"/>
      <c r="AW780" s="465"/>
    </row>
    <row r="781" spans="35:49">
      <c r="AI781" s="464">
        <f t="shared" si="46"/>
        <v>761</v>
      </c>
      <c r="AJ781" s="473">
        <v>43985</v>
      </c>
      <c r="AK781" s="474">
        <v>17897.080000000002</v>
      </c>
      <c r="AL781" s="475">
        <v>2.64E-2</v>
      </c>
      <c r="AM781" s="475">
        <f t="shared" si="48"/>
        <v>2.642588942270474E-2</v>
      </c>
      <c r="AN781" s="464"/>
      <c r="AO781" s="464"/>
      <c r="AR781" s="464">
        <f t="shared" si="47"/>
        <v>761</v>
      </c>
      <c r="AS781" s="464" t="s">
        <v>1877</v>
      </c>
      <c r="AT781" s="381">
        <v>6.3299999999999997E-3</v>
      </c>
      <c r="AV781" s="464"/>
      <c r="AW781" s="465"/>
    </row>
    <row r="782" spans="35:49">
      <c r="AI782" s="464">
        <f t="shared" si="46"/>
        <v>762</v>
      </c>
      <c r="AJ782" s="473">
        <v>43986</v>
      </c>
      <c r="AK782" s="474">
        <v>17825.96</v>
      </c>
      <c r="AL782" s="475">
        <v>-4.0000000000000001E-3</v>
      </c>
      <c r="AM782" s="475">
        <f t="shared" si="48"/>
        <v>-3.9738326028605497E-3</v>
      </c>
      <c r="AN782" s="464"/>
      <c r="AO782" s="464"/>
      <c r="AR782" s="464">
        <f t="shared" si="47"/>
        <v>762</v>
      </c>
      <c r="AS782" s="464" t="s">
        <v>1876</v>
      </c>
      <c r="AT782" s="381">
        <v>6.3400000000000001E-3</v>
      </c>
      <c r="AV782" s="464"/>
      <c r="AW782" s="465"/>
    </row>
    <row r="783" spans="35:49">
      <c r="AI783" s="464">
        <f t="shared" si="46"/>
        <v>763</v>
      </c>
      <c r="AJ783" s="473">
        <v>43987</v>
      </c>
      <c r="AK783" s="474">
        <v>18229.32</v>
      </c>
      <c r="AL783" s="475">
        <v>2.2599999999999999E-2</v>
      </c>
      <c r="AM783" s="475">
        <f t="shared" si="48"/>
        <v>2.2627673348307731E-2</v>
      </c>
      <c r="AN783" s="464"/>
      <c r="AO783" s="464"/>
      <c r="AR783" s="464">
        <f t="shared" si="47"/>
        <v>763</v>
      </c>
      <c r="AS783" s="464" t="s">
        <v>1875</v>
      </c>
      <c r="AT783" s="381">
        <v>6.5100000000000002E-3</v>
      </c>
      <c r="AV783" s="464"/>
      <c r="AW783" s="465"/>
    </row>
    <row r="784" spans="35:49">
      <c r="AI784" s="464">
        <f t="shared" si="46"/>
        <v>764</v>
      </c>
      <c r="AJ784" s="473">
        <v>43990</v>
      </c>
      <c r="AK784" s="474">
        <v>18136.900000000001</v>
      </c>
      <c r="AL784" s="475">
        <v>-5.1000000000000004E-3</v>
      </c>
      <c r="AM784" s="475">
        <f t="shared" si="48"/>
        <v>-5.0698544981380156E-3</v>
      </c>
      <c r="AN784" s="464"/>
      <c r="AO784" s="464"/>
      <c r="AR784" s="464">
        <f t="shared" si="47"/>
        <v>764</v>
      </c>
      <c r="AS784" s="464" t="s">
        <v>1874</v>
      </c>
      <c r="AT784" s="381">
        <v>6.3200000000000001E-3</v>
      </c>
      <c r="AV784" s="464"/>
      <c r="AW784" s="465"/>
    </row>
    <row r="785" spans="35:49">
      <c r="AI785" s="464">
        <f t="shared" si="46"/>
        <v>765</v>
      </c>
      <c r="AJ785" s="473">
        <v>43991</v>
      </c>
      <c r="AK785" s="474">
        <v>17755.25</v>
      </c>
      <c r="AL785" s="475">
        <v>-2.1000000000000001E-2</v>
      </c>
      <c r="AM785" s="475">
        <f t="shared" si="48"/>
        <v>-2.1042736079484481E-2</v>
      </c>
      <c r="AN785" s="464"/>
      <c r="AO785" s="464"/>
      <c r="AR785" s="464">
        <f t="shared" si="47"/>
        <v>765</v>
      </c>
      <c r="AS785" s="464" t="s">
        <v>1873</v>
      </c>
      <c r="AT785" s="381">
        <v>6.3699999999999998E-3</v>
      </c>
      <c r="AV785" s="464"/>
      <c r="AW785" s="465"/>
    </row>
    <row r="786" spans="35:49">
      <c r="AI786" s="464">
        <f t="shared" si="46"/>
        <v>766</v>
      </c>
      <c r="AJ786" s="473">
        <v>43992</v>
      </c>
      <c r="AK786" s="474">
        <v>17605.46</v>
      </c>
      <c r="AL786" s="475">
        <v>-8.3999999999999995E-3</v>
      </c>
      <c r="AM786" s="475">
        <f t="shared" si="48"/>
        <v>-8.43637797271235E-3</v>
      </c>
      <c r="AN786" s="464"/>
      <c r="AO786" s="464"/>
      <c r="AR786" s="464">
        <f t="shared" si="47"/>
        <v>766</v>
      </c>
      <c r="AS786" s="464" t="s">
        <v>1872</v>
      </c>
      <c r="AT786" s="381">
        <v>5.9299999999999995E-3</v>
      </c>
      <c r="AV786" s="464"/>
      <c r="AW786" s="465"/>
    </row>
    <row r="787" spans="35:49">
      <c r="AI787" s="464">
        <f t="shared" si="46"/>
        <v>767</v>
      </c>
      <c r="AJ787" s="473">
        <v>43993</v>
      </c>
      <c r="AK787" s="474">
        <v>16973.669999999998</v>
      </c>
      <c r="AL787" s="475">
        <v>-3.5900000000000001E-2</v>
      </c>
      <c r="AM787" s="475">
        <f t="shared" si="48"/>
        <v>-3.5886026266851334E-2</v>
      </c>
      <c r="AN787" s="464"/>
      <c r="AO787" s="464"/>
      <c r="AR787" s="464">
        <f t="shared" si="47"/>
        <v>767</v>
      </c>
      <c r="AS787" s="464" t="s">
        <v>1871</v>
      </c>
      <c r="AT787" s="381">
        <v>5.6399999999999992E-3</v>
      </c>
      <c r="AV787" s="464"/>
      <c r="AW787" s="465"/>
    </row>
    <row r="788" spans="35:49">
      <c r="AI788" s="464">
        <f t="shared" si="46"/>
        <v>768</v>
      </c>
      <c r="AJ788" s="473">
        <v>43994</v>
      </c>
      <c r="AK788" s="474">
        <v>17077.34</v>
      </c>
      <c r="AL788" s="475">
        <v>6.1000000000000004E-3</v>
      </c>
      <c r="AM788" s="475">
        <f t="shared" si="48"/>
        <v>6.1076950358998072E-3</v>
      </c>
      <c r="AN788" s="464"/>
      <c r="AO788" s="464"/>
      <c r="AR788" s="464">
        <f t="shared" si="47"/>
        <v>768</v>
      </c>
      <c r="AS788" s="464" t="s">
        <v>1870</v>
      </c>
      <c r="AT788" s="381">
        <v>5.0899999999999999E-3</v>
      </c>
      <c r="AV788" s="464"/>
      <c r="AW788" s="465"/>
    </row>
    <row r="789" spans="35:49">
      <c r="AI789" s="464">
        <f t="shared" ref="AI789:AI852" si="49">AI788+1</f>
        <v>769</v>
      </c>
      <c r="AJ789" s="473">
        <v>43997</v>
      </c>
      <c r="AK789" s="474">
        <v>17089.169999999998</v>
      </c>
      <c r="AL789" s="475">
        <v>6.9999999999999999E-4</v>
      </c>
      <c r="AM789" s="475">
        <f t="shared" si="48"/>
        <v>6.9273083512988443E-4</v>
      </c>
      <c r="AN789" s="464"/>
      <c r="AO789" s="464"/>
      <c r="AR789" s="464">
        <f t="shared" ref="AR789:AR852" si="50">AR788+1</f>
        <v>769</v>
      </c>
      <c r="AS789" s="464" t="s">
        <v>1869</v>
      </c>
      <c r="AT789" s="381">
        <v>5.5300000000000002E-3</v>
      </c>
      <c r="AV789" s="464"/>
      <c r="AW789" s="465"/>
    </row>
    <row r="790" spans="35:49">
      <c r="AI790" s="464">
        <f t="shared" si="49"/>
        <v>770</v>
      </c>
      <c r="AJ790" s="473">
        <v>43998</v>
      </c>
      <c r="AK790" s="474">
        <v>17464.7</v>
      </c>
      <c r="AL790" s="475">
        <v>2.1999999999999999E-2</v>
      </c>
      <c r="AM790" s="475">
        <f t="shared" ref="AM790:AM853" si="51">AK790/AK789-1</f>
        <v>2.1974736046279641E-2</v>
      </c>
      <c r="AN790" s="464"/>
      <c r="AO790" s="464"/>
      <c r="AR790" s="464">
        <f t="shared" si="50"/>
        <v>770</v>
      </c>
      <c r="AS790" s="464" t="s">
        <v>1868</v>
      </c>
      <c r="AT790" s="381">
        <v>5.1800000000000006E-3</v>
      </c>
      <c r="AV790" s="464"/>
      <c r="AW790" s="465"/>
    </row>
    <row r="791" spans="35:49">
      <c r="AI791" s="464">
        <f t="shared" si="49"/>
        <v>771</v>
      </c>
      <c r="AJ791" s="473">
        <v>43999</v>
      </c>
      <c r="AK791" s="474">
        <v>17582.36</v>
      </c>
      <c r="AL791" s="475">
        <v>6.7000000000000002E-3</v>
      </c>
      <c r="AM791" s="475">
        <f t="shared" si="51"/>
        <v>6.737018099366221E-3</v>
      </c>
      <c r="AN791" s="464"/>
      <c r="AO791" s="464"/>
      <c r="AR791" s="464">
        <f t="shared" si="50"/>
        <v>771</v>
      </c>
      <c r="AS791" s="464" t="s">
        <v>1867</v>
      </c>
      <c r="AT791" s="381">
        <v>5.4400000000000004E-3</v>
      </c>
      <c r="AV791" s="464"/>
      <c r="AW791" s="465"/>
    </row>
    <row r="792" spans="35:49">
      <c r="AI792" s="464">
        <f t="shared" si="49"/>
        <v>772</v>
      </c>
      <c r="AJ792" s="473">
        <v>44000</v>
      </c>
      <c r="AK792" s="474">
        <v>17518.259999999998</v>
      </c>
      <c r="AL792" s="475">
        <v>-3.5999999999999999E-3</v>
      </c>
      <c r="AM792" s="475">
        <f t="shared" si="51"/>
        <v>-3.6456994396657505E-3</v>
      </c>
      <c r="AN792" s="464"/>
      <c r="AO792" s="464"/>
      <c r="AR792" s="464">
        <f t="shared" si="50"/>
        <v>772</v>
      </c>
      <c r="AS792" s="464" t="s">
        <v>1866</v>
      </c>
      <c r="AT792" s="381">
        <v>5.2599999999999999E-3</v>
      </c>
      <c r="AV792" s="464"/>
      <c r="AW792" s="465"/>
    </row>
    <row r="793" spans="35:49">
      <c r="AI793" s="464">
        <f t="shared" si="49"/>
        <v>773</v>
      </c>
      <c r="AJ793" s="473">
        <v>44001</v>
      </c>
      <c r="AK793" s="474">
        <v>17687.259999999998</v>
      </c>
      <c r="AL793" s="475">
        <v>9.5999999999999992E-3</v>
      </c>
      <c r="AM793" s="475">
        <f t="shared" si="51"/>
        <v>9.6470768215564107E-3</v>
      </c>
      <c r="AN793" s="464"/>
      <c r="AO793" s="464"/>
      <c r="AR793" s="464">
        <f t="shared" si="50"/>
        <v>773</v>
      </c>
      <c r="AS793" s="464" t="s">
        <v>1865</v>
      </c>
      <c r="AT793" s="381">
        <v>5.2449999999999997E-3</v>
      </c>
      <c r="AV793" s="464"/>
      <c r="AW793" s="465"/>
    </row>
    <row r="794" spans="35:49">
      <c r="AI794" s="464">
        <f t="shared" si="49"/>
        <v>774</v>
      </c>
      <c r="AJ794" s="473">
        <v>44004</v>
      </c>
      <c r="AK794" s="474">
        <v>17573.439999999999</v>
      </c>
      <c r="AL794" s="475">
        <v>-6.4000000000000003E-3</v>
      </c>
      <c r="AM794" s="475">
        <f t="shared" si="51"/>
        <v>-6.4351403213386282E-3</v>
      </c>
      <c r="AN794" s="464"/>
      <c r="AO794" s="464"/>
      <c r="AR794" s="464">
        <f t="shared" si="50"/>
        <v>774</v>
      </c>
      <c r="AS794" s="464" t="s">
        <v>1864</v>
      </c>
      <c r="AT794" s="381">
        <v>5.1900000000000002E-3</v>
      </c>
      <c r="AV794" s="464"/>
      <c r="AW794" s="465"/>
    </row>
    <row r="795" spans="35:49">
      <c r="AI795" s="464">
        <f t="shared" si="49"/>
        <v>775</v>
      </c>
      <c r="AJ795" s="473">
        <v>44005</v>
      </c>
      <c r="AK795" s="474">
        <v>17652.8</v>
      </c>
      <c r="AL795" s="475">
        <v>4.4999999999999997E-3</v>
      </c>
      <c r="AM795" s="475">
        <f t="shared" si="51"/>
        <v>4.5159058215125114E-3</v>
      </c>
      <c r="AN795" s="464"/>
      <c r="AO795" s="464"/>
      <c r="AR795" s="464">
        <f t="shared" si="50"/>
        <v>775</v>
      </c>
      <c r="AS795" s="464" t="s">
        <v>1863</v>
      </c>
      <c r="AT795" s="381">
        <v>5.1500000000000001E-3</v>
      </c>
      <c r="AV795" s="464"/>
      <c r="AW795" s="465"/>
    </row>
    <row r="796" spans="35:49">
      <c r="AI796" s="464">
        <f t="shared" si="49"/>
        <v>776</v>
      </c>
      <c r="AJ796" s="473">
        <v>44006</v>
      </c>
      <c r="AK796" s="474">
        <v>17150.830000000002</v>
      </c>
      <c r="AL796" s="475">
        <v>-2.8400000000000002E-2</v>
      </c>
      <c r="AM796" s="475">
        <f t="shared" si="51"/>
        <v>-2.843571558053104E-2</v>
      </c>
      <c r="AN796" s="464"/>
      <c r="AO796" s="464"/>
      <c r="AR796" s="464">
        <f t="shared" si="50"/>
        <v>776</v>
      </c>
      <c r="AS796" s="464" t="s">
        <v>1862</v>
      </c>
      <c r="AT796" s="381">
        <v>5.6699999999999997E-3</v>
      </c>
      <c r="AV796" s="464"/>
      <c r="AW796" s="465"/>
    </row>
    <row r="797" spans="35:49">
      <c r="AI797" s="464">
        <f t="shared" si="49"/>
        <v>777</v>
      </c>
      <c r="AJ797" s="473">
        <v>44007</v>
      </c>
      <c r="AK797" s="474">
        <v>17112.12</v>
      </c>
      <c r="AL797" s="475">
        <v>-2.3E-3</v>
      </c>
      <c r="AM797" s="475">
        <f t="shared" si="51"/>
        <v>-2.2570336246119371E-3</v>
      </c>
      <c r="AN797" s="464"/>
      <c r="AO797" s="464"/>
      <c r="AR797" s="464">
        <f t="shared" si="50"/>
        <v>777</v>
      </c>
      <c r="AS797" s="464" t="s">
        <v>1861</v>
      </c>
      <c r="AT797" s="381">
        <v>6.1700000000000001E-3</v>
      </c>
      <c r="AV797" s="464"/>
      <c r="AW797" s="465"/>
    </row>
    <row r="798" spans="35:49">
      <c r="AI798" s="464">
        <f t="shared" si="49"/>
        <v>778</v>
      </c>
      <c r="AJ798" s="473">
        <v>44008</v>
      </c>
      <c r="AK798" s="474">
        <v>17113.21</v>
      </c>
      <c r="AL798" s="475">
        <v>1E-4</v>
      </c>
      <c r="AM798" s="475">
        <f t="shared" si="51"/>
        <v>6.3697543027929626E-5</v>
      </c>
      <c r="AN798" s="464"/>
      <c r="AO798" s="464"/>
      <c r="AR798" s="464">
        <f t="shared" si="50"/>
        <v>778</v>
      </c>
      <c r="AS798" s="464" t="s">
        <v>1860</v>
      </c>
      <c r="AT798" s="381">
        <v>5.8399999999999997E-3</v>
      </c>
      <c r="AV798" s="464"/>
      <c r="AW798" s="465"/>
    </row>
    <row r="799" spans="35:49">
      <c r="AI799" s="464">
        <f t="shared" si="49"/>
        <v>779</v>
      </c>
      <c r="AJ799" s="473">
        <v>44011</v>
      </c>
      <c r="AK799" s="474">
        <v>17198.66</v>
      </c>
      <c r="AL799" s="475">
        <v>5.0000000000000001E-3</v>
      </c>
      <c r="AM799" s="475">
        <f t="shared" si="51"/>
        <v>4.993218688954304E-3</v>
      </c>
      <c r="AN799" s="464"/>
      <c r="AO799" s="464"/>
      <c r="AR799" s="464">
        <f t="shared" si="50"/>
        <v>779</v>
      </c>
      <c r="AS799" s="464" t="s">
        <v>1859</v>
      </c>
      <c r="AT799" s="381">
        <v>5.6999999999999993E-3</v>
      </c>
      <c r="AV799" s="464"/>
      <c r="AW799" s="465"/>
    </row>
    <row r="800" spans="35:49">
      <c r="AI800" s="464">
        <f t="shared" si="49"/>
        <v>780</v>
      </c>
      <c r="AJ800" s="473">
        <v>44012</v>
      </c>
      <c r="AK800" s="474">
        <v>17119.16</v>
      </c>
      <c r="AL800" s="475">
        <v>-4.5999999999999999E-3</v>
      </c>
      <c r="AM800" s="475">
        <f t="shared" si="51"/>
        <v>-4.6224531446054096E-3</v>
      </c>
      <c r="AN800" s="464"/>
      <c r="AO800" s="464"/>
      <c r="AR800" s="464">
        <f t="shared" si="50"/>
        <v>780</v>
      </c>
      <c r="AS800" s="464" t="s">
        <v>1858</v>
      </c>
      <c r="AT800" s="381">
        <v>5.6750000000000004E-3</v>
      </c>
      <c r="AV800" s="464"/>
      <c r="AW800" s="465"/>
    </row>
    <row r="801" spans="35:49">
      <c r="AI801" s="464">
        <f t="shared" si="49"/>
        <v>781</v>
      </c>
      <c r="AJ801" s="473">
        <v>44013</v>
      </c>
      <c r="AK801" s="474">
        <v>17189.43</v>
      </c>
      <c r="AL801" s="475">
        <v>4.1000000000000003E-3</v>
      </c>
      <c r="AM801" s="475">
        <f t="shared" si="51"/>
        <v>4.1047574764183636E-3</v>
      </c>
      <c r="AN801" s="464"/>
      <c r="AO801" s="464"/>
      <c r="AR801" s="464">
        <f t="shared" si="50"/>
        <v>781</v>
      </c>
      <c r="AS801" s="464" t="s">
        <v>1857</v>
      </c>
      <c r="AT801" s="381">
        <v>5.5800000000000008E-3</v>
      </c>
      <c r="AV801" s="464"/>
      <c r="AW801" s="465"/>
    </row>
    <row r="802" spans="35:49">
      <c r="AI802" s="464">
        <f t="shared" si="49"/>
        <v>782</v>
      </c>
      <c r="AJ802" s="473">
        <v>44014</v>
      </c>
      <c r="AK802" s="474">
        <v>17367.86</v>
      </c>
      <c r="AL802" s="475">
        <v>1.04E-2</v>
      </c>
      <c r="AM802" s="475">
        <f t="shared" si="51"/>
        <v>1.0380216214266547E-2</v>
      </c>
      <c r="AN802" s="464"/>
      <c r="AO802" s="464"/>
      <c r="AR802" s="464">
        <f t="shared" si="50"/>
        <v>782</v>
      </c>
      <c r="AS802" s="464" t="s">
        <v>1856</v>
      </c>
      <c r="AT802" s="381">
        <v>5.6999999999999993E-3</v>
      </c>
      <c r="AV802" s="464"/>
      <c r="AW802" s="465"/>
    </row>
    <row r="803" spans="35:49">
      <c r="AI803" s="464">
        <f t="shared" si="49"/>
        <v>783</v>
      </c>
      <c r="AJ803" s="473">
        <v>44015</v>
      </c>
      <c r="AK803" s="474">
        <v>17302.03</v>
      </c>
      <c r="AL803" s="475">
        <v>-3.8E-3</v>
      </c>
      <c r="AM803" s="475">
        <f t="shared" si="51"/>
        <v>-3.7903345605043715E-3</v>
      </c>
      <c r="AN803" s="464"/>
      <c r="AO803" s="464"/>
      <c r="AR803" s="464">
        <f t="shared" si="50"/>
        <v>783</v>
      </c>
      <c r="AS803" s="464" t="s">
        <v>1855</v>
      </c>
      <c r="AT803" s="381">
        <v>6.13E-3</v>
      </c>
      <c r="AV803" s="464"/>
      <c r="AW803" s="465"/>
    </row>
    <row r="804" spans="35:49">
      <c r="AI804" s="464">
        <f t="shared" si="49"/>
        <v>784</v>
      </c>
      <c r="AJ804" s="473">
        <v>44018</v>
      </c>
      <c r="AK804" s="474">
        <v>17550.03</v>
      </c>
      <c r="AL804" s="475">
        <v>1.43E-2</v>
      </c>
      <c r="AM804" s="475">
        <f t="shared" si="51"/>
        <v>1.4333578198627572E-2</v>
      </c>
      <c r="AN804" s="464"/>
      <c r="AO804" s="464"/>
      <c r="AR804" s="464">
        <f t="shared" si="50"/>
        <v>784</v>
      </c>
      <c r="AS804" s="464" t="s">
        <v>1854</v>
      </c>
      <c r="AT804" s="381">
        <v>6.5100000000000002E-3</v>
      </c>
      <c r="AV804" s="464"/>
      <c r="AW804" s="465"/>
    </row>
    <row r="805" spans="35:49">
      <c r="AI805" s="464">
        <f t="shared" si="49"/>
        <v>785</v>
      </c>
      <c r="AJ805" s="473">
        <v>44019</v>
      </c>
      <c r="AK805" s="474">
        <v>17350.04</v>
      </c>
      <c r="AL805" s="475">
        <v>-1.14E-2</v>
      </c>
      <c r="AM805" s="475">
        <f t="shared" si="51"/>
        <v>-1.1395422116087461E-2</v>
      </c>
      <c r="AN805" s="464"/>
      <c r="AO805" s="464"/>
      <c r="AR805" s="464">
        <f t="shared" si="50"/>
        <v>785</v>
      </c>
      <c r="AS805" s="464" t="s">
        <v>1853</v>
      </c>
      <c r="AT805" s="381">
        <v>6.2900000000000005E-3</v>
      </c>
      <c r="AV805" s="464"/>
      <c r="AW805" s="465"/>
    </row>
    <row r="806" spans="35:49">
      <c r="AI806" s="464">
        <f t="shared" si="49"/>
        <v>786</v>
      </c>
      <c r="AJ806" s="473">
        <v>44020</v>
      </c>
      <c r="AK806" s="474">
        <v>17185.240000000002</v>
      </c>
      <c r="AL806" s="475">
        <v>-9.4999999999999998E-3</v>
      </c>
      <c r="AM806" s="475">
        <f t="shared" si="51"/>
        <v>-9.4985371791649342E-3</v>
      </c>
      <c r="AN806" s="464"/>
      <c r="AO806" s="464"/>
      <c r="AR806" s="464">
        <f t="shared" si="50"/>
        <v>786</v>
      </c>
      <c r="AS806" s="464" t="s">
        <v>1852</v>
      </c>
      <c r="AT806" s="381">
        <v>6.2599999999999999E-3</v>
      </c>
      <c r="AV806" s="464"/>
      <c r="AW806" s="465"/>
    </row>
    <row r="807" spans="35:49">
      <c r="AI807" s="464">
        <f t="shared" si="49"/>
        <v>787</v>
      </c>
      <c r="AJ807" s="473">
        <v>44021</v>
      </c>
      <c r="AK807" s="474">
        <v>16985.13</v>
      </c>
      <c r="AL807" s="475">
        <v>-1.1599999999999999E-2</v>
      </c>
      <c r="AM807" s="475">
        <f t="shared" si="51"/>
        <v>-1.1644294755266738E-2</v>
      </c>
      <c r="AN807" s="464"/>
      <c r="AO807" s="464"/>
      <c r="AR807" s="464">
        <f t="shared" si="50"/>
        <v>787</v>
      </c>
      <c r="AS807" s="464" t="s">
        <v>1851</v>
      </c>
      <c r="AT807" s="381">
        <v>6.43E-3</v>
      </c>
      <c r="AV807" s="464"/>
      <c r="AW807" s="465"/>
    </row>
    <row r="808" spans="35:49">
      <c r="AI808" s="464">
        <f t="shared" si="49"/>
        <v>788</v>
      </c>
      <c r="AJ808" s="473">
        <v>44022</v>
      </c>
      <c r="AK808" s="474">
        <v>17179.97</v>
      </c>
      <c r="AL808" s="475">
        <v>1.15E-2</v>
      </c>
      <c r="AM808" s="475">
        <f t="shared" si="51"/>
        <v>1.1471210405807897E-2</v>
      </c>
      <c r="AN808" s="464"/>
      <c r="AO808" s="464"/>
      <c r="AR808" s="464">
        <f t="shared" si="50"/>
        <v>788</v>
      </c>
      <c r="AS808" s="464" t="s">
        <v>1850</v>
      </c>
      <c r="AT808" s="381">
        <v>6.1399999999999996E-3</v>
      </c>
      <c r="AV808" s="464"/>
      <c r="AW808" s="465"/>
    </row>
    <row r="809" spans="35:49">
      <c r="AI809" s="464">
        <f t="shared" si="49"/>
        <v>789</v>
      </c>
      <c r="AJ809" s="473">
        <v>44025</v>
      </c>
      <c r="AK809" s="474">
        <v>17385.09</v>
      </c>
      <c r="AL809" s="475">
        <v>1.1900000000000001E-2</v>
      </c>
      <c r="AM809" s="475">
        <f t="shared" si="51"/>
        <v>1.193948534252387E-2</v>
      </c>
      <c r="AN809" s="464"/>
      <c r="AO809" s="464"/>
      <c r="AR809" s="464">
        <f t="shared" si="50"/>
        <v>789</v>
      </c>
      <c r="AS809" s="464" t="s">
        <v>1849</v>
      </c>
      <c r="AT809" s="381">
        <v>6.0099999999999997E-3</v>
      </c>
      <c r="AV809" s="464"/>
      <c r="AW809" s="465"/>
    </row>
    <row r="810" spans="35:49">
      <c r="AI810" s="464">
        <f t="shared" si="49"/>
        <v>790</v>
      </c>
      <c r="AJ810" s="473">
        <v>44026</v>
      </c>
      <c r="AK810" s="474">
        <v>17174.689999999999</v>
      </c>
      <c r="AL810" s="475">
        <v>-1.21E-2</v>
      </c>
      <c r="AM810" s="475">
        <f t="shared" si="51"/>
        <v>-1.2102324463088898E-2</v>
      </c>
      <c r="AN810" s="464"/>
      <c r="AO810" s="464"/>
      <c r="AR810" s="464">
        <f t="shared" si="50"/>
        <v>790</v>
      </c>
      <c r="AS810" s="464" t="s">
        <v>1848</v>
      </c>
      <c r="AT810" s="381">
        <v>5.7799999999999995E-3</v>
      </c>
      <c r="AV810" s="464"/>
      <c r="AW810" s="465"/>
    </row>
    <row r="811" spans="35:49">
      <c r="AI811" s="464">
        <f t="shared" si="49"/>
        <v>791</v>
      </c>
      <c r="AJ811" s="473">
        <v>44027</v>
      </c>
      <c r="AK811" s="474">
        <v>17420.55</v>
      </c>
      <c r="AL811" s="475">
        <v>1.43E-2</v>
      </c>
      <c r="AM811" s="475">
        <f t="shared" si="51"/>
        <v>1.4315251104969118E-2</v>
      </c>
      <c r="AN811" s="464"/>
      <c r="AO811" s="464"/>
      <c r="AR811" s="464">
        <f t="shared" si="50"/>
        <v>791</v>
      </c>
      <c r="AS811" s="464" t="s">
        <v>1847</v>
      </c>
      <c r="AT811" s="381">
        <v>5.7399999999999994E-3</v>
      </c>
      <c r="AV811" s="464"/>
      <c r="AW811" s="465"/>
    </row>
    <row r="812" spans="35:49">
      <c r="AI812" s="464">
        <f t="shared" si="49"/>
        <v>792</v>
      </c>
      <c r="AJ812" s="473">
        <v>44028</v>
      </c>
      <c r="AK812" s="474">
        <v>17321.29</v>
      </c>
      <c r="AL812" s="475">
        <v>-5.7000000000000002E-3</v>
      </c>
      <c r="AM812" s="475">
        <f t="shared" si="51"/>
        <v>-5.6978683221826643E-3</v>
      </c>
      <c r="AN812" s="464"/>
      <c r="AO812" s="464"/>
      <c r="AR812" s="464">
        <f t="shared" si="50"/>
        <v>792</v>
      </c>
      <c r="AS812" s="464" t="s">
        <v>1846</v>
      </c>
      <c r="AT812" s="381">
        <v>5.4000000000000003E-3</v>
      </c>
      <c r="AV812" s="464"/>
      <c r="AW812" s="465"/>
    </row>
    <row r="813" spans="35:49">
      <c r="AI813" s="464">
        <f t="shared" si="49"/>
        <v>793</v>
      </c>
      <c r="AJ813" s="473">
        <v>44029</v>
      </c>
      <c r="AK813" s="474">
        <v>17347.93</v>
      </c>
      <c r="AL813" s="475">
        <v>1.5E-3</v>
      </c>
      <c r="AM813" s="475">
        <f t="shared" si="51"/>
        <v>1.5379916853768272E-3</v>
      </c>
      <c r="AN813" s="464"/>
      <c r="AO813" s="464"/>
      <c r="AR813" s="464">
        <f t="shared" si="50"/>
        <v>793</v>
      </c>
      <c r="AS813" s="464" t="s">
        <v>1845</v>
      </c>
      <c r="AT813" s="381">
        <v>5.2199999999999998E-3</v>
      </c>
      <c r="AV813" s="464"/>
      <c r="AW813" s="465"/>
    </row>
    <row r="814" spans="35:49">
      <c r="AI814" s="464">
        <f t="shared" si="49"/>
        <v>794</v>
      </c>
      <c r="AJ814" s="473">
        <v>44032</v>
      </c>
      <c r="AK814" s="474">
        <v>17385.849999999999</v>
      </c>
      <c r="AL814" s="475">
        <v>2.2000000000000001E-3</v>
      </c>
      <c r="AM814" s="475">
        <f t="shared" si="51"/>
        <v>2.1858515684578528E-3</v>
      </c>
      <c r="AN814" s="464"/>
      <c r="AO814" s="464"/>
      <c r="AR814" s="464">
        <f t="shared" si="50"/>
        <v>794</v>
      </c>
      <c r="AS814" s="464" t="s">
        <v>1844</v>
      </c>
      <c r="AT814" s="381">
        <v>5.0499999999999998E-3</v>
      </c>
      <c r="AV814" s="464"/>
      <c r="AW814" s="465"/>
    </row>
    <row r="815" spans="35:49">
      <c r="AI815" s="464">
        <f t="shared" si="49"/>
        <v>795</v>
      </c>
      <c r="AJ815" s="473">
        <v>44033</v>
      </c>
      <c r="AK815" s="474">
        <v>17501.830000000002</v>
      </c>
      <c r="AL815" s="475">
        <v>6.7000000000000002E-3</v>
      </c>
      <c r="AM815" s="475">
        <f t="shared" si="51"/>
        <v>6.6709421742396913E-3</v>
      </c>
      <c r="AN815" s="464"/>
      <c r="AO815" s="464"/>
      <c r="AR815" s="464">
        <f t="shared" si="50"/>
        <v>795</v>
      </c>
      <c r="AS815" s="464" t="s">
        <v>1843</v>
      </c>
      <c r="AT815" s="381">
        <v>4.7199999999999994E-3</v>
      </c>
      <c r="AV815" s="464"/>
      <c r="AW815" s="465"/>
    </row>
    <row r="816" spans="35:49">
      <c r="AI816" s="464">
        <f t="shared" si="49"/>
        <v>796</v>
      </c>
      <c r="AJ816" s="473">
        <v>44034</v>
      </c>
      <c r="AK816" s="474">
        <v>17465.73</v>
      </c>
      <c r="AL816" s="475">
        <v>-2.0999999999999999E-3</v>
      </c>
      <c r="AM816" s="475">
        <f t="shared" si="51"/>
        <v>-2.0626414494943068E-3</v>
      </c>
      <c r="AN816" s="464"/>
      <c r="AO816" s="464"/>
      <c r="AR816" s="464">
        <f t="shared" si="50"/>
        <v>796</v>
      </c>
      <c r="AS816" s="464" t="s">
        <v>1842</v>
      </c>
      <c r="AT816" s="381">
        <v>4.4000000000000003E-3</v>
      </c>
      <c r="AV816" s="464"/>
      <c r="AW816" s="465"/>
    </row>
    <row r="817" spans="35:49">
      <c r="AI817" s="464">
        <f t="shared" si="49"/>
        <v>797</v>
      </c>
      <c r="AJ817" s="473">
        <v>44035</v>
      </c>
      <c r="AK817" s="474">
        <v>17489.45</v>
      </c>
      <c r="AL817" s="475">
        <v>1.4E-3</v>
      </c>
      <c r="AM817" s="475">
        <f t="shared" si="51"/>
        <v>1.3580880959456199E-3</v>
      </c>
      <c r="AN817" s="464"/>
      <c r="AO817" s="464"/>
      <c r="AR817" s="464">
        <f t="shared" si="50"/>
        <v>797</v>
      </c>
      <c r="AS817" s="464" t="s">
        <v>1841</v>
      </c>
      <c r="AT817" s="381">
        <v>4.4800000000000005E-3</v>
      </c>
      <c r="AV817" s="464"/>
      <c r="AW817" s="465"/>
    </row>
    <row r="818" spans="35:49">
      <c r="AI818" s="464">
        <f t="shared" si="49"/>
        <v>798</v>
      </c>
      <c r="AJ818" s="473">
        <v>44036</v>
      </c>
      <c r="AK818" s="474">
        <v>17264.84</v>
      </c>
      <c r="AL818" s="475">
        <v>-1.2800000000000001E-2</v>
      </c>
      <c r="AM818" s="475">
        <f t="shared" si="51"/>
        <v>-1.2842599395635701E-2</v>
      </c>
      <c r="AN818" s="464"/>
      <c r="AO818" s="464"/>
      <c r="AR818" s="464">
        <f t="shared" si="50"/>
        <v>798</v>
      </c>
      <c r="AS818" s="464" t="s">
        <v>1840</v>
      </c>
      <c r="AT818" s="381">
        <v>4.1199999999999995E-3</v>
      </c>
      <c r="AV818" s="464"/>
      <c r="AW818" s="465"/>
    </row>
    <row r="819" spans="35:49">
      <c r="AI819" s="464">
        <f t="shared" si="49"/>
        <v>799</v>
      </c>
      <c r="AJ819" s="473">
        <v>44039</v>
      </c>
      <c r="AK819" s="474">
        <v>17157.939999999999</v>
      </c>
      <c r="AL819" s="475">
        <v>-6.1999999999999998E-3</v>
      </c>
      <c r="AM819" s="475">
        <f t="shared" si="51"/>
        <v>-6.191774728291799E-3</v>
      </c>
      <c r="AN819" s="464"/>
      <c r="AO819" s="464"/>
      <c r="AR819" s="464">
        <f t="shared" si="50"/>
        <v>799</v>
      </c>
      <c r="AS819" s="464" t="s">
        <v>1839</v>
      </c>
      <c r="AT819" s="381">
        <v>3.8900000000000002E-3</v>
      </c>
      <c r="AV819" s="464"/>
      <c r="AW819" s="465"/>
    </row>
    <row r="820" spans="35:49">
      <c r="AI820" s="464">
        <f t="shared" si="49"/>
        <v>800</v>
      </c>
      <c r="AJ820" s="473">
        <v>44040</v>
      </c>
      <c r="AK820" s="474">
        <v>17278.23</v>
      </c>
      <c r="AL820" s="475">
        <v>7.0000000000000001E-3</v>
      </c>
      <c r="AM820" s="475">
        <f t="shared" si="51"/>
        <v>7.0107483765533551E-3</v>
      </c>
      <c r="AN820" s="464"/>
      <c r="AO820" s="464"/>
      <c r="AR820" s="464">
        <f t="shared" si="50"/>
        <v>800</v>
      </c>
      <c r="AS820" s="464" t="s">
        <v>1838</v>
      </c>
      <c r="AT820" s="381">
        <v>3.7000000000000002E-3</v>
      </c>
      <c r="AV820" s="464"/>
      <c r="AW820" s="465"/>
    </row>
    <row r="821" spans="35:49">
      <c r="AI821" s="464">
        <f t="shared" si="49"/>
        <v>801</v>
      </c>
      <c r="AJ821" s="473">
        <v>44041</v>
      </c>
      <c r="AK821" s="474">
        <v>17247.66</v>
      </c>
      <c r="AL821" s="475">
        <v>-1.8E-3</v>
      </c>
      <c r="AM821" s="475">
        <f t="shared" si="51"/>
        <v>-1.7692784503967607E-3</v>
      </c>
      <c r="AN821" s="464"/>
      <c r="AO821" s="464"/>
      <c r="AR821" s="464">
        <f t="shared" si="50"/>
        <v>801</v>
      </c>
      <c r="AS821" s="464" t="s">
        <v>1837</v>
      </c>
      <c r="AT821" s="381">
        <v>3.3500000000000001E-3</v>
      </c>
      <c r="AV821" s="464"/>
      <c r="AW821" s="465"/>
    </row>
    <row r="822" spans="35:49">
      <c r="AI822" s="464">
        <f t="shared" si="49"/>
        <v>802</v>
      </c>
      <c r="AJ822" s="473">
        <v>44042</v>
      </c>
      <c r="AK822" s="474">
        <v>17017.05</v>
      </c>
      <c r="AL822" s="475">
        <v>-1.34E-2</v>
      </c>
      <c r="AM822" s="475">
        <f t="shared" si="51"/>
        <v>-1.3370509390839169E-2</v>
      </c>
      <c r="AN822" s="464"/>
      <c r="AO822" s="464"/>
      <c r="AR822" s="464">
        <f t="shared" si="50"/>
        <v>802</v>
      </c>
      <c r="AS822" s="464" t="s">
        <v>1836</v>
      </c>
      <c r="AT822" s="381">
        <v>2.32E-3</v>
      </c>
      <c r="AV822" s="464"/>
      <c r="AW822" s="465"/>
    </row>
    <row r="823" spans="35:49">
      <c r="AI823" s="464">
        <f t="shared" si="49"/>
        <v>803</v>
      </c>
      <c r="AJ823" s="473">
        <v>44043</v>
      </c>
      <c r="AK823" s="474">
        <v>16932.650000000001</v>
      </c>
      <c r="AL823" s="475">
        <v>-5.0000000000000001E-3</v>
      </c>
      <c r="AM823" s="475">
        <f t="shared" si="51"/>
        <v>-4.9597315633437278E-3</v>
      </c>
      <c r="AN823" s="464"/>
      <c r="AO823" s="464"/>
      <c r="AR823" s="464">
        <f t="shared" si="50"/>
        <v>803</v>
      </c>
      <c r="AS823" s="464" t="s">
        <v>1835</v>
      </c>
      <c r="AT823" s="381">
        <v>1.5900000000000001E-3</v>
      </c>
      <c r="AV823" s="464"/>
      <c r="AW823" s="465"/>
    </row>
    <row r="824" spans="35:49">
      <c r="AI824" s="464">
        <f t="shared" si="49"/>
        <v>804</v>
      </c>
      <c r="AJ824" s="473">
        <v>44046</v>
      </c>
      <c r="AK824" s="474">
        <v>17158.12</v>
      </c>
      <c r="AL824" s="475">
        <v>1.3299999999999999E-2</v>
      </c>
      <c r="AM824" s="475">
        <f t="shared" si="51"/>
        <v>1.3315694826267377E-2</v>
      </c>
      <c r="AN824" s="464"/>
      <c r="AO824" s="464"/>
      <c r="AR824" s="464">
        <f t="shared" si="50"/>
        <v>804</v>
      </c>
      <c r="AS824" s="464" t="s">
        <v>1834</v>
      </c>
      <c r="AT824" s="381">
        <v>2.4099999999999998E-3</v>
      </c>
      <c r="AV824" s="464"/>
      <c r="AW824" s="465"/>
    </row>
    <row r="825" spans="35:49">
      <c r="AI825" s="464">
        <f t="shared" si="49"/>
        <v>805</v>
      </c>
      <c r="AJ825" s="473">
        <v>44047</v>
      </c>
      <c r="AK825" s="474">
        <v>17307.7</v>
      </c>
      <c r="AL825" s="475">
        <v>8.6999999999999994E-3</v>
      </c>
      <c r="AM825" s="475">
        <f t="shared" si="51"/>
        <v>8.7177383069940717E-3</v>
      </c>
      <c r="AN825" s="464"/>
      <c r="AO825" s="464"/>
      <c r="AR825" s="464">
        <f t="shared" si="50"/>
        <v>805</v>
      </c>
      <c r="AS825" s="464" t="s">
        <v>1833</v>
      </c>
      <c r="AT825" s="381">
        <v>2.8999999999999998E-3</v>
      </c>
      <c r="AV825" s="464"/>
      <c r="AW825" s="465"/>
    </row>
    <row r="826" spans="35:49">
      <c r="AI826" s="464">
        <f t="shared" si="49"/>
        <v>806</v>
      </c>
      <c r="AJ826" s="473">
        <v>44048</v>
      </c>
      <c r="AK826" s="474">
        <v>17638.3</v>
      </c>
      <c r="AL826" s="475">
        <v>1.9099999999999999E-2</v>
      </c>
      <c r="AM826" s="475">
        <f t="shared" si="51"/>
        <v>1.9101324843855627E-2</v>
      </c>
      <c r="AN826" s="464"/>
      <c r="AO826" s="464"/>
      <c r="AR826" s="464">
        <f t="shared" si="50"/>
        <v>806</v>
      </c>
      <c r="AS826" s="464" t="s">
        <v>1832</v>
      </c>
      <c r="AT826" s="381">
        <v>2.6700000000000001E-3</v>
      </c>
      <c r="AV826" s="464"/>
      <c r="AW826" s="465"/>
    </row>
    <row r="827" spans="35:49">
      <c r="AI827" s="464">
        <f t="shared" si="49"/>
        <v>807</v>
      </c>
      <c r="AJ827" s="473">
        <v>44049</v>
      </c>
      <c r="AK827" s="474">
        <v>17479.38</v>
      </c>
      <c r="AL827" s="475">
        <v>-8.9999999999999993E-3</v>
      </c>
      <c r="AM827" s="475">
        <f t="shared" si="51"/>
        <v>-9.0099385995248138E-3</v>
      </c>
      <c r="AN827" s="464"/>
      <c r="AO827" s="464"/>
      <c r="AR827" s="464">
        <f t="shared" si="50"/>
        <v>807</v>
      </c>
      <c r="AS827" s="464" t="s">
        <v>1831</v>
      </c>
      <c r="AT827" s="381">
        <v>4.0999999999999995E-3</v>
      </c>
      <c r="AV827" s="464"/>
      <c r="AW827" s="465"/>
    </row>
    <row r="828" spans="35:49">
      <c r="AI828" s="464">
        <f t="shared" si="49"/>
        <v>808</v>
      </c>
      <c r="AJ828" s="473">
        <v>44050</v>
      </c>
      <c r="AK828" s="474">
        <v>17622.93</v>
      </c>
      <c r="AL828" s="475">
        <v>8.2000000000000007E-3</v>
      </c>
      <c r="AM828" s="475">
        <f t="shared" si="51"/>
        <v>8.212533854175641E-3</v>
      </c>
      <c r="AN828" s="464"/>
      <c r="AO828" s="464"/>
      <c r="AR828" s="464">
        <f t="shared" si="50"/>
        <v>808</v>
      </c>
      <c r="AS828" s="464" t="s">
        <v>1830</v>
      </c>
      <c r="AT828" s="381">
        <v>4.3299999999999996E-3</v>
      </c>
      <c r="AV828" s="464"/>
      <c r="AW828" s="465"/>
    </row>
    <row r="829" spans="35:49">
      <c r="AI829" s="464">
        <f t="shared" si="49"/>
        <v>809</v>
      </c>
      <c r="AJ829" s="473">
        <v>44053</v>
      </c>
      <c r="AK829" s="474">
        <v>17724.939999999999</v>
      </c>
      <c r="AL829" s="475">
        <v>5.7999999999999996E-3</v>
      </c>
      <c r="AM829" s="475">
        <f t="shared" si="51"/>
        <v>5.7884812570894173E-3</v>
      </c>
      <c r="AN829" s="464"/>
      <c r="AO829" s="464"/>
      <c r="AR829" s="464">
        <f t="shared" si="50"/>
        <v>809</v>
      </c>
      <c r="AS829" s="464" t="s">
        <v>1829</v>
      </c>
      <c r="AT829" s="381">
        <v>5.5500000000000002E-3</v>
      </c>
      <c r="AV829" s="464"/>
      <c r="AW829" s="465"/>
    </row>
    <row r="830" spans="35:49">
      <c r="AI830" s="464">
        <f t="shared" si="49"/>
        <v>810</v>
      </c>
      <c r="AJ830" s="473">
        <v>44054</v>
      </c>
      <c r="AK830" s="474">
        <v>17997.18</v>
      </c>
      <c r="AL830" s="475">
        <v>1.54E-2</v>
      </c>
      <c r="AM830" s="475">
        <f t="shared" si="51"/>
        <v>1.5359149311648057E-2</v>
      </c>
      <c r="AN830" s="464"/>
      <c r="AO830" s="464"/>
      <c r="AR830" s="464">
        <f t="shared" si="50"/>
        <v>810</v>
      </c>
      <c r="AS830" s="464" t="s">
        <v>1828</v>
      </c>
      <c r="AT830" s="381">
        <v>7.9000000000000008E-3</v>
      </c>
      <c r="AV830" s="464"/>
      <c r="AW830" s="465"/>
    </row>
    <row r="831" spans="35:49">
      <c r="AI831" s="464">
        <f t="shared" si="49"/>
        <v>811</v>
      </c>
      <c r="AJ831" s="473">
        <v>44055</v>
      </c>
      <c r="AK831" s="474">
        <v>18089.580000000002</v>
      </c>
      <c r="AL831" s="475">
        <v>5.1000000000000004E-3</v>
      </c>
      <c r="AM831" s="475">
        <f t="shared" si="51"/>
        <v>5.1341376815701167E-3</v>
      </c>
      <c r="AN831" s="464"/>
      <c r="AO831" s="464"/>
      <c r="AR831" s="464">
        <f t="shared" si="50"/>
        <v>811</v>
      </c>
      <c r="AS831" s="464" t="s">
        <v>1827</v>
      </c>
      <c r="AT831" s="381">
        <v>7.1699999999999993E-3</v>
      </c>
      <c r="AV831" s="464"/>
      <c r="AW831" s="465"/>
    </row>
    <row r="832" spans="35:49">
      <c r="AI832" s="464">
        <f t="shared" si="49"/>
        <v>812</v>
      </c>
      <c r="AJ832" s="473">
        <v>44056</v>
      </c>
      <c r="AK832" s="474">
        <v>17924.59</v>
      </c>
      <c r="AL832" s="475">
        <v>-9.1000000000000004E-3</v>
      </c>
      <c r="AM832" s="475">
        <f t="shared" si="51"/>
        <v>-9.1207203262874126E-3</v>
      </c>
      <c r="AN832" s="464"/>
      <c r="AO832" s="464"/>
      <c r="AR832" s="464">
        <f t="shared" si="50"/>
        <v>812</v>
      </c>
      <c r="AS832" s="464" t="s">
        <v>1826</v>
      </c>
      <c r="AT832" s="381">
        <v>5.5700000000000003E-3</v>
      </c>
      <c r="AV832" s="464"/>
      <c r="AW832" s="465"/>
    </row>
    <row r="833" spans="35:49">
      <c r="AI833" s="464">
        <f t="shared" si="49"/>
        <v>813</v>
      </c>
      <c r="AJ833" s="473">
        <v>44057</v>
      </c>
      <c r="AK833" s="474">
        <v>17735.62</v>
      </c>
      <c r="AL833" s="475">
        <v>-1.0500000000000001E-2</v>
      </c>
      <c r="AM833" s="475">
        <f t="shared" si="51"/>
        <v>-1.0542500553708645E-2</v>
      </c>
      <c r="AN833" s="464"/>
      <c r="AO833" s="464"/>
      <c r="AR833" s="464">
        <f t="shared" si="50"/>
        <v>813</v>
      </c>
      <c r="AS833" s="464" t="s">
        <v>1825</v>
      </c>
      <c r="AT833" s="381">
        <v>5.4100000000000007E-3</v>
      </c>
      <c r="AV833" s="464"/>
      <c r="AW833" s="465"/>
    </row>
    <row r="834" spans="35:49">
      <c r="AI834" s="464">
        <f t="shared" si="49"/>
        <v>814</v>
      </c>
      <c r="AJ834" s="473">
        <v>44060</v>
      </c>
      <c r="AK834" s="474">
        <v>17771.88</v>
      </c>
      <c r="AL834" s="475">
        <v>2E-3</v>
      </c>
      <c r="AM834" s="475">
        <f t="shared" si="51"/>
        <v>2.0444732126647658E-3</v>
      </c>
      <c r="AN834" s="464"/>
      <c r="AO834" s="464"/>
      <c r="AR834" s="464">
        <f t="shared" si="50"/>
        <v>814</v>
      </c>
      <c r="AS834" s="464" t="s">
        <v>1824</v>
      </c>
      <c r="AT834" s="381">
        <v>4.1700000000000001E-3</v>
      </c>
      <c r="AV834" s="464"/>
      <c r="AW834" s="465"/>
    </row>
    <row r="835" spans="35:49">
      <c r="AI835" s="464">
        <f t="shared" si="49"/>
        <v>815</v>
      </c>
      <c r="AJ835" s="473">
        <v>44061</v>
      </c>
      <c r="AK835" s="474">
        <v>17623.02</v>
      </c>
      <c r="AL835" s="475">
        <v>-8.3999999999999995E-3</v>
      </c>
      <c r="AM835" s="475">
        <f t="shared" si="51"/>
        <v>-8.3761537890195692E-3</v>
      </c>
      <c r="AN835" s="464"/>
      <c r="AO835" s="464"/>
      <c r="AR835" s="464">
        <f t="shared" si="50"/>
        <v>815</v>
      </c>
      <c r="AS835" s="464" t="s">
        <v>1823</v>
      </c>
      <c r="AT835" s="381">
        <v>4.79E-3</v>
      </c>
      <c r="AV835" s="464"/>
      <c r="AW835" s="465"/>
    </row>
    <row r="836" spans="35:49">
      <c r="AI836" s="464">
        <f t="shared" si="49"/>
        <v>816</v>
      </c>
      <c r="AJ836" s="473">
        <v>44062</v>
      </c>
      <c r="AK836" s="474">
        <v>17583.39</v>
      </c>
      <c r="AL836" s="475">
        <v>-2.2000000000000001E-3</v>
      </c>
      <c r="AM836" s="475">
        <f t="shared" si="51"/>
        <v>-2.2487632653200862E-3</v>
      </c>
      <c r="AN836" s="464"/>
      <c r="AO836" s="464"/>
      <c r="AR836" s="464">
        <f t="shared" si="50"/>
        <v>816</v>
      </c>
      <c r="AS836" s="464" t="s">
        <v>1822</v>
      </c>
      <c r="AT836" s="381">
        <v>4.4400000000000004E-3</v>
      </c>
      <c r="AV836" s="464"/>
      <c r="AW836" s="465"/>
    </row>
    <row r="837" spans="35:49">
      <c r="AI837" s="464">
        <f t="shared" si="49"/>
        <v>817</v>
      </c>
      <c r="AJ837" s="473">
        <v>44063</v>
      </c>
      <c r="AK837" s="474">
        <v>17496.43</v>
      </c>
      <c r="AL837" s="475">
        <v>-4.8999999999999998E-3</v>
      </c>
      <c r="AM837" s="475">
        <f t="shared" si="51"/>
        <v>-4.9455764787108558E-3</v>
      </c>
      <c r="AN837" s="464"/>
      <c r="AO837" s="464"/>
      <c r="AR837" s="464">
        <f t="shared" si="50"/>
        <v>817</v>
      </c>
      <c r="AS837" s="464" t="s">
        <v>1821</v>
      </c>
      <c r="AT837" s="381">
        <v>3.98E-3</v>
      </c>
      <c r="AV837" s="464"/>
      <c r="AW837" s="465"/>
    </row>
    <row r="838" spans="35:49">
      <c r="AI838" s="464">
        <f t="shared" si="49"/>
        <v>818</v>
      </c>
      <c r="AJ838" s="473">
        <v>44064</v>
      </c>
      <c r="AK838" s="474">
        <v>17577.68</v>
      </c>
      <c r="AL838" s="475">
        <v>4.5999999999999999E-3</v>
      </c>
      <c r="AM838" s="475">
        <f t="shared" si="51"/>
        <v>4.6438044789709476E-3</v>
      </c>
      <c r="AN838" s="464"/>
      <c r="AO838" s="464"/>
      <c r="AR838" s="464">
        <f t="shared" si="50"/>
        <v>818</v>
      </c>
      <c r="AS838" s="464" t="s">
        <v>1820</v>
      </c>
      <c r="AT838" s="381">
        <v>3.63E-3</v>
      </c>
      <c r="AV838" s="464"/>
      <c r="AW838" s="465"/>
    </row>
    <row r="839" spans="35:49">
      <c r="AI839" s="464">
        <f t="shared" si="49"/>
        <v>819</v>
      </c>
      <c r="AJ839" s="473">
        <v>44067</v>
      </c>
      <c r="AK839" s="474">
        <v>17685.07</v>
      </c>
      <c r="AL839" s="475">
        <v>6.1000000000000004E-3</v>
      </c>
      <c r="AM839" s="475">
        <f t="shared" si="51"/>
        <v>6.1094524419604834E-3</v>
      </c>
      <c r="AN839" s="464"/>
      <c r="AO839" s="464"/>
      <c r="AR839" s="464">
        <f t="shared" si="50"/>
        <v>819</v>
      </c>
      <c r="AS839" s="464" t="s">
        <v>1819</v>
      </c>
      <c r="AT839" s="381">
        <v>3.5099999999999997E-3</v>
      </c>
      <c r="AV839" s="464"/>
      <c r="AW839" s="465"/>
    </row>
    <row r="840" spans="35:49">
      <c r="AI840" s="464">
        <f t="shared" si="49"/>
        <v>820</v>
      </c>
      <c r="AJ840" s="473">
        <v>44068</v>
      </c>
      <c r="AK840" s="474">
        <v>17577.89</v>
      </c>
      <c r="AL840" s="475">
        <v>-6.1000000000000004E-3</v>
      </c>
      <c r="AM840" s="475">
        <f t="shared" si="51"/>
        <v>-6.0604792630167825E-3</v>
      </c>
      <c r="AN840" s="464"/>
      <c r="AO840" s="464"/>
      <c r="AR840" s="464">
        <f t="shared" si="50"/>
        <v>820</v>
      </c>
      <c r="AS840" s="464" t="s">
        <v>1818</v>
      </c>
      <c r="AT840" s="381">
        <v>3.29E-3</v>
      </c>
      <c r="AV840" s="464"/>
      <c r="AW840" s="465"/>
    </row>
    <row r="841" spans="35:49">
      <c r="AI841" s="464">
        <f t="shared" si="49"/>
        <v>821</v>
      </c>
      <c r="AJ841" s="473">
        <v>44069</v>
      </c>
      <c r="AK841" s="474">
        <v>17753.57</v>
      </c>
      <c r="AL841" s="475">
        <v>0.01</v>
      </c>
      <c r="AM841" s="475">
        <f t="shared" si="51"/>
        <v>9.9943736136702821E-3</v>
      </c>
      <c r="AN841" s="464"/>
      <c r="AO841" s="464"/>
      <c r="AR841" s="464">
        <f t="shared" si="50"/>
        <v>821</v>
      </c>
      <c r="AS841" s="464" t="s">
        <v>1817</v>
      </c>
      <c r="AT841" s="381">
        <v>3.5499999999999998E-3</v>
      </c>
      <c r="AV841" s="464"/>
      <c r="AW841" s="465"/>
    </row>
    <row r="842" spans="35:49">
      <c r="AI842" s="464">
        <f t="shared" si="49"/>
        <v>822</v>
      </c>
      <c r="AJ842" s="473">
        <v>44070</v>
      </c>
      <c r="AK842" s="474">
        <v>17762.03</v>
      </c>
      <c r="AL842" s="475">
        <v>5.0000000000000001E-4</v>
      </c>
      <c r="AM842" s="475">
        <f t="shared" si="51"/>
        <v>4.7652387660623852E-4</v>
      </c>
      <c r="AN842" s="464"/>
      <c r="AO842" s="464"/>
      <c r="AR842" s="464">
        <f t="shared" si="50"/>
        <v>822</v>
      </c>
      <c r="AS842" s="464" t="s">
        <v>1816</v>
      </c>
      <c r="AT842" s="381">
        <v>3.13E-3</v>
      </c>
      <c r="AV842" s="464"/>
      <c r="AW842" s="465"/>
    </row>
    <row r="843" spans="35:49">
      <c r="AI843" s="464">
        <f t="shared" si="49"/>
        <v>823</v>
      </c>
      <c r="AJ843" s="473">
        <v>44071</v>
      </c>
      <c r="AK843" s="474">
        <v>17788.330000000002</v>
      </c>
      <c r="AL843" s="475">
        <v>1.5E-3</v>
      </c>
      <c r="AM843" s="475">
        <f t="shared" si="51"/>
        <v>1.4806866107084371E-3</v>
      </c>
      <c r="AN843" s="464"/>
      <c r="AO843" s="464"/>
      <c r="AR843" s="464">
        <f t="shared" si="50"/>
        <v>823</v>
      </c>
      <c r="AS843" s="464" t="s">
        <v>1815</v>
      </c>
      <c r="AT843" s="381">
        <v>3.31E-3</v>
      </c>
      <c r="AV843" s="464"/>
      <c r="AW843" s="465"/>
    </row>
    <row r="844" spans="35:49">
      <c r="AI844" s="464">
        <f t="shared" si="49"/>
        <v>824</v>
      </c>
      <c r="AJ844" s="473">
        <v>44075</v>
      </c>
      <c r="AK844" s="474">
        <v>17604.599999999999</v>
      </c>
      <c r="AL844" s="475">
        <v>-1.03E-2</v>
      </c>
      <c r="AM844" s="475">
        <f t="shared" si="51"/>
        <v>-1.0328681781820004E-2</v>
      </c>
      <c r="AN844" s="464"/>
      <c r="AO844" s="464"/>
      <c r="AR844" s="464">
        <f t="shared" si="50"/>
        <v>824</v>
      </c>
      <c r="AS844" s="464" t="s">
        <v>1814</v>
      </c>
      <c r="AT844" s="381">
        <v>3.1199999999999999E-3</v>
      </c>
      <c r="AV844" s="464"/>
      <c r="AW844" s="465"/>
    </row>
    <row r="845" spans="35:49">
      <c r="AI845" s="464">
        <f t="shared" si="49"/>
        <v>825</v>
      </c>
      <c r="AJ845" s="473">
        <v>44076</v>
      </c>
      <c r="AK845" s="474">
        <v>17704.419999999998</v>
      </c>
      <c r="AL845" s="475">
        <v>5.7000000000000002E-3</v>
      </c>
      <c r="AM845" s="475">
        <f t="shared" si="51"/>
        <v>5.670108948797381E-3</v>
      </c>
      <c r="AN845" s="464"/>
      <c r="AO845" s="464"/>
      <c r="AR845" s="464">
        <f t="shared" si="50"/>
        <v>825</v>
      </c>
      <c r="AS845" s="464" t="s">
        <v>1813</v>
      </c>
      <c r="AT845" s="381">
        <v>3.16E-3</v>
      </c>
      <c r="AV845" s="464"/>
      <c r="AW845" s="465"/>
    </row>
    <row r="846" spans="35:49">
      <c r="AI846" s="464">
        <f t="shared" si="49"/>
        <v>826</v>
      </c>
      <c r="AJ846" s="473">
        <v>44077</v>
      </c>
      <c r="AK846" s="474">
        <v>17459.689999999999</v>
      </c>
      <c r="AL846" s="475">
        <v>-1.38E-2</v>
      </c>
      <c r="AM846" s="475">
        <f t="shared" si="51"/>
        <v>-1.3823101801696991E-2</v>
      </c>
      <c r="AN846" s="464"/>
      <c r="AO846" s="464"/>
      <c r="AR846" s="464">
        <f t="shared" si="50"/>
        <v>826</v>
      </c>
      <c r="AS846" s="464" t="s">
        <v>1812</v>
      </c>
      <c r="AT846" s="381">
        <v>3.31E-3</v>
      </c>
      <c r="AV846" s="464"/>
      <c r="AW846" s="465"/>
    </row>
    <row r="847" spans="35:49">
      <c r="AI847" s="464">
        <f t="shared" si="49"/>
        <v>827</v>
      </c>
      <c r="AJ847" s="473">
        <v>44078</v>
      </c>
      <c r="AK847" s="474">
        <v>17354.28</v>
      </c>
      <c r="AL847" s="475">
        <v>-6.0000000000000001E-3</v>
      </c>
      <c r="AM847" s="475">
        <f t="shared" si="51"/>
        <v>-6.0373351416892485E-3</v>
      </c>
      <c r="AN847" s="464"/>
      <c r="AO847" s="464"/>
      <c r="AR847" s="464">
        <f t="shared" si="50"/>
        <v>827</v>
      </c>
      <c r="AS847" s="464" t="s">
        <v>1811</v>
      </c>
      <c r="AT847" s="381">
        <v>4.13E-3</v>
      </c>
      <c r="AV847" s="464"/>
      <c r="AW847" s="465"/>
    </row>
    <row r="848" spans="35:49">
      <c r="AI848" s="464">
        <f t="shared" si="49"/>
        <v>828</v>
      </c>
      <c r="AJ848" s="473">
        <v>44081</v>
      </c>
      <c r="AK848" s="474">
        <v>17642.2</v>
      </c>
      <c r="AL848" s="475">
        <v>1.66E-2</v>
      </c>
      <c r="AM848" s="475">
        <f t="shared" si="51"/>
        <v>1.6590719983773594E-2</v>
      </c>
      <c r="AN848" s="464"/>
      <c r="AO848" s="464"/>
      <c r="AR848" s="464">
        <f t="shared" si="50"/>
        <v>828</v>
      </c>
      <c r="AS848" s="464" t="s">
        <v>1810</v>
      </c>
      <c r="AT848" s="381">
        <v>3.81E-3</v>
      </c>
      <c r="AV848" s="464"/>
      <c r="AW848" s="465"/>
    </row>
    <row r="849" spans="35:49">
      <c r="AI849" s="464">
        <f t="shared" si="49"/>
        <v>829</v>
      </c>
      <c r="AJ849" s="473">
        <v>44082</v>
      </c>
      <c r="AK849" s="474">
        <v>17625.18</v>
      </c>
      <c r="AL849" s="475">
        <v>-1E-3</v>
      </c>
      <c r="AM849" s="475">
        <f t="shared" si="51"/>
        <v>-9.6473228962379309E-4</v>
      </c>
      <c r="AN849" s="464"/>
      <c r="AO849" s="464"/>
      <c r="AR849" s="464">
        <f t="shared" si="50"/>
        <v>829</v>
      </c>
      <c r="AS849" s="464" t="s">
        <v>1809</v>
      </c>
      <c r="AT849" s="381">
        <v>3.0499999999999998E-3</v>
      </c>
      <c r="AV849" s="464"/>
      <c r="AW849" s="465"/>
    </row>
    <row r="850" spans="35:49">
      <c r="AI850" s="464">
        <f t="shared" si="49"/>
        <v>830</v>
      </c>
      <c r="AJ850" s="473">
        <v>44083</v>
      </c>
      <c r="AK850" s="474">
        <v>17594.93</v>
      </c>
      <c r="AL850" s="475">
        <v>-1.6999999999999999E-3</v>
      </c>
      <c r="AM850" s="475">
        <f t="shared" si="51"/>
        <v>-1.7162945286232079E-3</v>
      </c>
      <c r="AN850" s="464"/>
      <c r="AO850" s="464"/>
      <c r="AR850" s="464">
        <f t="shared" si="50"/>
        <v>830</v>
      </c>
      <c r="AS850" s="464" t="s">
        <v>1808</v>
      </c>
      <c r="AT850" s="381">
        <v>3.055E-3</v>
      </c>
      <c r="AV850" s="464"/>
      <c r="AW850" s="465"/>
    </row>
    <row r="851" spans="35:49">
      <c r="AI851" s="464">
        <f t="shared" si="49"/>
        <v>831</v>
      </c>
      <c r="AJ851" s="473">
        <v>44084</v>
      </c>
      <c r="AK851" s="474">
        <v>17579.34</v>
      </c>
      <c r="AL851" s="475">
        <v>-8.9999999999999998E-4</v>
      </c>
      <c r="AM851" s="475">
        <f t="shared" si="51"/>
        <v>-8.8605069755887111E-4</v>
      </c>
      <c r="AN851" s="464"/>
      <c r="AO851" s="464"/>
      <c r="AR851" s="464">
        <f t="shared" si="50"/>
        <v>831</v>
      </c>
      <c r="AS851" s="464" t="s">
        <v>1807</v>
      </c>
      <c r="AT851" s="381">
        <v>3.0249999999999999E-3</v>
      </c>
      <c r="AV851" s="464"/>
      <c r="AW851" s="465"/>
    </row>
    <row r="852" spans="35:49">
      <c r="AI852" s="464">
        <f t="shared" si="49"/>
        <v>832</v>
      </c>
      <c r="AJ852" s="473">
        <v>44085</v>
      </c>
      <c r="AK852" s="474">
        <v>17555.87</v>
      </c>
      <c r="AL852" s="475">
        <v>-1.2999999999999999E-3</v>
      </c>
      <c r="AM852" s="475">
        <f t="shared" si="51"/>
        <v>-1.3350899408055561E-3</v>
      </c>
      <c r="AN852" s="464"/>
      <c r="AO852" s="464"/>
      <c r="AR852" s="464">
        <f t="shared" si="50"/>
        <v>832</v>
      </c>
      <c r="AS852" s="464" t="s">
        <v>1806</v>
      </c>
      <c r="AT852" s="381">
        <v>3.055E-3</v>
      </c>
      <c r="AV852" s="464"/>
      <c r="AW852" s="465"/>
    </row>
    <row r="853" spans="35:49">
      <c r="AI853" s="464">
        <f t="shared" ref="AI853:AI916" si="52">AI852+1</f>
        <v>833</v>
      </c>
      <c r="AJ853" s="473">
        <v>44088</v>
      </c>
      <c r="AK853" s="474">
        <v>17677.259999999998</v>
      </c>
      <c r="AL853" s="475">
        <v>6.8999999999999999E-3</v>
      </c>
      <c r="AM853" s="475">
        <f t="shared" si="51"/>
        <v>6.9144964049061564E-3</v>
      </c>
      <c r="AN853" s="464"/>
      <c r="AO853" s="464"/>
      <c r="AR853" s="464">
        <f t="shared" ref="AR853:AR916" si="53">AR852+1</f>
        <v>833</v>
      </c>
      <c r="AS853" s="464" t="s">
        <v>1805</v>
      </c>
      <c r="AT853" s="381">
        <v>3.3900000000000002E-3</v>
      </c>
      <c r="AV853" s="464"/>
      <c r="AW853" s="465"/>
    </row>
    <row r="854" spans="35:49">
      <c r="AI854" s="464">
        <f t="shared" si="52"/>
        <v>834</v>
      </c>
      <c r="AJ854" s="473">
        <v>44089</v>
      </c>
      <c r="AK854" s="474">
        <v>17815.38</v>
      </c>
      <c r="AL854" s="475">
        <v>7.7999999999999996E-3</v>
      </c>
      <c r="AM854" s="475">
        <f t="shared" ref="AM854:AM917" si="54">AK854/AK853-1</f>
        <v>7.8134280991513094E-3</v>
      </c>
      <c r="AN854" s="464"/>
      <c r="AO854" s="464"/>
      <c r="AR854" s="464">
        <f t="shared" si="53"/>
        <v>834</v>
      </c>
      <c r="AS854" s="464" t="s">
        <v>1804</v>
      </c>
      <c r="AT854" s="381">
        <v>3.0100000000000001E-3</v>
      </c>
      <c r="AV854" s="464"/>
      <c r="AW854" s="465"/>
    </row>
    <row r="855" spans="35:49">
      <c r="AI855" s="464">
        <f t="shared" si="52"/>
        <v>835</v>
      </c>
      <c r="AJ855" s="473">
        <v>44090</v>
      </c>
      <c r="AK855" s="474">
        <v>17795.259999999998</v>
      </c>
      <c r="AL855" s="475">
        <v>-1.1000000000000001E-3</v>
      </c>
      <c r="AM855" s="475">
        <f t="shared" si="54"/>
        <v>-1.1293612597655933E-3</v>
      </c>
      <c r="AN855" s="464"/>
      <c r="AO855" s="464"/>
      <c r="AR855" s="464">
        <f t="shared" si="53"/>
        <v>835</v>
      </c>
      <c r="AS855" s="464" t="s">
        <v>1803</v>
      </c>
      <c r="AT855" s="381">
        <v>3.0000000000000001E-3</v>
      </c>
      <c r="AV855" s="464"/>
      <c r="AW855" s="465"/>
    </row>
    <row r="856" spans="35:49">
      <c r="AI856" s="464">
        <f t="shared" si="52"/>
        <v>836</v>
      </c>
      <c r="AJ856" s="473">
        <v>44091</v>
      </c>
      <c r="AK856" s="474">
        <v>17737.72</v>
      </c>
      <c r="AL856" s="475">
        <v>-3.2000000000000002E-3</v>
      </c>
      <c r="AM856" s="475">
        <f t="shared" si="54"/>
        <v>-3.2334453107174532E-3</v>
      </c>
      <c r="AN856" s="464"/>
      <c r="AO856" s="464"/>
      <c r="AR856" s="464">
        <f t="shared" si="53"/>
        <v>836</v>
      </c>
      <c r="AS856" s="464" t="s">
        <v>1802</v>
      </c>
      <c r="AT856" s="381">
        <v>3.0200000000000001E-3</v>
      </c>
      <c r="AV856" s="464"/>
      <c r="AW856" s="465"/>
    </row>
    <row r="857" spans="35:49">
      <c r="AI857" s="464">
        <f t="shared" si="52"/>
        <v>837</v>
      </c>
      <c r="AJ857" s="473">
        <v>44092</v>
      </c>
      <c r="AK857" s="474">
        <v>17569.68</v>
      </c>
      <c r="AL857" s="475">
        <v>-9.4999999999999998E-3</v>
      </c>
      <c r="AM857" s="475">
        <f t="shared" si="54"/>
        <v>-9.4735963810456125E-3</v>
      </c>
      <c r="AN857" s="464"/>
      <c r="AO857" s="464"/>
      <c r="AR857" s="464">
        <f t="shared" si="53"/>
        <v>837</v>
      </c>
      <c r="AS857" s="464" t="s">
        <v>1801</v>
      </c>
      <c r="AT857" s="381">
        <v>2.9549999999999997E-3</v>
      </c>
      <c r="AV857" s="464"/>
      <c r="AW857" s="465"/>
    </row>
    <row r="858" spans="35:49">
      <c r="AI858" s="464">
        <f t="shared" si="52"/>
        <v>838</v>
      </c>
      <c r="AJ858" s="473">
        <v>44095</v>
      </c>
      <c r="AK858" s="474">
        <v>16870.78</v>
      </c>
      <c r="AL858" s="475">
        <v>-3.9800000000000002E-2</v>
      </c>
      <c r="AM858" s="475">
        <f t="shared" si="54"/>
        <v>-3.9778755219218698E-2</v>
      </c>
      <c r="AN858" s="464"/>
      <c r="AO858" s="464"/>
      <c r="AR858" s="464">
        <f t="shared" si="53"/>
        <v>838</v>
      </c>
      <c r="AS858" s="464" t="s">
        <v>1800</v>
      </c>
      <c r="AT858" s="381">
        <v>3.3600000000000001E-3</v>
      </c>
      <c r="AV858" s="464"/>
      <c r="AW858" s="465"/>
    </row>
    <row r="859" spans="35:49">
      <c r="AI859" s="464">
        <f t="shared" si="52"/>
        <v>839</v>
      </c>
      <c r="AJ859" s="473">
        <v>44096</v>
      </c>
      <c r="AK859" s="474">
        <v>16821.66</v>
      </c>
      <c r="AL859" s="475">
        <v>-2.8999999999999998E-3</v>
      </c>
      <c r="AM859" s="475">
        <f t="shared" si="54"/>
        <v>-2.9115429162136497E-3</v>
      </c>
      <c r="AN859" s="464"/>
      <c r="AO859" s="464"/>
      <c r="AR859" s="464">
        <f t="shared" si="53"/>
        <v>839</v>
      </c>
      <c r="AS859" s="464" t="s">
        <v>1799</v>
      </c>
      <c r="AT859" s="381">
        <v>2.98E-3</v>
      </c>
      <c r="AV859" s="464"/>
      <c r="AW859" s="465"/>
    </row>
    <row r="860" spans="35:49">
      <c r="AI860" s="464">
        <f t="shared" si="52"/>
        <v>840</v>
      </c>
      <c r="AJ860" s="473">
        <v>44097</v>
      </c>
      <c r="AK860" s="474">
        <v>16992.990000000002</v>
      </c>
      <c r="AL860" s="475">
        <v>1.0200000000000001E-2</v>
      </c>
      <c r="AM860" s="475">
        <f t="shared" si="54"/>
        <v>1.0185082803956469E-2</v>
      </c>
      <c r="AN860" s="464"/>
      <c r="AO860" s="464"/>
      <c r="AR860" s="464">
        <f t="shared" si="53"/>
        <v>840</v>
      </c>
      <c r="AS860" s="464" t="s">
        <v>1798</v>
      </c>
      <c r="AT860" s="381">
        <v>3.2600000000000003E-3</v>
      </c>
      <c r="AV860" s="464"/>
      <c r="AW860" s="465"/>
    </row>
    <row r="861" spans="35:49">
      <c r="AI861" s="464">
        <f t="shared" si="52"/>
        <v>841</v>
      </c>
      <c r="AJ861" s="473">
        <v>44098</v>
      </c>
      <c r="AK861" s="474">
        <v>16802.689999999999</v>
      </c>
      <c r="AL861" s="475">
        <v>-1.12E-2</v>
      </c>
      <c r="AM861" s="475">
        <f t="shared" si="54"/>
        <v>-1.1198735478571087E-2</v>
      </c>
      <c r="AN861" s="464"/>
      <c r="AO861" s="464"/>
      <c r="AR861" s="464">
        <f t="shared" si="53"/>
        <v>841</v>
      </c>
      <c r="AS861" s="464" t="s">
        <v>1797</v>
      </c>
      <c r="AT861" s="381">
        <v>2.9299999999999999E-3</v>
      </c>
      <c r="AV861" s="464"/>
      <c r="AW861" s="465"/>
    </row>
    <row r="862" spans="35:49">
      <c r="AI862" s="464">
        <f t="shared" si="52"/>
        <v>842</v>
      </c>
      <c r="AJ862" s="473">
        <v>44099</v>
      </c>
      <c r="AK862" s="474">
        <v>17044.12</v>
      </c>
      <c r="AL862" s="475">
        <v>1.44E-2</v>
      </c>
      <c r="AM862" s="475">
        <f t="shared" si="54"/>
        <v>1.4368532657568434E-2</v>
      </c>
      <c r="AN862" s="464"/>
      <c r="AO862" s="464"/>
      <c r="AR862" s="464">
        <f t="shared" si="53"/>
        <v>842</v>
      </c>
      <c r="AS862" s="464" t="s">
        <v>1796</v>
      </c>
      <c r="AT862" s="381">
        <v>2.9199999999999999E-3</v>
      </c>
      <c r="AV862" s="464"/>
      <c r="AW862" s="465"/>
    </row>
    <row r="863" spans="35:49">
      <c r="AI863" s="464">
        <f t="shared" si="52"/>
        <v>843</v>
      </c>
      <c r="AJ863" s="473">
        <v>44102</v>
      </c>
      <c r="AK863" s="474">
        <v>17370.27</v>
      </c>
      <c r="AL863" s="475">
        <v>1.9099999999999999E-2</v>
      </c>
      <c r="AM863" s="475">
        <f t="shared" si="54"/>
        <v>1.9135631525710961E-2</v>
      </c>
      <c r="AN863" s="464"/>
      <c r="AO863" s="464"/>
      <c r="AR863" s="464">
        <f t="shared" si="53"/>
        <v>843</v>
      </c>
      <c r="AS863" s="464" t="s">
        <v>1795</v>
      </c>
      <c r="AT863" s="381">
        <v>2.8599999999999997E-3</v>
      </c>
      <c r="AV863" s="464"/>
      <c r="AW863" s="465"/>
    </row>
    <row r="864" spans="35:49">
      <c r="AI864" s="464">
        <f t="shared" si="52"/>
        <v>844</v>
      </c>
      <c r="AJ864" s="473">
        <v>44103</v>
      </c>
      <c r="AK864" s="474">
        <v>17173.66</v>
      </c>
      <c r="AL864" s="475">
        <v>-1.1299999999999999E-2</v>
      </c>
      <c r="AM864" s="475">
        <f t="shared" si="54"/>
        <v>-1.1318764763011746E-2</v>
      </c>
      <c r="AN864" s="464"/>
      <c r="AO864" s="464"/>
      <c r="AR864" s="464">
        <f t="shared" si="53"/>
        <v>844</v>
      </c>
      <c r="AS864" s="464" t="s">
        <v>1794</v>
      </c>
      <c r="AT864" s="381">
        <v>3.0100000000000001E-3</v>
      </c>
      <c r="AV864" s="464"/>
      <c r="AW864" s="465"/>
    </row>
    <row r="865" spans="35:49">
      <c r="AI865" s="464">
        <f t="shared" si="52"/>
        <v>845</v>
      </c>
      <c r="AJ865" s="473">
        <v>44104</v>
      </c>
      <c r="AK865" s="474">
        <v>17315.3</v>
      </c>
      <c r="AL865" s="475">
        <v>8.2000000000000007E-3</v>
      </c>
      <c r="AM865" s="475">
        <f t="shared" si="54"/>
        <v>8.2475139253950225E-3</v>
      </c>
      <c r="AN865" s="464"/>
      <c r="AO865" s="464"/>
      <c r="AR865" s="464">
        <f t="shared" si="53"/>
        <v>845</v>
      </c>
      <c r="AS865" s="464" t="s">
        <v>1793</v>
      </c>
      <c r="AT865" s="381">
        <v>2.8599999999999997E-3</v>
      </c>
      <c r="AV865" s="464"/>
      <c r="AW865" s="465"/>
    </row>
    <row r="866" spans="35:49">
      <c r="AI866" s="464">
        <f t="shared" si="52"/>
        <v>846</v>
      </c>
      <c r="AJ866" s="473">
        <v>44105</v>
      </c>
      <c r="AK866" s="474">
        <v>17383.46</v>
      </c>
      <c r="AL866" s="475">
        <v>3.8999999999999998E-3</v>
      </c>
      <c r="AM866" s="475">
        <f t="shared" si="54"/>
        <v>3.9364030654969184E-3</v>
      </c>
      <c r="AN866" s="464"/>
      <c r="AO866" s="464"/>
      <c r="AR866" s="464">
        <f t="shared" si="53"/>
        <v>846</v>
      </c>
      <c r="AS866" s="464" t="s">
        <v>1792</v>
      </c>
      <c r="AT866" s="381">
        <v>2.8499999999999997E-3</v>
      </c>
      <c r="AV866" s="464"/>
      <c r="AW866" s="465"/>
    </row>
    <row r="867" spans="35:49">
      <c r="AI867" s="464">
        <f t="shared" si="52"/>
        <v>847</v>
      </c>
      <c r="AJ867" s="473">
        <v>44106</v>
      </c>
      <c r="AK867" s="474">
        <v>17395.810000000001</v>
      </c>
      <c r="AL867" s="475">
        <v>6.9999999999999999E-4</v>
      </c>
      <c r="AM867" s="475">
        <f t="shared" si="54"/>
        <v>7.1044544641862828E-4</v>
      </c>
      <c r="AN867" s="464"/>
      <c r="AO867" s="464"/>
      <c r="AR867" s="464">
        <f t="shared" si="53"/>
        <v>847</v>
      </c>
      <c r="AS867" s="464" t="s">
        <v>1791</v>
      </c>
      <c r="AT867" s="381">
        <v>2.2699999999999999E-3</v>
      </c>
      <c r="AV867" s="464"/>
      <c r="AW867" s="465"/>
    </row>
    <row r="868" spans="35:49">
      <c r="AI868" s="464">
        <f t="shared" si="52"/>
        <v>848</v>
      </c>
      <c r="AJ868" s="473">
        <v>44109</v>
      </c>
      <c r="AK868" s="474">
        <v>17583.09</v>
      </c>
      <c r="AL868" s="475">
        <v>1.0800000000000001E-2</v>
      </c>
      <c r="AM868" s="475">
        <f t="shared" si="54"/>
        <v>1.0765810847554569E-2</v>
      </c>
      <c r="AN868" s="464"/>
      <c r="AO868" s="464"/>
      <c r="AR868" s="464">
        <f t="shared" si="53"/>
        <v>848</v>
      </c>
      <c r="AS868" s="464" t="s">
        <v>1790</v>
      </c>
      <c r="AT868" s="381">
        <v>2.4599999999999999E-3</v>
      </c>
      <c r="AV868" s="464"/>
      <c r="AW868" s="465"/>
    </row>
    <row r="869" spans="35:49">
      <c r="AI869" s="464">
        <f t="shared" si="52"/>
        <v>849</v>
      </c>
      <c r="AJ869" s="473">
        <v>44110</v>
      </c>
      <c r="AK869" s="474">
        <v>17797.439999999999</v>
      </c>
      <c r="AL869" s="475">
        <v>1.2200000000000001E-2</v>
      </c>
      <c r="AM869" s="475">
        <f t="shared" si="54"/>
        <v>1.2190690032297891E-2</v>
      </c>
      <c r="AN869" s="464"/>
      <c r="AO869" s="464"/>
      <c r="AR869" s="464">
        <f t="shared" si="53"/>
        <v>849</v>
      </c>
      <c r="AS869" s="464" t="s">
        <v>1789</v>
      </c>
      <c r="AT869" s="381">
        <v>2.4650000000000002E-3</v>
      </c>
      <c r="AV869" s="464"/>
      <c r="AW869" s="465"/>
    </row>
    <row r="870" spans="35:49">
      <c r="AI870" s="464">
        <f t="shared" si="52"/>
        <v>850</v>
      </c>
      <c r="AJ870" s="473">
        <v>44111</v>
      </c>
      <c r="AK870" s="474">
        <v>17801.75</v>
      </c>
      <c r="AL870" s="475">
        <v>2.0000000000000001E-4</v>
      </c>
      <c r="AM870" s="475">
        <f t="shared" si="54"/>
        <v>2.4216966035561782E-4</v>
      </c>
      <c r="AN870" s="464"/>
      <c r="AO870" s="464"/>
      <c r="AR870" s="464">
        <f t="shared" si="53"/>
        <v>850</v>
      </c>
      <c r="AS870" s="464" t="s">
        <v>1788</v>
      </c>
      <c r="AT870" s="381">
        <v>2.32E-3</v>
      </c>
      <c r="AV870" s="464"/>
      <c r="AW870" s="465"/>
    </row>
    <row r="871" spans="35:49">
      <c r="AI871" s="464">
        <f t="shared" si="52"/>
        <v>851</v>
      </c>
      <c r="AJ871" s="473">
        <v>44112</v>
      </c>
      <c r="AK871" s="474">
        <v>17946.16</v>
      </c>
      <c r="AL871" s="475">
        <v>8.0999999999999996E-3</v>
      </c>
      <c r="AM871" s="475">
        <f t="shared" si="54"/>
        <v>8.1121238080525959E-3</v>
      </c>
      <c r="AN871" s="464"/>
      <c r="AO871" s="464"/>
      <c r="AR871" s="464">
        <f t="shared" si="53"/>
        <v>851</v>
      </c>
      <c r="AS871" s="464" t="s">
        <v>1787</v>
      </c>
      <c r="AT871" s="381">
        <v>2.0599999999999998E-3</v>
      </c>
      <c r="AV871" s="464"/>
      <c r="AW871" s="465"/>
    </row>
    <row r="872" spans="35:49">
      <c r="AI872" s="464">
        <f t="shared" si="52"/>
        <v>852</v>
      </c>
      <c r="AJ872" s="473">
        <v>44113</v>
      </c>
      <c r="AK872" s="474">
        <v>18074.419999999998</v>
      </c>
      <c r="AL872" s="475">
        <v>7.1000000000000004E-3</v>
      </c>
      <c r="AM872" s="475">
        <f t="shared" si="54"/>
        <v>7.1469328257409703E-3</v>
      </c>
      <c r="AN872" s="464"/>
      <c r="AO872" s="464"/>
      <c r="AR872" s="464">
        <f t="shared" si="53"/>
        <v>852</v>
      </c>
      <c r="AS872" s="464" t="s">
        <v>1786</v>
      </c>
      <c r="AT872" s="381">
        <v>2.32E-3</v>
      </c>
      <c r="AV872" s="464"/>
      <c r="AW872" s="465"/>
    </row>
    <row r="873" spans="35:49">
      <c r="AI873" s="464">
        <f t="shared" si="52"/>
        <v>853</v>
      </c>
      <c r="AJ873" s="473">
        <v>44116</v>
      </c>
      <c r="AK873" s="474">
        <v>18167.71</v>
      </c>
      <c r="AL873" s="475">
        <v>5.1999999999999998E-3</v>
      </c>
      <c r="AM873" s="475">
        <f t="shared" si="54"/>
        <v>5.1614380987052844E-3</v>
      </c>
      <c r="AN873" s="464"/>
      <c r="AO873" s="464"/>
      <c r="AR873" s="464">
        <f t="shared" si="53"/>
        <v>853</v>
      </c>
      <c r="AS873" s="464" t="s">
        <v>1785</v>
      </c>
      <c r="AT873" s="381">
        <v>2.3499999999999997E-3</v>
      </c>
      <c r="AV873" s="464"/>
      <c r="AW873" s="465"/>
    </row>
    <row r="874" spans="35:49">
      <c r="AI874" s="464">
        <f t="shared" si="52"/>
        <v>854</v>
      </c>
      <c r="AJ874" s="473">
        <v>44117</v>
      </c>
      <c r="AK874" s="474">
        <v>17891.009999999998</v>
      </c>
      <c r="AL874" s="475">
        <v>-1.52E-2</v>
      </c>
      <c r="AM874" s="475">
        <f t="shared" si="54"/>
        <v>-1.5230317965225115E-2</v>
      </c>
      <c r="AN874" s="464"/>
      <c r="AO874" s="464"/>
      <c r="AR874" s="464">
        <f t="shared" si="53"/>
        <v>854</v>
      </c>
      <c r="AS874" s="464" t="s">
        <v>1784</v>
      </c>
      <c r="AT874" s="381">
        <v>2.3250000000000002E-3</v>
      </c>
      <c r="AV874" s="464"/>
      <c r="AW874" s="465"/>
    </row>
    <row r="875" spans="35:49">
      <c r="AI875" s="464">
        <f t="shared" si="52"/>
        <v>855</v>
      </c>
      <c r="AJ875" s="473">
        <v>44118</v>
      </c>
      <c r="AK875" s="474">
        <v>17950.41</v>
      </c>
      <c r="AL875" s="475">
        <v>3.3E-3</v>
      </c>
      <c r="AM875" s="475">
        <f t="shared" si="54"/>
        <v>3.3201032250276263E-3</v>
      </c>
      <c r="AN875" s="464"/>
      <c r="AO875" s="464"/>
      <c r="AR875" s="464">
        <f t="shared" si="53"/>
        <v>855</v>
      </c>
      <c r="AS875" s="464" t="s">
        <v>1783</v>
      </c>
      <c r="AT875" s="381">
        <v>2.7000000000000001E-3</v>
      </c>
      <c r="AV875" s="464"/>
      <c r="AW875" s="465"/>
    </row>
    <row r="876" spans="35:49">
      <c r="AI876" s="464">
        <f t="shared" si="52"/>
        <v>856</v>
      </c>
      <c r="AJ876" s="473">
        <v>44119</v>
      </c>
      <c r="AK876" s="474">
        <v>17838.45</v>
      </c>
      <c r="AL876" s="475">
        <v>-6.1999999999999998E-3</v>
      </c>
      <c r="AM876" s="475">
        <f t="shared" si="54"/>
        <v>-6.2371834403781579E-3</v>
      </c>
      <c r="AN876" s="464"/>
      <c r="AO876" s="464"/>
      <c r="AR876" s="464">
        <f t="shared" si="53"/>
        <v>856</v>
      </c>
      <c r="AS876" s="464" t="s">
        <v>1782</v>
      </c>
      <c r="AT876" s="381">
        <v>2.49E-3</v>
      </c>
      <c r="AV876" s="464"/>
      <c r="AW876" s="465"/>
    </row>
    <row r="877" spans="35:49">
      <c r="AI877" s="464">
        <f t="shared" si="52"/>
        <v>857</v>
      </c>
      <c r="AJ877" s="473">
        <v>44120</v>
      </c>
      <c r="AK877" s="474">
        <v>17822.91</v>
      </c>
      <c r="AL877" s="475">
        <v>-8.9999999999999998E-4</v>
      </c>
      <c r="AM877" s="475">
        <f t="shared" si="54"/>
        <v>-8.7115192183184753E-4</v>
      </c>
      <c r="AN877" s="464"/>
      <c r="AO877" s="464"/>
      <c r="AR877" s="464">
        <f t="shared" si="53"/>
        <v>857</v>
      </c>
      <c r="AS877" s="464" t="s">
        <v>1781</v>
      </c>
      <c r="AT877" s="381">
        <v>2.0799999999999998E-3</v>
      </c>
      <c r="AV877" s="464"/>
      <c r="AW877" s="465"/>
    </row>
    <row r="878" spans="35:49">
      <c r="AI878" s="464">
        <f t="shared" si="52"/>
        <v>858</v>
      </c>
      <c r="AJ878" s="473">
        <v>44123</v>
      </c>
      <c r="AK878" s="474">
        <v>17866.080000000002</v>
      </c>
      <c r="AL878" s="475">
        <v>2.3999999999999998E-3</v>
      </c>
      <c r="AM878" s="475">
        <f t="shared" si="54"/>
        <v>2.422163384093956E-3</v>
      </c>
      <c r="AN878" s="464"/>
      <c r="AO878" s="464"/>
      <c r="AR878" s="464">
        <f t="shared" si="53"/>
        <v>858</v>
      </c>
      <c r="AS878" s="464" t="s">
        <v>1780</v>
      </c>
      <c r="AT878" s="381">
        <v>2.0599999999999998E-3</v>
      </c>
      <c r="AV878" s="464"/>
      <c r="AW878" s="465"/>
    </row>
    <row r="879" spans="35:49">
      <c r="AI879" s="464">
        <f t="shared" si="52"/>
        <v>859</v>
      </c>
      <c r="AJ879" s="473">
        <v>44124</v>
      </c>
      <c r="AK879" s="474">
        <v>17929.2</v>
      </c>
      <c r="AL879" s="475">
        <v>3.5000000000000001E-3</v>
      </c>
      <c r="AM879" s="475">
        <f t="shared" si="54"/>
        <v>3.5329518282689598E-3</v>
      </c>
      <c r="AN879" s="464"/>
      <c r="AO879" s="464"/>
      <c r="AR879" s="464">
        <f t="shared" si="53"/>
        <v>859</v>
      </c>
      <c r="AS879" s="464" t="s">
        <v>1779</v>
      </c>
      <c r="AT879" s="381">
        <v>2.33E-3</v>
      </c>
      <c r="AV879" s="464"/>
      <c r="AW879" s="465"/>
    </row>
    <row r="880" spans="35:49">
      <c r="AI880" s="464">
        <f t="shared" si="52"/>
        <v>860</v>
      </c>
      <c r="AJ880" s="473">
        <v>44125</v>
      </c>
      <c r="AK880" s="474">
        <v>17787.82</v>
      </c>
      <c r="AL880" s="475">
        <v>-7.9000000000000008E-3</v>
      </c>
      <c r="AM880" s="475">
        <f t="shared" si="54"/>
        <v>-7.885460589429627E-3</v>
      </c>
      <c r="AN880" s="464"/>
      <c r="AO880" s="464"/>
      <c r="AR880" s="464">
        <f t="shared" si="53"/>
        <v>860</v>
      </c>
      <c r="AS880" s="464" t="s">
        <v>1778</v>
      </c>
      <c r="AT880" s="381">
        <v>2.32E-3</v>
      </c>
      <c r="AV880" s="464"/>
      <c r="AW880" s="465"/>
    </row>
    <row r="881" spans="35:49">
      <c r="AI881" s="464">
        <f t="shared" si="52"/>
        <v>861</v>
      </c>
      <c r="AJ881" s="473">
        <v>44126</v>
      </c>
      <c r="AK881" s="474">
        <v>17894.419999999998</v>
      </c>
      <c r="AL881" s="475">
        <v>6.0000000000000001E-3</v>
      </c>
      <c r="AM881" s="475">
        <f t="shared" si="54"/>
        <v>5.992864780506979E-3</v>
      </c>
      <c r="AN881" s="464"/>
      <c r="AO881" s="464"/>
      <c r="AR881" s="464">
        <f t="shared" si="53"/>
        <v>861</v>
      </c>
      <c r="AS881" s="464" t="s">
        <v>1777</v>
      </c>
      <c r="AT881" s="381">
        <v>2.2500000000000003E-3</v>
      </c>
      <c r="AV881" s="464"/>
      <c r="AW881" s="465"/>
    </row>
    <row r="882" spans="35:49">
      <c r="AI882" s="464">
        <f t="shared" si="52"/>
        <v>862</v>
      </c>
      <c r="AJ882" s="473">
        <v>44127</v>
      </c>
      <c r="AK882" s="474">
        <v>18109.57</v>
      </c>
      <c r="AL882" s="475">
        <v>1.2E-2</v>
      </c>
      <c r="AM882" s="475">
        <f t="shared" si="54"/>
        <v>1.2023301118449403E-2</v>
      </c>
      <c r="AN882" s="464"/>
      <c r="AO882" s="464"/>
      <c r="AR882" s="464">
        <f t="shared" si="53"/>
        <v>862</v>
      </c>
      <c r="AS882" s="464" t="s">
        <v>1776</v>
      </c>
      <c r="AT882" s="381">
        <v>2.5500000000000002E-3</v>
      </c>
      <c r="AV882" s="464"/>
      <c r="AW882" s="465"/>
    </row>
    <row r="883" spans="35:49">
      <c r="AI883" s="464">
        <f t="shared" si="52"/>
        <v>863</v>
      </c>
      <c r="AJ883" s="473">
        <v>44130</v>
      </c>
      <c r="AK883" s="474">
        <v>17853.3</v>
      </c>
      <c r="AL883" s="475">
        <v>-1.4200000000000001E-2</v>
      </c>
      <c r="AM883" s="475">
        <f t="shared" si="54"/>
        <v>-1.4151081444783054E-2</v>
      </c>
      <c r="AN883" s="464"/>
      <c r="AO883" s="464"/>
      <c r="AR883" s="464">
        <f t="shared" si="53"/>
        <v>863</v>
      </c>
      <c r="AS883" s="464" t="s">
        <v>1775</v>
      </c>
      <c r="AT883" s="381">
        <v>2.47E-3</v>
      </c>
      <c r="AV883" s="464"/>
      <c r="AW883" s="465"/>
    </row>
    <row r="884" spans="35:49">
      <c r="AI884" s="464">
        <f t="shared" si="52"/>
        <v>864</v>
      </c>
      <c r="AJ884" s="473">
        <v>44131</v>
      </c>
      <c r="AK884" s="474">
        <v>17587.71</v>
      </c>
      <c r="AL884" s="475">
        <v>-1.49E-2</v>
      </c>
      <c r="AM884" s="475">
        <f t="shared" si="54"/>
        <v>-1.4876241367142162E-2</v>
      </c>
      <c r="AN884" s="464"/>
      <c r="AO884" s="464"/>
      <c r="AR884" s="464">
        <f t="shared" si="53"/>
        <v>864</v>
      </c>
      <c r="AS884" s="464" t="s">
        <v>1774</v>
      </c>
      <c r="AT884" s="381">
        <v>2.2899999999999999E-3</v>
      </c>
      <c r="AV884" s="464"/>
      <c r="AW884" s="465"/>
    </row>
    <row r="885" spans="35:49">
      <c r="AI885" s="464">
        <f t="shared" si="52"/>
        <v>865</v>
      </c>
      <c r="AJ885" s="473">
        <v>44132</v>
      </c>
      <c r="AK885" s="474">
        <v>17248.91</v>
      </c>
      <c r="AL885" s="475">
        <v>-1.9300000000000001E-2</v>
      </c>
      <c r="AM885" s="475">
        <f t="shared" si="54"/>
        <v>-1.9263451580677549E-2</v>
      </c>
      <c r="AN885" s="464"/>
      <c r="AO885" s="464"/>
      <c r="AR885" s="464">
        <f t="shared" si="53"/>
        <v>865</v>
      </c>
      <c r="AS885" s="464" t="s">
        <v>1773</v>
      </c>
      <c r="AT885" s="381">
        <v>1.7299999999999998E-3</v>
      </c>
      <c r="AV885" s="464"/>
      <c r="AW885" s="465"/>
    </row>
    <row r="886" spans="35:49">
      <c r="AI886" s="464">
        <f t="shared" si="52"/>
        <v>866</v>
      </c>
      <c r="AJ886" s="473">
        <v>44133</v>
      </c>
      <c r="AK886" s="474">
        <v>17177.68</v>
      </c>
      <c r="AL886" s="475">
        <v>-4.1000000000000003E-3</v>
      </c>
      <c r="AM886" s="475">
        <f t="shared" si="54"/>
        <v>-4.1295363011343289E-3</v>
      </c>
      <c r="AN886" s="464"/>
      <c r="AO886" s="464"/>
      <c r="AR886" s="464">
        <f t="shared" si="53"/>
        <v>866</v>
      </c>
      <c r="AS886" s="464" t="s">
        <v>1772</v>
      </c>
      <c r="AT886" s="381">
        <v>1.7399999999999998E-3</v>
      </c>
      <c r="AV886" s="464"/>
      <c r="AW886" s="465"/>
    </row>
    <row r="887" spans="35:49">
      <c r="AI887" s="464">
        <f t="shared" si="52"/>
        <v>867</v>
      </c>
      <c r="AJ887" s="473">
        <v>44134</v>
      </c>
      <c r="AK887" s="474">
        <v>17214.38</v>
      </c>
      <c r="AL887" s="475">
        <v>2.0999999999999999E-3</v>
      </c>
      <c r="AM887" s="475">
        <f t="shared" si="54"/>
        <v>2.1364934030672078E-3</v>
      </c>
      <c r="AN887" s="464"/>
      <c r="AO887" s="464"/>
      <c r="AR887" s="464">
        <f t="shared" si="53"/>
        <v>867</v>
      </c>
      <c r="AS887" s="464" t="s">
        <v>1771</v>
      </c>
      <c r="AT887" s="381">
        <v>1.7000000000000001E-3</v>
      </c>
      <c r="AV887" s="464"/>
      <c r="AW887" s="465"/>
    </row>
    <row r="888" spans="35:49">
      <c r="AI888" s="464">
        <f t="shared" si="52"/>
        <v>868</v>
      </c>
      <c r="AJ888" s="473">
        <v>44137</v>
      </c>
      <c r="AK888" s="474">
        <v>17180.52</v>
      </c>
      <c r="AL888" s="475">
        <v>-2E-3</v>
      </c>
      <c r="AM888" s="475">
        <f t="shared" si="54"/>
        <v>-1.9669601809649828E-3</v>
      </c>
      <c r="AN888" s="464"/>
      <c r="AO888" s="464"/>
      <c r="AR888" s="464">
        <f t="shared" si="53"/>
        <v>868</v>
      </c>
      <c r="AS888" s="464" t="s">
        <v>1770</v>
      </c>
      <c r="AT888" s="381">
        <v>1.7349999999999998E-3</v>
      </c>
      <c r="AV888" s="464"/>
      <c r="AW888" s="465"/>
    </row>
    <row r="889" spans="35:49">
      <c r="AI889" s="464">
        <f t="shared" si="52"/>
        <v>869</v>
      </c>
      <c r="AJ889" s="473">
        <v>44138</v>
      </c>
      <c r="AK889" s="474">
        <v>17491.7</v>
      </c>
      <c r="AL889" s="475">
        <v>1.8100000000000002E-2</v>
      </c>
      <c r="AM889" s="475">
        <f t="shared" si="54"/>
        <v>1.8112373781468794E-2</v>
      </c>
      <c r="AN889" s="464"/>
      <c r="AO889" s="464"/>
      <c r="AR889" s="464">
        <f t="shared" si="53"/>
        <v>869</v>
      </c>
      <c r="AS889" s="464" t="s">
        <v>1769</v>
      </c>
      <c r="AT889" s="381">
        <v>2.14E-3</v>
      </c>
      <c r="AV889" s="464"/>
      <c r="AW889" s="465"/>
    </row>
    <row r="890" spans="35:49">
      <c r="AI890" s="464">
        <f t="shared" si="52"/>
        <v>870</v>
      </c>
      <c r="AJ890" s="473">
        <v>44139</v>
      </c>
      <c r="AK890" s="474">
        <v>17796.080000000002</v>
      </c>
      <c r="AL890" s="475">
        <v>1.7399999999999999E-2</v>
      </c>
      <c r="AM890" s="475">
        <f t="shared" si="54"/>
        <v>1.7401396090717336E-2</v>
      </c>
      <c r="AN890" s="464"/>
      <c r="AO890" s="464"/>
      <c r="AR890" s="464">
        <f t="shared" si="53"/>
        <v>870</v>
      </c>
      <c r="AS890" s="464" t="s">
        <v>1768</v>
      </c>
      <c r="AT890" s="381">
        <v>1.92E-3</v>
      </c>
      <c r="AV890" s="464"/>
      <c r="AW890" s="465"/>
    </row>
    <row r="891" spans="35:49">
      <c r="AI891" s="464">
        <f t="shared" si="52"/>
        <v>871</v>
      </c>
      <c r="AJ891" s="473">
        <v>44140</v>
      </c>
      <c r="AK891" s="474">
        <v>17928.53</v>
      </c>
      <c r="AL891" s="475">
        <v>7.4000000000000003E-3</v>
      </c>
      <c r="AM891" s="475">
        <f t="shared" si="54"/>
        <v>7.4426502915247994E-3</v>
      </c>
      <c r="AN891" s="464"/>
      <c r="AO891" s="464"/>
      <c r="AR891" s="464">
        <f t="shared" si="53"/>
        <v>871</v>
      </c>
      <c r="AS891" s="464" t="s">
        <v>1767</v>
      </c>
      <c r="AT891" s="381">
        <v>2.1199999999999999E-3</v>
      </c>
      <c r="AV891" s="464"/>
      <c r="AW891" s="465"/>
    </row>
    <row r="892" spans="35:49">
      <c r="AI892" s="464">
        <f t="shared" si="52"/>
        <v>872</v>
      </c>
      <c r="AJ892" s="473">
        <v>44141</v>
      </c>
      <c r="AK892" s="474">
        <v>17917.830000000002</v>
      </c>
      <c r="AL892" s="475">
        <v>-5.9999999999999995E-4</v>
      </c>
      <c r="AM892" s="475">
        <f t="shared" si="54"/>
        <v>-5.9681412809620138E-4</v>
      </c>
      <c r="AN892" s="464"/>
      <c r="AO892" s="464"/>
      <c r="AR892" s="464">
        <f t="shared" si="53"/>
        <v>872</v>
      </c>
      <c r="AS892" s="464" t="s">
        <v>1766</v>
      </c>
      <c r="AT892" s="381">
        <v>1.8500000000000001E-3</v>
      </c>
      <c r="AV892" s="464"/>
      <c r="AW892" s="465"/>
    </row>
    <row r="893" spans="35:49">
      <c r="AI893" s="464">
        <f t="shared" si="52"/>
        <v>873</v>
      </c>
      <c r="AJ893" s="473">
        <v>44144</v>
      </c>
      <c r="AK893" s="474">
        <v>18850.36</v>
      </c>
      <c r="AL893" s="475">
        <v>5.1999999999999998E-2</v>
      </c>
      <c r="AM893" s="475">
        <f t="shared" si="54"/>
        <v>5.2044806765104923E-2</v>
      </c>
      <c r="AN893" s="464"/>
      <c r="AO893" s="464"/>
      <c r="AR893" s="464">
        <f t="shared" si="53"/>
        <v>873</v>
      </c>
      <c r="AS893" s="464" t="s">
        <v>1765</v>
      </c>
      <c r="AT893" s="381">
        <v>1.825E-3</v>
      </c>
      <c r="AV893" s="464"/>
      <c r="AW893" s="465"/>
    </row>
    <row r="894" spans="35:49">
      <c r="AI894" s="464">
        <f t="shared" si="52"/>
        <v>874</v>
      </c>
      <c r="AJ894" s="473">
        <v>44145</v>
      </c>
      <c r="AK894" s="474">
        <v>19028.34</v>
      </c>
      <c r="AL894" s="475">
        <v>9.4000000000000004E-3</v>
      </c>
      <c r="AM894" s="475">
        <f t="shared" si="54"/>
        <v>9.4417294948212493E-3</v>
      </c>
      <c r="AN894" s="464"/>
      <c r="AO894" s="464"/>
      <c r="AR894" s="464">
        <f t="shared" si="53"/>
        <v>874</v>
      </c>
      <c r="AS894" s="464" t="s">
        <v>1764</v>
      </c>
      <c r="AT894" s="381">
        <v>2.31E-3</v>
      </c>
      <c r="AV894" s="464"/>
      <c r="AW894" s="465"/>
    </row>
    <row r="895" spans="35:49">
      <c r="AI895" s="464">
        <f t="shared" si="52"/>
        <v>875</v>
      </c>
      <c r="AJ895" s="473">
        <v>44146</v>
      </c>
      <c r="AK895" s="474">
        <v>19340.189999999999</v>
      </c>
      <c r="AL895" s="475">
        <v>1.6400000000000001E-2</v>
      </c>
      <c r="AM895" s="475">
        <f t="shared" si="54"/>
        <v>1.6388712835696539E-2</v>
      </c>
      <c r="AN895" s="464"/>
      <c r="AO895" s="464"/>
      <c r="AR895" s="464">
        <f t="shared" si="53"/>
        <v>875</v>
      </c>
      <c r="AS895" s="464" t="s">
        <v>1763</v>
      </c>
      <c r="AT895" s="381">
        <v>2.2200000000000002E-3</v>
      </c>
      <c r="AV895" s="464"/>
      <c r="AW895" s="465"/>
    </row>
    <row r="896" spans="35:49">
      <c r="AI896" s="464">
        <f t="shared" si="52"/>
        <v>876</v>
      </c>
      <c r="AJ896" s="473">
        <v>44147</v>
      </c>
      <c r="AK896" s="474">
        <v>19302.169999999998</v>
      </c>
      <c r="AL896" s="475">
        <v>-2E-3</v>
      </c>
      <c r="AM896" s="475">
        <f t="shared" si="54"/>
        <v>-1.9658545236629354E-3</v>
      </c>
      <c r="AN896" s="464"/>
      <c r="AO896" s="464"/>
      <c r="AR896" s="464">
        <f t="shared" si="53"/>
        <v>876</v>
      </c>
      <c r="AS896" s="464" t="s">
        <v>1762</v>
      </c>
      <c r="AT896" s="381">
        <v>2.7400000000000002E-3</v>
      </c>
      <c r="AV896" s="464"/>
      <c r="AW896" s="465"/>
    </row>
    <row r="897" spans="35:49">
      <c r="AI897" s="464">
        <f t="shared" si="52"/>
        <v>877</v>
      </c>
      <c r="AJ897" s="473">
        <v>44148</v>
      </c>
      <c r="AK897" s="474">
        <v>19270</v>
      </c>
      <c r="AL897" s="475">
        <v>-1.6999999999999999E-3</v>
      </c>
      <c r="AM897" s="475">
        <f t="shared" si="54"/>
        <v>-1.6666519878334451E-3</v>
      </c>
      <c r="AN897" s="464"/>
      <c r="AO897" s="464"/>
      <c r="AR897" s="464">
        <f t="shared" si="53"/>
        <v>877</v>
      </c>
      <c r="AS897" s="464" t="s">
        <v>1761</v>
      </c>
      <c r="AT897" s="381">
        <v>3.0799999999999998E-3</v>
      </c>
      <c r="AV897" s="464"/>
      <c r="AW897" s="465"/>
    </row>
    <row r="898" spans="35:49">
      <c r="AI898" s="464">
        <f t="shared" si="52"/>
        <v>878</v>
      </c>
      <c r="AJ898" s="473">
        <v>44151</v>
      </c>
      <c r="AK898" s="474">
        <v>19608.05</v>
      </c>
      <c r="AL898" s="475">
        <v>1.7500000000000002E-2</v>
      </c>
      <c r="AM898" s="475">
        <f t="shared" si="54"/>
        <v>1.7542812662169061E-2</v>
      </c>
      <c r="AN898" s="464"/>
      <c r="AO898" s="464"/>
      <c r="AR898" s="464">
        <f t="shared" si="53"/>
        <v>878</v>
      </c>
      <c r="AS898" s="464" t="s">
        <v>1760</v>
      </c>
      <c r="AT898" s="381">
        <v>3.5499999999999998E-3</v>
      </c>
      <c r="AV898" s="464"/>
      <c r="AW898" s="465"/>
    </row>
    <row r="899" spans="35:49">
      <c r="AI899" s="464">
        <f t="shared" si="52"/>
        <v>879</v>
      </c>
      <c r="AJ899" s="473">
        <v>44152</v>
      </c>
      <c r="AK899" s="474">
        <v>19516.169999999998</v>
      </c>
      <c r="AL899" s="475">
        <v>-4.7000000000000002E-3</v>
      </c>
      <c r="AM899" s="475">
        <f t="shared" si="54"/>
        <v>-4.6858305644875697E-3</v>
      </c>
      <c r="AN899" s="464"/>
      <c r="AO899" s="464"/>
      <c r="AR899" s="464">
        <f t="shared" si="53"/>
        <v>879</v>
      </c>
      <c r="AS899" s="464" t="s">
        <v>1759</v>
      </c>
      <c r="AT899" s="381">
        <v>3.5349999999999999E-3</v>
      </c>
      <c r="AV899" s="464"/>
      <c r="AW899" s="465"/>
    </row>
    <row r="900" spans="35:49">
      <c r="AI900" s="464">
        <f t="shared" si="52"/>
        <v>880</v>
      </c>
      <c r="AJ900" s="473">
        <v>44153</v>
      </c>
      <c r="AK900" s="474">
        <v>19699.87</v>
      </c>
      <c r="AL900" s="475">
        <v>9.4000000000000004E-3</v>
      </c>
      <c r="AM900" s="475">
        <f t="shared" si="54"/>
        <v>9.4127075138206173E-3</v>
      </c>
      <c r="AN900" s="464"/>
      <c r="AO900" s="464"/>
      <c r="AR900" s="464">
        <f t="shared" si="53"/>
        <v>880</v>
      </c>
      <c r="AS900" s="464" t="s">
        <v>1758</v>
      </c>
      <c r="AT900" s="381">
        <v>3.5899999999999999E-3</v>
      </c>
      <c r="AV900" s="464"/>
      <c r="AW900" s="465"/>
    </row>
    <row r="901" spans="35:49">
      <c r="AI901" s="464">
        <f t="shared" si="52"/>
        <v>881</v>
      </c>
      <c r="AJ901" s="473">
        <v>44154</v>
      </c>
      <c r="AK901" s="474">
        <v>19506.47</v>
      </c>
      <c r="AL901" s="475">
        <v>-9.7999999999999997E-3</v>
      </c>
      <c r="AM901" s="475">
        <f t="shared" si="54"/>
        <v>-9.8173236676180053E-3</v>
      </c>
      <c r="AN901" s="464"/>
      <c r="AO901" s="464"/>
      <c r="AR901" s="464">
        <f t="shared" si="53"/>
        <v>881</v>
      </c>
      <c r="AS901" s="464" t="s">
        <v>1757</v>
      </c>
      <c r="AT901" s="381">
        <v>3.3500000000000001E-3</v>
      </c>
      <c r="AV901" s="464"/>
      <c r="AW901" s="465"/>
    </row>
    <row r="902" spans="35:49">
      <c r="AI902" s="464">
        <f t="shared" si="52"/>
        <v>882</v>
      </c>
      <c r="AJ902" s="473">
        <v>44155</v>
      </c>
      <c r="AK902" s="474">
        <v>19506.96</v>
      </c>
      <c r="AL902" s="475">
        <v>0</v>
      </c>
      <c r="AM902" s="475">
        <f t="shared" si="54"/>
        <v>2.5119870483925055E-5</v>
      </c>
      <c r="AN902" s="464"/>
      <c r="AO902" s="464"/>
      <c r="AR902" s="464">
        <f t="shared" si="53"/>
        <v>882</v>
      </c>
      <c r="AS902" s="464" t="s">
        <v>1756</v>
      </c>
      <c r="AT902" s="381">
        <v>3.3500000000000001E-3</v>
      </c>
      <c r="AV902" s="464"/>
      <c r="AW902" s="465"/>
    </row>
    <row r="903" spans="35:49">
      <c r="AI903" s="464">
        <f t="shared" si="52"/>
        <v>883</v>
      </c>
      <c r="AJ903" s="473">
        <v>44158</v>
      </c>
      <c r="AK903" s="474">
        <v>19582.349999999999</v>
      </c>
      <c r="AL903" s="475">
        <v>3.8999999999999998E-3</v>
      </c>
      <c r="AM903" s="475">
        <f t="shared" si="54"/>
        <v>3.8647744189765909E-3</v>
      </c>
      <c r="AN903" s="464"/>
      <c r="AO903" s="464"/>
      <c r="AR903" s="464">
        <f t="shared" si="53"/>
        <v>883</v>
      </c>
      <c r="AS903" s="464" t="s">
        <v>1755</v>
      </c>
      <c r="AT903" s="381">
        <v>2.7000000000000001E-3</v>
      </c>
      <c r="AV903" s="464"/>
      <c r="AW903" s="465"/>
    </row>
    <row r="904" spans="35:49">
      <c r="AI904" s="464">
        <f t="shared" si="52"/>
        <v>884</v>
      </c>
      <c r="AJ904" s="473">
        <v>44159</v>
      </c>
      <c r="AK904" s="474">
        <v>19789.560000000001</v>
      </c>
      <c r="AL904" s="475">
        <v>1.06E-2</v>
      </c>
      <c r="AM904" s="475">
        <f t="shared" si="54"/>
        <v>1.0581467494963803E-2</v>
      </c>
      <c r="AN904" s="464"/>
      <c r="AO904" s="464"/>
      <c r="AR904" s="464">
        <f t="shared" si="53"/>
        <v>884</v>
      </c>
      <c r="AS904" s="464" t="s">
        <v>1754</v>
      </c>
      <c r="AT904" s="381">
        <v>1.98E-3</v>
      </c>
      <c r="AV904" s="464"/>
      <c r="AW904" s="465"/>
    </row>
    <row r="905" spans="35:49">
      <c r="AI905" s="464">
        <f t="shared" si="52"/>
        <v>885</v>
      </c>
      <c r="AJ905" s="473">
        <v>44160</v>
      </c>
      <c r="AK905" s="474">
        <v>19569.39</v>
      </c>
      <c r="AL905" s="475">
        <v>-1.11E-2</v>
      </c>
      <c r="AM905" s="475">
        <f t="shared" si="54"/>
        <v>-1.1125563175735209E-2</v>
      </c>
      <c r="AN905" s="464"/>
      <c r="AO905" s="464"/>
      <c r="AR905" s="464">
        <f t="shared" si="53"/>
        <v>885</v>
      </c>
      <c r="AS905" s="464" t="s">
        <v>1753</v>
      </c>
      <c r="AT905" s="381">
        <v>2.0799999999999998E-3</v>
      </c>
      <c r="AV905" s="464"/>
      <c r="AW905" s="465"/>
    </row>
    <row r="906" spans="35:49">
      <c r="AI906" s="464">
        <f t="shared" si="52"/>
        <v>886</v>
      </c>
      <c r="AJ906" s="473">
        <v>44161</v>
      </c>
      <c r="AK906" s="474">
        <v>19396.34</v>
      </c>
      <c r="AL906" s="475">
        <v>-8.8000000000000005E-3</v>
      </c>
      <c r="AM906" s="475">
        <f t="shared" si="54"/>
        <v>-8.8428918837020198E-3</v>
      </c>
      <c r="AN906" s="464"/>
      <c r="AO906" s="464"/>
      <c r="AR906" s="464">
        <f t="shared" si="53"/>
        <v>886</v>
      </c>
      <c r="AS906" s="464" t="s">
        <v>1752</v>
      </c>
      <c r="AT906" s="381">
        <v>2.0599999999999998E-3</v>
      </c>
      <c r="AV906" s="464"/>
      <c r="AW906" s="465"/>
    </row>
    <row r="907" spans="35:49">
      <c r="AI907" s="464">
        <f t="shared" si="52"/>
        <v>887</v>
      </c>
      <c r="AJ907" s="473">
        <v>44162</v>
      </c>
      <c r="AK907" s="474">
        <v>19462.71</v>
      </c>
      <c r="AL907" s="475">
        <v>3.3999999999999998E-3</v>
      </c>
      <c r="AM907" s="475">
        <f t="shared" si="54"/>
        <v>3.4217795728472833E-3</v>
      </c>
      <c r="AN907" s="464"/>
      <c r="AO907" s="464"/>
      <c r="AR907" s="464">
        <f t="shared" si="53"/>
        <v>887</v>
      </c>
      <c r="AS907" s="464" t="s">
        <v>1751</v>
      </c>
      <c r="AT907" s="381">
        <v>2.0899999999999998E-3</v>
      </c>
      <c r="AV907" s="464"/>
      <c r="AW907" s="465"/>
    </row>
    <row r="908" spans="35:49">
      <c r="AI908" s="464">
        <f t="shared" si="52"/>
        <v>888</v>
      </c>
      <c r="AJ908" s="473">
        <v>44165</v>
      </c>
      <c r="AK908" s="474">
        <v>19336.32</v>
      </c>
      <c r="AL908" s="475">
        <v>-6.4999999999999997E-3</v>
      </c>
      <c r="AM908" s="475">
        <f t="shared" si="54"/>
        <v>-6.4939569052818724E-3</v>
      </c>
      <c r="AN908" s="464"/>
      <c r="AO908" s="464"/>
      <c r="AR908" s="464">
        <f t="shared" si="53"/>
        <v>888</v>
      </c>
      <c r="AS908" s="464" t="s">
        <v>1750</v>
      </c>
      <c r="AT908" s="381">
        <v>2.0599999999999998E-3</v>
      </c>
      <c r="AV908" s="464"/>
      <c r="AW908" s="465"/>
    </row>
    <row r="909" spans="35:49">
      <c r="AI909" s="464">
        <f t="shared" si="52"/>
        <v>889</v>
      </c>
      <c r="AJ909" s="473">
        <v>44166</v>
      </c>
      <c r="AK909" s="474">
        <v>19844.810000000001</v>
      </c>
      <c r="AL909" s="475">
        <v>2.63E-2</v>
      </c>
      <c r="AM909" s="475">
        <f t="shared" si="54"/>
        <v>2.6297144441134623E-2</v>
      </c>
      <c r="AN909" s="464"/>
      <c r="AO909" s="464"/>
      <c r="AR909" s="464">
        <f t="shared" si="53"/>
        <v>889</v>
      </c>
      <c r="AS909" s="464" t="s">
        <v>1749</v>
      </c>
      <c r="AT909" s="381">
        <v>1.9E-3</v>
      </c>
      <c r="AV909" s="464"/>
      <c r="AW909" s="465"/>
    </row>
    <row r="910" spans="35:49">
      <c r="AI910" s="464">
        <f t="shared" si="52"/>
        <v>890</v>
      </c>
      <c r="AJ910" s="473">
        <v>44167</v>
      </c>
      <c r="AK910" s="474">
        <v>19877.77</v>
      </c>
      <c r="AL910" s="475">
        <v>1.6999999999999999E-3</v>
      </c>
      <c r="AM910" s="475">
        <f t="shared" si="54"/>
        <v>1.6608876577806075E-3</v>
      </c>
      <c r="AN910" s="464"/>
      <c r="AO910" s="464"/>
      <c r="AR910" s="464">
        <f t="shared" si="53"/>
        <v>890</v>
      </c>
      <c r="AS910" s="464" t="s">
        <v>1748</v>
      </c>
      <c r="AT910" s="381">
        <v>2.2599999999999999E-3</v>
      </c>
      <c r="AV910" s="464"/>
      <c r="AW910" s="465"/>
    </row>
    <row r="911" spans="35:49">
      <c r="AI911" s="464">
        <f t="shared" si="52"/>
        <v>891</v>
      </c>
      <c r="AJ911" s="473">
        <v>44168</v>
      </c>
      <c r="AK911" s="474">
        <v>20132.439999999999</v>
      </c>
      <c r="AL911" s="475">
        <v>1.2800000000000001E-2</v>
      </c>
      <c r="AM911" s="475">
        <f t="shared" si="54"/>
        <v>1.2811799311492011E-2</v>
      </c>
      <c r="AN911" s="464"/>
      <c r="AO911" s="464"/>
      <c r="AR911" s="464">
        <f t="shared" si="53"/>
        <v>891</v>
      </c>
      <c r="AS911" s="464" t="s">
        <v>1747</v>
      </c>
      <c r="AT911" s="381">
        <v>2.32E-3</v>
      </c>
      <c r="AV911" s="464"/>
      <c r="AW911" s="465"/>
    </row>
    <row r="912" spans="35:49">
      <c r="AI912" s="464">
        <f t="shared" si="52"/>
        <v>892</v>
      </c>
      <c r="AJ912" s="473">
        <v>44169</v>
      </c>
      <c r="AK912" s="474">
        <v>20182.689999999999</v>
      </c>
      <c r="AL912" s="475">
        <v>2.5000000000000001E-3</v>
      </c>
      <c r="AM912" s="475">
        <f t="shared" si="54"/>
        <v>2.4959716755643679E-3</v>
      </c>
      <c r="AN912" s="464"/>
      <c r="AO912" s="464"/>
      <c r="AR912" s="464">
        <f t="shared" si="53"/>
        <v>892</v>
      </c>
      <c r="AS912" s="464" t="s">
        <v>1746</v>
      </c>
      <c r="AT912" s="381">
        <v>2.32E-3</v>
      </c>
      <c r="AV912" s="464"/>
      <c r="AW912" s="465"/>
    </row>
    <row r="913" spans="35:49">
      <c r="AI913" s="464">
        <f t="shared" si="52"/>
        <v>893</v>
      </c>
      <c r="AJ913" s="473">
        <v>44172</v>
      </c>
      <c r="AK913" s="474">
        <v>19929.73</v>
      </c>
      <c r="AL913" s="475">
        <v>-1.2500000000000001E-2</v>
      </c>
      <c r="AM913" s="475">
        <f t="shared" si="54"/>
        <v>-1.2533512628891352E-2</v>
      </c>
      <c r="AN913" s="464"/>
      <c r="AO913" s="464"/>
      <c r="AR913" s="464">
        <f t="shared" si="53"/>
        <v>893</v>
      </c>
      <c r="AS913" s="464" t="s">
        <v>1745</v>
      </c>
      <c r="AT913" s="381">
        <v>1.9500000000000001E-3</v>
      </c>
      <c r="AV913" s="464"/>
      <c r="AW913" s="465"/>
    </row>
    <row r="914" spans="35:49">
      <c r="AI914" s="464">
        <f t="shared" si="52"/>
        <v>894</v>
      </c>
      <c r="AJ914" s="473">
        <v>44173</v>
      </c>
      <c r="AK914" s="474">
        <v>19870.490000000002</v>
      </c>
      <c r="AL914" s="475">
        <v>-3.0000000000000001E-3</v>
      </c>
      <c r="AM914" s="475">
        <f t="shared" si="54"/>
        <v>-2.9724436808726828E-3</v>
      </c>
      <c r="AN914" s="464"/>
      <c r="AO914" s="464"/>
      <c r="AR914" s="464">
        <f t="shared" si="53"/>
        <v>894</v>
      </c>
      <c r="AS914" s="464" t="s">
        <v>1744</v>
      </c>
      <c r="AT914" s="381">
        <v>2.14E-3</v>
      </c>
      <c r="AV914" s="464"/>
      <c r="AW914" s="465"/>
    </row>
    <row r="915" spans="35:49">
      <c r="AI915" s="464">
        <f t="shared" si="52"/>
        <v>895</v>
      </c>
      <c r="AJ915" s="473">
        <v>44174</v>
      </c>
      <c r="AK915" s="474">
        <v>19883.89</v>
      </c>
      <c r="AL915" s="475">
        <v>6.9999999999999999E-4</v>
      </c>
      <c r="AM915" s="475">
        <f t="shared" si="54"/>
        <v>6.7436686261879153E-4</v>
      </c>
      <c r="AN915" s="464"/>
      <c r="AO915" s="464"/>
      <c r="AR915" s="464">
        <f t="shared" si="53"/>
        <v>895</v>
      </c>
      <c r="AS915" s="464" t="s">
        <v>1743</v>
      </c>
      <c r="AT915" s="381">
        <v>1.89E-3</v>
      </c>
      <c r="AV915" s="464"/>
      <c r="AW915" s="465"/>
    </row>
    <row r="916" spans="35:49">
      <c r="AI916" s="464">
        <f t="shared" si="52"/>
        <v>896</v>
      </c>
      <c r="AJ916" s="473">
        <v>44175</v>
      </c>
      <c r="AK916" s="474">
        <v>19756.099999999999</v>
      </c>
      <c r="AL916" s="475">
        <v>-6.4000000000000003E-3</v>
      </c>
      <c r="AM916" s="475">
        <f t="shared" si="54"/>
        <v>-6.4268108503919841E-3</v>
      </c>
      <c r="AN916" s="464"/>
      <c r="AO916" s="464"/>
      <c r="AR916" s="464">
        <f t="shared" si="53"/>
        <v>896</v>
      </c>
      <c r="AS916" s="464" t="s">
        <v>1742</v>
      </c>
      <c r="AT916" s="381">
        <v>1.5499999999999999E-3</v>
      </c>
      <c r="AV916" s="464"/>
      <c r="AW916" s="465"/>
    </row>
    <row r="917" spans="35:49">
      <c r="AI917" s="464">
        <f t="shared" ref="AI917:AI980" si="55">AI916+1</f>
        <v>897</v>
      </c>
      <c r="AJ917" s="473">
        <v>44176</v>
      </c>
      <c r="AK917" s="474">
        <v>19622.150000000001</v>
      </c>
      <c r="AL917" s="475">
        <v>-6.7999999999999996E-3</v>
      </c>
      <c r="AM917" s="475">
        <f t="shared" si="54"/>
        <v>-6.7801843481252178E-3</v>
      </c>
      <c r="AN917" s="464"/>
      <c r="AO917" s="464"/>
      <c r="AR917" s="464">
        <f t="shared" ref="AR917:AR980" si="56">AR916+1</f>
        <v>897</v>
      </c>
      <c r="AS917" s="464" t="s">
        <v>1741</v>
      </c>
      <c r="AT917" s="381">
        <v>1.7299999999999998E-3</v>
      </c>
      <c r="AV917" s="464"/>
      <c r="AW917" s="465"/>
    </row>
    <row r="918" spans="35:49">
      <c r="AI918" s="464">
        <f t="shared" si="55"/>
        <v>898</v>
      </c>
      <c r="AJ918" s="473">
        <v>44179</v>
      </c>
      <c r="AK918" s="474">
        <v>19764.02</v>
      </c>
      <c r="AL918" s="475">
        <v>7.1999999999999998E-3</v>
      </c>
      <c r="AM918" s="475">
        <f t="shared" ref="AM918:AM981" si="57">AK918/AK917-1</f>
        <v>7.230094561503142E-3</v>
      </c>
      <c r="AN918" s="464"/>
      <c r="AO918" s="464"/>
      <c r="AR918" s="464">
        <f t="shared" si="56"/>
        <v>898</v>
      </c>
      <c r="AS918" s="464" t="s">
        <v>1740</v>
      </c>
      <c r="AT918" s="381">
        <v>1.7150000000000002E-3</v>
      </c>
      <c r="AV918" s="464"/>
      <c r="AW918" s="465"/>
    </row>
    <row r="919" spans="35:49">
      <c r="AI919" s="464">
        <f t="shared" si="55"/>
        <v>899</v>
      </c>
      <c r="AJ919" s="473">
        <v>44180</v>
      </c>
      <c r="AK919" s="474">
        <v>19852.39</v>
      </c>
      <c r="AL919" s="475">
        <v>4.4999999999999997E-3</v>
      </c>
      <c r="AM919" s="475">
        <f t="shared" si="57"/>
        <v>4.4712563537174788E-3</v>
      </c>
      <c r="AN919" s="464"/>
      <c r="AO919" s="464"/>
      <c r="AR919" s="464">
        <f t="shared" si="56"/>
        <v>899</v>
      </c>
      <c r="AS919" s="464" t="s">
        <v>1739</v>
      </c>
      <c r="AT919" s="381">
        <v>1.7000000000000001E-3</v>
      </c>
      <c r="AV919" s="464"/>
      <c r="AW919" s="465"/>
    </row>
    <row r="920" spans="35:49">
      <c r="AI920" s="464">
        <f t="shared" si="55"/>
        <v>900</v>
      </c>
      <c r="AJ920" s="473">
        <v>44181</v>
      </c>
      <c r="AK920" s="474">
        <v>20096.560000000001</v>
      </c>
      <c r="AL920" s="475">
        <v>1.23E-2</v>
      </c>
      <c r="AM920" s="475">
        <f t="shared" si="57"/>
        <v>1.2299274797644033E-2</v>
      </c>
      <c r="AN920" s="464"/>
      <c r="AO920" s="464"/>
      <c r="AR920" s="464">
        <f t="shared" si="56"/>
        <v>900</v>
      </c>
      <c r="AS920" s="464" t="s">
        <v>1738</v>
      </c>
      <c r="AT920" s="381">
        <v>1.6300000000000002E-3</v>
      </c>
      <c r="AV920" s="464"/>
      <c r="AW920" s="465"/>
    </row>
    <row r="921" spans="35:49">
      <c r="AI921" s="464">
        <f t="shared" si="55"/>
        <v>901</v>
      </c>
      <c r="AJ921" s="473">
        <v>44182</v>
      </c>
      <c r="AK921" s="474">
        <v>20296.04</v>
      </c>
      <c r="AL921" s="475">
        <v>9.9000000000000008E-3</v>
      </c>
      <c r="AM921" s="475">
        <f t="shared" si="57"/>
        <v>9.9260769007232241E-3</v>
      </c>
      <c r="AN921" s="464"/>
      <c r="AO921" s="464"/>
      <c r="AR921" s="464">
        <f t="shared" si="56"/>
        <v>901</v>
      </c>
      <c r="AS921" s="464" t="s">
        <v>1737</v>
      </c>
      <c r="AT921" s="381">
        <v>1.72E-3</v>
      </c>
      <c r="AV921" s="464"/>
      <c r="AW921" s="465"/>
    </row>
    <row r="922" spans="35:49">
      <c r="AI922" s="464">
        <f t="shared" si="55"/>
        <v>902</v>
      </c>
      <c r="AJ922" s="473">
        <v>44183</v>
      </c>
      <c r="AK922" s="474">
        <v>20116.29</v>
      </c>
      <c r="AL922" s="475">
        <v>-8.8999999999999999E-3</v>
      </c>
      <c r="AM922" s="475">
        <f t="shared" si="57"/>
        <v>-8.8564074568241447E-3</v>
      </c>
      <c r="AN922" s="464"/>
      <c r="AO922" s="464"/>
      <c r="AR922" s="464">
        <f t="shared" si="56"/>
        <v>902</v>
      </c>
      <c r="AS922" s="464" t="s">
        <v>1736</v>
      </c>
      <c r="AT922" s="381">
        <v>2.0799999999999998E-3</v>
      </c>
      <c r="AV922" s="464"/>
      <c r="AW922" s="465"/>
    </row>
    <row r="923" spans="35:49">
      <c r="AI923" s="464">
        <f t="shared" si="55"/>
        <v>903</v>
      </c>
      <c r="AJ923" s="473">
        <v>44186</v>
      </c>
      <c r="AK923" s="474">
        <v>19692.11</v>
      </c>
      <c r="AL923" s="475">
        <v>-2.1100000000000001E-2</v>
      </c>
      <c r="AM923" s="475">
        <f t="shared" si="57"/>
        <v>-2.1086393166930839E-2</v>
      </c>
      <c r="AN923" s="464"/>
      <c r="AO923" s="464"/>
      <c r="AR923" s="464">
        <f t="shared" si="56"/>
        <v>903</v>
      </c>
      <c r="AS923" s="464" t="s">
        <v>1735</v>
      </c>
      <c r="AT923" s="381">
        <v>1.8599999999999999E-3</v>
      </c>
      <c r="AV923" s="464"/>
      <c r="AW923" s="465"/>
    </row>
    <row r="924" spans="35:49">
      <c r="AI924" s="464">
        <f t="shared" si="55"/>
        <v>904</v>
      </c>
      <c r="AJ924" s="473">
        <v>44187</v>
      </c>
      <c r="AK924" s="474">
        <v>19950.72</v>
      </c>
      <c r="AL924" s="475">
        <v>1.3100000000000001E-2</v>
      </c>
      <c r="AM924" s="475">
        <f t="shared" si="57"/>
        <v>1.3132670902203936E-2</v>
      </c>
      <c r="AN924" s="464"/>
      <c r="AO924" s="464"/>
      <c r="AR924" s="464">
        <f t="shared" si="56"/>
        <v>904</v>
      </c>
      <c r="AS924" s="464" t="s">
        <v>1734</v>
      </c>
      <c r="AT924" s="381">
        <v>1.9E-3</v>
      </c>
      <c r="AV924" s="464"/>
      <c r="AW924" s="465"/>
    </row>
    <row r="925" spans="35:49">
      <c r="AI925" s="464">
        <f t="shared" si="55"/>
        <v>905</v>
      </c>
      <c r="AJ925" s="473">
        <v>44188</v>
      </c>
      <c r="AK925" s="474">
        <v>20297.759999999998</v>
      </c>
      <c r="AL925" s="475">
        <v>1.7399999999999999E-2</v>
      </c>
      <c r="AM925" s="475">
        <f t="shared" si="57"/>
        <v>1.7394860937349543E-2</v>
      </c>
      <c r="AN925" s="464"/>
      <c r="AO925" s="464"/>
      <c r="AR925" s="464">
        <f t="shared" si="56"/>
        <v>905</v>
      </c>
      <c r="AS925" s="464" t="s">
        <v>1733</v>
      </c>
      <c r="AT925" s="381">
        <v>1.8649999999999999E-3</v>
      </c>
      <c r="AV925" s="464"/>
      <c r="AW925" s="465"/>
    </row>
    <row r="926" spans="35:49">
      <c r="AI926" s="464">
        <f t="shared" si="55"/>
        <v>906</v>
      </c>
      <c r="AJ926" s="473">
        <v>44189</v>
      </c>
      <c r="AK926" s="474">
        <v>20546.68</v>
      </c>
      <c r="AL926" s="475">
        <v>1.23E-2</v>
      </c>
      <c r="AM926" s="475">
        <f t="shared" si="57"/>
        <v>1.2263422170722293E-2</v>
      </c>
      <c r="AN926" s="464"/>
      <c r="AO926" s="464"/>
      <c r="AR926" s="464">
        <f t="shared" si="56"/>
        <v>906</v>
      </c>
      <c r="AS926" s="464" t="s">
        <v>1732</v>
      </c>
      <c r="AT926" s="381">
        <v>2.0200000000000001E-3</v>
      </c>
      <c r="AV926" s="464"/>
      <c r="AW926" s="465"/>
    </row>
    <row r="927" spans="35:49">
      <c r="AI927" s="464">
        <f t="shared" si="55"/>
        <v>907</v>
      </c>
      <c r="AJ927" s="473">
        <v>44194</v>
      </c>
      <c r="AK927" s="474">
        <v>20897.59</v>
      </c>
      <c r="AL927" s="475">
        <v>1.7100000000000001E-2</v>
      </c>
      <c r="AM927" s="475">
        <f t="shared" si="57"/>
        <v>1.7078671590738725E-2</v>
      </c>
      <c r="AN927" s="464"/>
      <c r="AO927" s="464"/>
      <c r="AR927" s="464">
        <f t="shared" si="56"/>
        <v>907</v>
      </c>
      <c r="AS927" s="464" t="s">
        <v>1731</v>
      </c>
      <c r="AT927" s="381">
        <v>1.8E-3</v>
      </c>
      <c r="AV927" s="464"/>
      <c r="AW927" s="465"/>
    </row>
    <row r="928" spans="35:49">
      <c r="AI928" s="464">
        <f t="shared" si="55"/>
        <v>908</v>
      </c>
      <c r="AJ928" s="473">
        <v>44195</v>
      </c>
      <c r="AK928" s="474">
        <v>20715.11</v>
      </c>
      <c r="AL928" s="475">
        <v>-8.6999999999999994E-3</v>
      </c>
      <c r="AM928" s="475">
        <f t="shared" si="57"/>
        <v>-8.7321073865455068E-3</v>
      </c>
      <c r="AN928" s="464"/>
      <c r="AO928" s="464"/>
      <c r="AR928" s="464">
        <f t="shared" si="56"/>
        <v>908</v>
      </c>
      <c r="AS928" s="464" t="s">
        <v>1730</v>
      </c>
      <c r="AT928" s="381">
        <v>1.83E-3</v>
      </c>
      <c r="AV928" s="464"/>
      <c r="AW928" s="465"/>
    </row>
    <row r="929" spans="35:49">
      <c r="AI929" s="464">
        <f t="shared" si="55"/>
        <v>909</v>
      </c>
      <c r="AJ929" s="473">
        <v>44196</v>
      </c>
      <c r="AK929" s="474">
        <v>20488.3</v>
      </c>
      <c r="AL929" s="475">
        <v>-1.09E-2</v>
      </c>
      <c r="AM929" s="475">
        <f t="shared" si="57"/>
        <v>-1.0949012580671824E-2</v>
      </c>
      <c r="AN929" s="464"/>
      <c r="AO929" s="464"/>
      <c r="AR929" s="464">
        <f t="shared" si="56"/>
        <v>909</v>
      </c>
      <c r="AS929" s="464" t="s">
        <v>1729</v>
      </c>
      <c r="AT929" s="381">
        <v>1.6000000000000001E-3</v>
      </c>
      <c r="AV929" s="464"/>
      <c r="AW929" s="465"/>
    </row>
    <row r="930" spans="35:49">
      <c r="AI930" s="464">
        <f t="shared" si="55"/>
        <v>910</v>
      </c>
      <c r="AJ930" s="473">
        <v>44200</v>
      </c>
      <c r="AK930" s="474">
        <v>20537.89</v>
      </c>
      <c r="AL930" s="475">
        <v>2.3999999999999998E-3</v>
      </c>
      <c r="AM930" s="475">
        <f t="shared" si="57"/>
        <v>2.4204057925742983E-3</v>
      </c>
      <c r="AN930" s="464"/>
      <c r="AO930" s="464"/>
      <c r="AR930" s="464">
        <f t="shared" si="56"/>
        <v>910</v>
      </c>
      <c r="AS930" s="464" t="s">
        <v>1728</v>
      </c>
      <c r="AT930" s="381">
        <v>1.56E-3</v>
      </c>
      <c r="AV930" s="464"/>
      <c r="AW930" s="465"/>
    </row>
    <row r="931" spans="35:49">
      <c r="AI931" s="464">
        <f t="shared" si="55"/>
        <v>911</v>
      </c>
      <c r="AJ931" s="473">
        <v>44201</v>
      </c>
      <c r="AK931" s="474">
        <v>20717.37</v>
      </c>
      <c r="AL931" s="475">
        <v>8.6999999999999994E-3</v>
      </c>
      <c r="AM931" s="475">
        <f t="shared" si="57"/>
        <v>8.7389697773236907E-3</v>
      </c>
      <c r="AN931" s="464"/>
      <c r="AO931" s="464"/>
      <c r="AR931" s="464">
        <f t="shared" si="56"/>
        <v>911</v>
      </c>
      <c r="AS931" s="464" t="s">
        <v>1727</v>
      </c>
      <c r="AT931" s="381">
        <v>1.5399999999999999E-3</v>
      </c>
      <c r="AV931" s="464"/>
      <c r="AW931" s="465"/>
    </row>
    <row r="932" spans="35:49">
      <c r="AI932" s="464">
        <f t="shared" si="55"/>
        <v>912</v>
      </c>
      <c r="AJ932" s="473">
        <v>44202</v>
      </c>
      <c r="AK932" s="474">
        <v>20973.16</v>
      </c>
      <c r="AL932" s="475">
        <v>1.23E-2</v>
      </c>
      <c r="AM932" s="475">
        <f t="shared" si="57"/>
        <v>1.2346644385846206E-2</v>
      </c>
      <c r="AN932" s="464"/>
      <c r="AO932" s="464"/>
      <c r="AR932" s="464">
        <f t="shared" si="56"/>
        <v>912</v>
      </c>
      <c r="AS932" s="464" t="s">
        <v>1726</v>
      </c>
      <c r="AT932" s="381">
        <v>1.47E-3</v>
      </c>
      <c r="AV932" s="464"/>
      <c r="AW932" s="465"/>
    </row>
    <row r="933" spans="35:49">
      <c r="AI933" s="464">
        <f t="shared" si="55"/>
        <v>913</v>
      </c>
      <c r="AJ933" s="473">
        <v>44203</v>
      </c>
      <c r="AK933" s="474">
        <v>21009.86</v>
      </c>
      <c r="AL933" s="475">
        <v>1.6999999999999999E-3</v>
      </c>
      <c r="AM933" s="475">
        <f t="shared" si="57"/>
        <v>1.7498555296389107E-3</v>
      </c>
      <c r="AN933" s="464"/>
      <c r="AO933" s="464"/>
      <c r="AR933" s="464">
        <f t="shared" si="56"/>
        <v>913</v>
      </c>
      <c r="AS933" s="464" t="s">
        <v>1725</v>
      </c>
      <c r="AT933" s="381">
        <v>1.8400000000000001E-3</v>
      </c>
      <c r="AV933" s="464"/>
      <c r="AW933" s="465"/>
    </row>
    <row r="934" spans="35:49">
      <c r="AI934" s="464">
        <f t="shared" si="55"/>
        <v>914</v>
      </c>
      <c r="AJ934" s="473">
        <v>44204</v>
      </c>
      <c r="AK934" s="474">
        <v>21064.240000000002</v>
      </c>
      <c r="AL934" s="475">
        <v>2.5999999999999999E-3</v>
      </c>
      <c r="AM934" s="475">
        <f t="shared" si="57"/>
        <v>2.5883085370392855E-3</v>
      </c>
      <c r="AN934" s="464"/>
      <c r="AO934" s="464"/>
      <c r="AR934" s="464">
        <f t="shared" si="56"/>
        <v>914</v>
      </c>
      <c r="AS934" s="464" t="s">
        <v>1724</v>
      </c>
      <c r="AT934" s="381">
        <v>1.49E-3</v>
      </c>
      <c r="AV934" s="464"/>
      <c r="AW934" s="465"/>
    </row>
    <row r="935" spans="35:49">
      <c r="AI935" s="464">
        <f t="shared" si="55"/>
        <v>915</v>
      </c>
      <c r="AJ935" s="473">
        <v>44207</v>
      </c>
      <c r="AK935" s="474">
        <v>20776.13</v>
      </c>
      <c r="AL935" s="475">
        <v>-1.37E-2</v>
      </c>
      <c r="AM935" s="475">
        <f t="shared" si="57"/>
        <v>-1.3677683125524642E-2</v>
      </c>
      <c r="AN935" s="464"/>
      <c r="AO935" s="464"/>
      <c r="AR935" s="464">
        <f t="shared" si="56"/>
        <v>915</v>
      </c>
      <c r="AS935" s="464" t="s">
        <v>1723</v>
      </c>
      <c r="AT935" s="381">
        <v>1.65E-3</v>
      </c>
      <c r="AV935" s="464"/>
      <c r="AW935" s="465"/>
    </row>
    <row r="936" spans="35:49">
      <c r="AI936" s="464">
        <f t="shared" si="55"/>
        <v>916</v>
      </c>
      <c r="AJ936" s="473">
        <v>44208</v>
      </c>
      <c r="AK936" s="474">
        <v>20712.96</v>
      </c>
      <c r="AL936" s="475">
        <v>-3.0000000000000001E-3</v>
      </c>
      <c r="AM936" s="475">
        <f t="shared" si="57"/>
        <v>-3.040508506637285E-3</v>
      </c>
      <c r="AN936" s="464"/>
      <c r="AO936" s="464"/>
      <c r="AR936" s="464">
        <f t="shared" si="56"/>
        <v>916</v>
      </c>
      <c r="AS936" s="464" t="s">
        <v>1722</v>
      </c>
      <c r="AT936" s="381">
        <v>1.4000000000000002E-3</v>
      </c>
      <c r="AV936" s="464"/>
      <c r="AW936" s="465"/>
    </row>
    <row r="937" spans="35:49">
      <c r="AI937" s="464">
        <f t="shared" si="55"/>
        <v>917</v>
      </c>
      <c r="AJ937" s="473">
        <v>44209</v>
      </c>
      <c r="AK937" s="474">
        <v>20616.310000000001</v>
      </c>
      <c r="AL937" s="475">
        <v>-4.7000000000000002E-3</v>
      </c>
      <c r="AM937" s="475">
        <f t="shared" si="57"/>
        <v>-4.6661607032504326E-3</v>
      </c>
      <c r="AN937" s="464"/>
      <c r="AO937" s="464"/>
      <c r="AR937" s="464">
        <f t="shared" si="56"/>
        <v>917</v>
      </c>
      <c r="AS937" s="464" t="s">
        <v>1721</v>
      </c>
      <c r="AT937" s="381">
        <v>1.67E-3</v>
      </c>
      <c r="AV937" s="464"/>
      <c r="AW937" s="465"/>
    </row>
    <row r="938" spans="35:49">
      <c r="AI938" s="464">
        <f t="shared" si="55"/>
        <v>918</v>
      </c>
      <c r="AJ938" s="473">
        <v>44210</v>
      </c>
      <c r="AK938" s="474">
        <v>20775.75</v>
      </c>
      <c r="AL938" s="475">
        <v>7.7000000000000002E-3</v>
      </c>
      <c r="AM938" s="475">
        <f t="shared" si="57"/>
        <v>7.7336827007354891E-3</v>
      </c>
      <c r="AN938" s="464"/>
      <c r="AO938" s="464"/>
      <c r="AR938" s="464">
        <f t="shared" si="56"/>
        <v>918</v>
      </c>
      <c r="AS938" s="464" t="s">
        <v>1720</v>
      </c>
      <c r="AT938" s="381">
        <v>1.665E-3</v>
      </c>
      <c r="AV938" s="464"/>
      <c r="AW938" s="465"/>
    </row>
    <row r="939" spans="35:49">
      <c r="AI939" s="464">
        <f t="shared" si="55"/>
        <v>919</v>
      </c>
      <c r="AJ939" s="473">
        <v>44211</v>
      </c>
      <c r="AK939" s="474">
        <v>20615.59</v>
      </c>
      <c r="AL939" s="475">
        <v>-7.7000000000000002E-3</v>
      </c>
      <c r="AM939" s="475">
        <f t="shared" si="57"/>
        <v>-7.7089876418420245E-3</v>
      </c>
      <c r="AN939" s="464"/>
      <c r="AO939" s="464"/>
      <c r="AR939" s="464">
        <f t="shared" si="56"/>
        <v>919</v>
      </c>
      <c r="AS939" s="464" t="s">
        <v>1719</v>
      </c>
      <c r="AT939" s="381">
        <v>1.58E-3</v>
      </c>
      <c r="AV939" s="464"/>
      <c r="AW939" s="465"/>
    </row>
    <row r="940" spans="35:49">
      <c r="AI940" s="464">
        <f t="shared" si="55"/>
        <v>920</v>
      </c>
      <c r="AJ940" s="473">
        <v>44214</v>
      </c>
      <c r="AK940" s="474">
        <v>20639.34</v>
      </c>
      <c r="AL940" s="475">
        <v>1.1999999999999999E-3</v>
      </c>
      <c r="AM940" s="475">
        <f t="shared" si="57"/>
        <v>1.1520407613849759E-3</v>
      </c>
      <c r="AN940" s="464"/>
      <c r="AO940" s="464"/>
      <c r="AR940" s="464">
        <f t="shared" si="56"/>
        <v>920</v>
      </c>
      <c r="AS940" s="464" t="s">
        <v>1718</v>
      </c>
      <c r="AT940" s="381">
        <v>1.5E-3</v>
      </c>
      <c r="AV940" s="464"/>
      <c r="AW940" s="465"/>
    </row>
    <row r="941" spans="35:49">
      <c r="AI941" s="464">
        <f t="shared" si="55"/>
        <v>921</v>
      </c>
      <c r="AJ941" s="473">
        <v>44215</v>
      </c>
      <c r="AK941" s="474">
        <v>20602.89</v>
      </c>
      <c r="AL941" s="475">
        <v>-1.8E-3</v>
      </c>
      <c r="AM941" s="475">
        <f t="shared" si="57"/>
        <v>-1.766044844457304E-3</v>
      </c>
      <c r="AN941" s="464"/>
      <c r="AO941" s="464"/>
      <c r="AR941" s="464">
        <f t="shared" si="56"/>
        <v>921</v>
      </c>
      <c r="AS941" s="464" t="s">
        <v>1717</v>
      </c>
      <c r="AT941" s="381">
        <v>1.3700000000000001E-3</v>
      </c>
      <c r="AV941" s="464"/>
      <c r="AW941" s="465"/>
    </row>
    <row r="942" spans="35:49">
      <c r="AI942" s="464">
        <f t="shared" si="55"/>
        <v>922</v>
      </c>
      <c r="AJ942" s="473">
        <v>44216</v>
      </c>
      <c r="AK942" s="474">
        <v>20881.46</v>
      </c>
      <c r="AL942" s="475">
        <v>1.35E-2</v>
      </c>
      <c r="AM942" s="475">
        <f t="shared" si="57"/>
        <v>1.3520918667235593E-2</v>
      </c>
      <c r="AN942" s="464"/>
      <c r="AO942" s="464"/>
      <c r="AR942" s="464">
        <f t="shared" si="56"/>
        <v>922</v>
      </c>
      <c r="AS942" s="464" t="s">
        <v>1716</v>
      </c>
      <c r="AT942" s="381">
        <v>1.23E-3</v>
      </c>
      <c r="AV942" s="464"/>
      <c r="AW942" s="465"/>
    </row>
    <row r="943" spans="35:49">
      <c r="AI943" s="464">
        <f t="shared" si="55"/>
        <v>923</v>
      </c>
      <c r="AJ943" s="473">
        <v>44217</v>
      </c>
      <c r="AK943" s="474">
        <v>20793.72</v>
      </c>
      <c r="AL943" s="475">
        <v>-4.1999999999999997E-3</v>
      </c>
      <c r="AM943" s="475">
        <f t="shared" si="57"/>
        <v>-4.2018134747282554E-3</v>
      </c>
      <c r="AN943" s="464"/>
      <c r="AO943" s="464"/>
      <c r="AR943" s="464">
        <f t="shared" si="56"/>
        <v>923</v>
      </c>
      <c r="AS943" s="464" t="s">
        <v>1715</v>
      </c>
      <c r="AT943" s="381">
        <v>1.24E-3</v>
      </c>
      <c r="AV943" s="464"/>
      <c r="AW943" s="465"/>
    </row>
    <row r="944" spans="35:49">
      <c r="AI944" s="464">
        <f t="shared" si="55"/>
        <v>924</v>
      </c>
      <c r="AJ944" s="473">
        <v>44218</v>
      </c>
      <c r="AK944" s="474">
        <v>20596.91</v>
      </c>
      <c r="AL944" s="475">
        <v>-9.4999999999999998E-3</v>
      </c>
      <c r="AM944" s="475">
        <f t="shared" si="57"/>
        <v>-9.4648768955243323E-3</v>
      </c>
      <c r="AN944" s="464"/>
      <c r="AO944" s="464"/>
      <c r="AR944" s="464">
        <f t="shared" si="56"/>
        <v>924</v>
      </c>
      <c r="AS944" s="464" t="s">
        <v>1714</v>
      </c>
      <c r="AT944" s="381">
        <v>1.4499999999999999E-3</v>
      </c>
      <c r="AV944" s="464"/>
      <c r="AW944" s="465"/>
    </row>
    <row r="945" spans="35:49">
      <c r="AI945" s="464">
        <f t="shared" si="55"/>
        <v>925</v>
      </c>
      <c r="AJ945" s="473">
        <v>44221</v>
      </c>
      <c r="AK945" s="474">
        <v>20350.41</v>
      </c>
      <c r="AL945" s="475">
        <v>-1.2E-2</v>
      </c>
      <c r="AM945" s="475">
        <f t="shared" si="57"/>
        <v>-1.1967814589664227E-2</v>
      </c>
      <c r="AN945" s="464"/>
      <c r="AO945" s="464"/>
      <c r="AR945" s="464">
        <f t="shared" si="56"/>
        <v>925</v>
      </c>
      <c r="AS945" s="464" t="s">
        <v>1713</v>
      </c>
      <c r="AT945" s="381">
        <v>1.4199999999999998E-3</v>
      </c>
      <c r="AV945" s="464"/>
      <c r="AW945" s="465"/>
    </row>
    <row r="946" spans="35:49">
      <c r="AI946" s="464">
        <f t="shared" si="55"/>
        <v>926</v>
      </c>
      <c r="AJ946" s="473">
        <v>44222</v>
      </c>
      <c r="AK946" s="474">
        <v>20448.36</v>
      </c>
      <c r="AL946" s="475">
        <v>4.7999999999999996E-3</v>
      </c>
      <c r="AM946" s="475">
        <f t="shared" si="57"/>
        <v>4.8131708402927575E-3</v>
      </c>
      <c r="AN946" s="464"/>
      <c r="AO946" s="464"/>
      <c r="AR946" s="464">
        <f t="shared" si="56"/>
        <v>926</v>
      </c>
      <c r="AS946" s="464" t="s">
        <v>1712</v>
      </c>
      <c r="AT946" s="381">
        <v>1.4599999999999999E-3</v>
      </c>
      <c r="AV946" s="464"/>
      <c r="AW946" s="465"/>
    </row>
    <row r="947" spans="35:49">
      <c r="AI947" s="464">
        <f t="shared" si="55"/>
        <v>927</v>
      </c>
      <c r="AJ947" s="473">
        <v>44223</v>
      </c>
      <c r="AK947" s="474">
        <v>20278.349999999999</v>
      </c>
      <c r="AL947" s="475">
        <v>-8.3000000000000001E-3</v>
      </c>
      <c r="AM947" s="475">
        <f t="shared" si="57"/>
        <v>-8.3141141881305503E-3</v>
      </c>
      <c r="AN947" s="464"/>
      <c r="AO947" s="464"/>
      <c r="AR947" s="464">
        <f t="shared" si="56"/>
        <v>927</v>
      </c>
      <c r="AS947" s="464" t="s">
        <v>1711</v>
      </c>
      <c r="AT947" s="381">
        <v>1.1000000000000001E-3</v>
      </c>
      <c r="AV947" s="464"/>
      <c r="AW947" s="465"/>
    </row>
    <row r="948" spans="35:49">
      <c r="AI948" s="464">
        <f t="shared" si="55"/>
        <v>928</v>
      </c>
      <c r="AJ948" s="473">
        <v>44224</v>
      </c>
      <c r="AK948" s="474">
        <v>20368.25</v>
      </c>
      <c r="AL948" s="475">
        <v>4.4000000000000003E-3</v>
      </c>
      <c r="AM948" s="475">
        <f t="shared" si="57"/>
        <v>4.4332995534648312E-3</v>
      </c>
      <c r="AN948" s="464"/>
      <c r="AO948" s="464"/>
      <c r="AR948" s="464">
        <f t="shared" si="56"/>
        <v>928</v>
      </c>
      <c r="AS948" s="464" t="s">
        <v>1710</v>
      </c>
      <c r="AT948" s="381">
        <v>1.08E-3</v>
      </c>
      <c r="AV948" s="464"/>
      <c r="AW948" s="465"/>
    </row>
    <row r="949" spans="35:49">
      <c r="AI949" s="464">
        <f t="shared" si="55"/>
        <v>929</v>
      </c>
      <c r="AJ949" s="473">
        <v>44225</v>
      </c>
      <c r="AK949" s="474">
        <v>20228.580000000002</v>
      </c>
      <c r="AL949" s="475">
        <v>-6.8999999999999999E-3</v>
      </c>
      <c r="AM949" s="475">
        <f t="shared" si="57"/>
        <v>-6.8572410491818392E-3</v>
      </c>
      <c r="AN949" s="464"/>
      <c r="AO949" s="464"/>
      <c r="AR949" s="464">
        <f t="shared" si="56"/>
        <v>929</v>
      </c>
      <c r="AS949" s="464" t="s">
        <v>1709</v>
      </c>
      <c r="AT949" s="381">
        <v>1.1999999999999999E-3</v>
      </c>
      <c r="AV949" s="464"/>
      <c r="AW949" s="465"/>
    </row>
    <row r="950" spans="35:49">
      <c r="AI950" s="464">
        <f t="shared" si="55"/>
        <v>930</v>
      </c>
      <c r="AJ950" s="473">
        <v>44228</v>
      </c>
      <c r="AK950" s="474">
        <v>20392.62</v>
      </c>
      <c r="AL950" s="475">
        <v>8.0999999999999996E-3</v>
      </c>
      <c r="AM950" s="475">
        <f t="shared" si="57"/>
        <v>8.1093185977463289E-3</v>
      </c>
      <c r="AN950" s="464"/>
      <c r="AO950" s="464"/>
      <c r="AR950" s="464">
        <f t="shared" si="56"/>
        <v>930</v>
      </c>
      <c r="AS950" s="464" t="s">
        <v>1708</v>
      </c>
      <c r="AT950" s="381">
        <v>9.1E-4</v>
      </c>
      <c r="AV950" s="464"/>
      <c r="AW950" s="465"/>
    </row>
    <row r="951" spans="35:49">
      <c r="AI951" s="464">
        <f t="shared" si="55"/>
        <v>931</v>
      </c>
      <c r="AJ951" s="473">
        <v>44229</v>
      </c>
      <c r="AK951" s="474">
        <v>20690.21</v>
      </c>
      <c r="AL951" s="475">
        <v>1.46E-2</v>
      </c>
      <c r="AM951" s="475">
        <f t="shared" si="57"/>
        <v>1.459302433919718E-2</v>
      </c>
      <c r="AN951" s="464"/>
      <c r="AO951" s="464"/>
      <c r="AR951" s="464">
        <f t="shared" si="56"/>
        <v>931</v>
      </c>
      <c r="AS951" s="464" t="s">
        <v>1707</v>
      </c>
      <c r="AT951" s="381">
        <v>1.0499999999999999E-3</v>
      </c>
      <c r="AV951" s="464"/>
      <c r="AW951" s="465"/>
    </row>
    <row r="952" spans="35:49">
      <c r="AI952" s="464">
        <f t="shared" si="55"/>
        <v>932</v>
      </c>
      <c r="AJ952" s="473">
        <v>44230</v>
      </c>
      <c r="AK952" s="474">
        <v>20752.439999999999</v>
      </c>
      <c r="AL952" s="475">
        <v>3.0000000000000001E-3</v>
      </c>
      <c r="AM952" s="475">
        <f t="shared" si="57"/>
        <v>3.007702676773194E-3</v>
      </c>
      <c r="AN952" s="464"/>
      <c r="AO952" s="464"/>
      <c r="AR952" s="464">
        <f t="shared" si="56"/>
        <v>932</v>
      </c>
      <c r="AS952" s="464" t="s">
        <v>1706</v>
      </c>
      <c r="AT952" s="381">
        <v>1.0199999999999999E-3</v>
      </c>
      <c r="AV952" s="464"/>
      <c r="AW952" s="465"/>
    </row>
    <row r="953" spans="35:49">
      <c r="AI953" s="464">
        <f t="shared" si="55"/>
        <v>933</v>
      </c>
      <c r="AJ953" s="473">
        <v>44231</v>
      </c>
      <c r="AK953" s="474">
        <v>20809.3</v>
      </c>
      <c r="AL953" s="475">
        <v>2.7000000000000001E-3</v>
      </c>
      <c r="AM953" s="475">
        <f t="shared" si="57"/>
        <v>2.7399187758163634E-3</v>
      </c>
      <c r="AN953" s="464"/>
      <c r="AO953" s="464"/>
      <c r="AR953" s="464">
        <f t="shared" si="56"/>
        <v>933</v>
      </c>
      <c r="AS953" s="464" t="s">
        <v>1705</v>
      </c>
      <c r="AT953" s="381">
        <v>9.2000000000000003E-4</v>
      </c>
      <c r="AV953" s="464"/>
      <c r="AW953" s="465"/>
    </row>
    <row r="954" spans="35:49">
      <c r="AI954" s="464">
        <f t="shared" si="55"/>
        <v>934</v>
      </c>
      <c r="AJ954" s="473">
        <v>44232</v>
      </c>
      <c r="AK954" s="474">
        <v>21066.87</v>
      </c>
      <c r="AL954" s="475">
        <v>1.24E-2</v>
      </c>
      <c r="AM954" s="475">
        <f t="shared" si="57"/>
        <v>1.2377638844170535E-2</v>
      </c>
      <c r="AN954" s="464"/>
      <c r="AO954" s="464"/>
      <c r="AR954" s="464">
        <f t="shared" si="56"/>
        <v>934</v>
      </c>
      <c r="AS954" s="464" t="s">
        <v>1704</v>
      </c>
      <c r="AT954" s="381">
        <v>1.0199999999999999E-3</v>
      </c>
      <c r="AV954" s="464"/>
      <c r="AW954" s="465"/>
    </row>
    <row r="955" spans="35:49">
      <c r="AI955" s="464">
        <f t="shared" si="55"/>
        <v>935</v>
      </c>
      <c r="AJ955" s="473">
        <v>44235</v>
      </c>
      <c r="AK955" s="474">
        <v>21086.55</v>
      </c>
      <c r="AL955" s="475">
        <v>8.9999999999999998E-4</v>
      </c>
      <c r="AM955" s="475">
        <f t="shared" si="57"/>
        <v>9.3416819869296397E-4</v>
      </c>
      <c r="AN955" s="464"/>
      <c r="AO955" s="464"/>
      <c r="AR955" s="464">
        <f t="shared" si="56"/>
        <v>935</v>
      </c>
      <c r="AS955" s="464" t="s">
        <v>1703</v>
      </c>
      <c r="AT955" s="381">
        <v>7.5000000000000002E-4</v>
      </c>
      <c r="AV955" s="464"/>
      <c r="AW955" s="465"/>
    </row>
    <row r="956" spans="35:49">
      <c r="AI956" s="464">
        <f t="shared" si="55"/>
        <v>936</v>
      </c>
      <c r="AJ956" s="473">
        <v>44236</v>
      </c>
      <c r="AK956" s="474">
        <v>21112.94</v>
      </c>
      <c r="AL956" s="475">
        <v>1.2999999999999999E-3</v>
      </c>
      <c r="AM956" s="475">
        <f t="shared" si="57"/>
        <v>1.2515086631050831E-3</v>
      </c>
      <c r="AN956" s="464"/>
      <c r="AO956" s="464"/>
      <c r="AR956" s="464">
        <f t="shared" si="56"/>
        <v>936</v>
      </c>
      <c r="AS956" s="464" t="s">
        <v>1702</v>
      </c>
      <c r="AT956" s="381">
        <v>1.31E-3</v>
      </c>
      <c r="AV956" s="464"/>
      <c r="AW956" s="465"/>
    </row>
    <row r="957" spans="35:49">
      <c r="AI957" s="464">
        <f t="shared" si="55"/>
        <v>937</v>
      </c>
      <c r="AJ957" s="473">
        <v>44237</v>
      </c>
      <c r="AK957" s="474">
        <v>20996.44</v>
      </c>
      <c r="AL957" s="475">
        <v>-5.4999999999999997E-3</v>
      </c>
      <c r="AM957" s="475">
        <f t="shared" si="57"/>
        <v>-5.5179430245148042E-3</v>
      </c>
      <c r="AN957" s="464"/>
      <c r="AO957" s="464"/>
      <c r="AR957" s="464">
        <f t="shared" si="56"/>
        <v>937</v>
      </c>
      <c r="AS957" s="464" t="s">
        <v>1701</v>
      </c>
      <c r="AT957" s="381">
        <v>1.09E-3</v>
      </c>
      <c r="AV957" s="464"/>
      <c r="AW957" s="465"/>
    </row>
    <row r="958" spans="35:49">
      <c r="AI958" s="464">
        <f t="shared" si="55"/>
        <v>938</v>
      </c>
      <c r="AJ958" s="473">
        <v>44238</v>
      </c>
      <c r="AK958" s="474">
        <v>21017.85</v>
      </c>
      <c r="AL958" s="475">
        <v>1E-3</v>
      </c>
      <c r="AM958" s="475">
        <f t="shared" si="57"/>
        <v>1.0196966723883261E-3</v>
      </c>
      <c r="AN958" s="464"/>
      <c r="AO958" s="464"/>
      <c r="AR958" s="464">
        <f t="shared" si="56"/>
        <v>938</v>
      </c>
      <c r="AS958" s="464" t="s">
        <v>1700</v>
      </c>
      <c r="AT958" s="381">
        <v>1.4000000000000002E-3</v>
      </c>
      <c r="AV958" s="464"/>
      <c r="AW958" s="465"/>
    </row>
    <row r="959" spans="35:49">
      <c r="AI959" s="464">
        <f t="shared" si="55"/>
        <v>939</v>
      </c>
      <c r="AJ959" s="473">
        <v>44239</v>
      </c>
      <c r="AK959" s="474">
        <v>21037.47</v>
      </c>
      <c r="AL959" s="475">
        <v>8.9999999999999998E-4</v>
      </c>
      <c r="AM959" s="475">
        <f t="shared" si="57"/>
        <v>9.3349224587679913E-4</v>
      </c>
      <c r="AN959" s="464"/>
      <c r="AO959" s="464"/>
      <c r="AR959" s="464">
        <f t="shared" si="56"/>
        <v>939</v>
      </c>
      <c r="AS959" s="464" t="s">
        <v>1699</v>
      </c>
      <c r="AT959" s="381">
        <v>1.4099999999999998E-3</v>
      </c>
      <c r="AV959" s="464"/>
      <c r="AW959" s="465"/>
    </row>
    <row r="960" spans="35:49">
      <c r="AI960" s="464">
        <f t="shared" si="55"/>
        <v>940</v>
      </c>
      <c r="AJ960" s="473">
        <v>44242</v>
      </c>
      <c r="AK960" s="474">
        <v>21418.9</v>
      </c>
      <c r="AL960" s="475">
        <v>1.8100000000000002E-2</v>
      </c>
      <c r="AM960" s="475">
        <f t="shared" si="57"/>
        <v>1.8130982480307756E-2</v>
      </c>
      <c r="AN960" s="464"/>
      <c r="AO960" s="464"/>
      <c r="AR960" s="464">
        <f t="shared" si="56"/>
        <v>940</v>
      </c>
      <c r="AS960" s="464" t="s">
        <v>1698</v>
      </c>
      <c r="AT960" s="381">
        <v>1.31E-3</v>
      </c>
      <c r="AV960" s="464"/>
      <c r="AW960" s="465"/>
    </row>
    <row r="961" spans="35:49">
      <c r="AI961" s="464">
        <f t="shared" si="55"/>
        <v>941</v>
      </c>
      <c r="AJ961" s="473">
        <v>44243</v>
      </c>
      <c r="AK961" s="474">
        <v>21416.37</v>
      </c>
      <c r="AL961" s="475">
        <v>-1E-4</v>
      </c>
      <c r="AM961" s="475">
        <f t="shared" si="57"/>
        <v>-1.181199781502551E-4</v>
      </c>
      <c r="AN961" s="464"/>
      <c r="AO961" s="464"/>
      <c r="AR961" s="464">
        <f t="shared" si="56"/>
        <v>941</v>
      </c>
      <c r="AS961" s="464" t="s">
        <v>1697</v>
      </c>
      <c r="AT961" s="381">
        <v>2.0100000000000001E-3</v>
      </c>
      <c r="AV961" s="464"/>
      <c r="AW961" s="465"/>
    </row>
    <row r="962" spans="35:49">
      <c r="AI962" s="464">
        <f t="shared" si="55"/>
        <v>942</v>
      </c>
      <c r="AJ962" s="473">
        <v>44244</v>
      </c>
      <c r="AK962" s="474">
        <v>21149.49</v>
      </c>
      <c r="AL962" s="475">
        <v>-1.2500000000000001E-2</v>
      </c>
      <c r="AM962" s="475">
        <f t="shared" si="57"/>
        <v>-1.2461495575580628E-2</v>
      </c>
      <c r="AN962" s="464"/>
      <c r="AO962" s="464"/>
      <c r="AR962" s="464">
        <f t="shared" si="56"/>
        <v>942</v>
      </c>
      <c r="AS962" s="464" t="s">
        <v>1696</v>
      </c>
      <c r="AT962" s="381">
        <v>2.3699999999999997E-3</v>
      </c>
      <c r="AV962" s="464"/>
      <c r="AW962" s="465"/>
    </row>
    <row r="963" spans="35:49">
      <c r="AI963" s="464">
        <f t="shared" si="55"/>
        <v>943</v>
      </c>
      <c r="AJ963" s="473">
        <v>44245</v>
      </c>
      <c r="AK963" s="474">
        <v>20933.87</v>
      </c>
      <c r="AL963" s="475">
        <v>-1.0200000000000001E-2</v>
      </c>
      <c r="AM963" s="475">
        <f t="shared" si="57"/>
        <v>-1.0195044892335581E-2</v>
      </c>
      <c r="AN963" s="464"/>
      <c r="AO963" s="464"/>
      <c r="AR963" s="464">
        <f t="shared" si="56"/>
        <v>943</v>
      </c>
      <c r="AS963" s="464" t="s">
        <v>1695</v>
      </c>
      <c r="AT963" s="381">
        <v>2.4299999999999999E-3</v>
      </c>
      <c r="AV963" s="464"/>
      <c r="AW963" s="465"/>
    </row>
    <row r="964" spans="35:49">
      <c r="AI964" s="464">
        <f t="shared" si="55"/>
        <v>944</v>
      </c>
      <c r="AJ964" s="473">
        <v>44246</v>
      </c>
      <c r="AK964" s="474">
        <v>21035.96</v>
      </c>
      <c r="AL964" s="475">
        <v>4.8999999999999998E-3</v>
      </c>
      <c r="AM964" s="475">
        <f t="shared" si="57"/>
        <v>4.8767858021474542E-3</v>
      </c>
      <c r="AN964" s="464"/>
      <c r="AO964" s="464"/>
      <c r="AR964" s="464">
        <f t="shared" si="56"/>
        <v>944</v>
      </c>
      <c r="AS964" s="464" t="s">
        <v>1694</v>
      </c>
      <c r="AT964" s="381">
        <v>2.4299999999999999E-3</v>
      </c>
      <c r="AV964" s="464"/>
      <c r="AW964" s="465"/>
    </row>
    <row r="965" spans="35:49">
      <c r="AI965" s="464">
        <f t="shared" si="55"/>
        <v>945</v>
      </c>
      <c r="AJ965" s="473">
        <v>44249</v>
      </c>
      <c r="AK965" s="474">
        <v>20981.09</v>
      </c>
      <c r="AL965" s="475">
        <v>-2.5999999999999999E-3</v>
      </c>
      <c r="AM965" s="475">
        <f t="shared" si="57"/>
        <v>-2.6083905845037947E-3</v>
      </c>
      <c r="AN965" s="464"/>
      <c r="AO965" s="464"/>
      <c r="AR965" s="464">
        <f t="shared" si="56"/>
        <v>945</v>
      </c>
      <c r="AS965" s="464" t="s">
        <v>1693</v>
      </c>
      <c r="AT965" s="381">
        <v>2.4250000000000001E-3</v>
      </c>
      <c r="AV965" s="464"/>
      <c r="AW965" s="465"/>
    </row>
    <row r="966" spans="35:49">
      <c r="AI966" s="464">
        <f t="shared" si="55"/>
        <v>946</v>
      </c>
      <c r="AJ966" s="473">
        <v>44250</v>
      </c>
      <c r="AK966" s="474">
        <v>21057.72</v>
      </c>
      <c r="AL966" s="475">
        <v>3.7000000000000002E-3</v>
      </c>
      <c r="AM966" s="475">
        <f t="shared" si="57"/>
        <v>3.6523364610705489E-3</v>
      </c>
      <c r="AN966" s="464"/>
      <c r="AO966" s="464"/>
      <c r="AR966" s="464">
        <f t="shared" si="56"/>
        <v>946</v>
      </c>
      <c r="AS966" s="464" t="s">
        <v>1692</v>
      </c>
      <c r="AT966" s="381">
        <v>2.4599999999999999E-3</v>
      </c>
      <c r="AV966" s="464"/>
      <c r="AW966" s="465"/>
    </row>
    <row r="967" spans="35:49">
      <c r="AI967" s="464">
        <f t="shared" si="55"/>
        <v>947</v>
      </c>
      <c r="AJ967" s="473">
        <v>44251</v>
      </c>
      <c r="AK967" s="474">
        <v>21312.65</v>
      </c>
      <c r="AL967" s="475">
        <v>1.21E-2</v>
      </c>
      <c r="AM967" s="475">
        <f t="shared" si="57"/>
        <v>1.2106248919636187E-2</v>
      </c>
      <c r="AN967" s="464"/>
      <c r="AO967" s="464"/>
      <c r="AR967" s="464">
        <f t="shared" si="56"/>
        <v>947</v>
      </c>
      <c r="AS967" s="464" t="s">
        <v>1691</v>
      </c>
      <c r="AT967" s="381">
        <v>2.1800000000000001E-3</v>
      </c>
      <c r="AV967" s="464"/>
      <c r="AW967" s="465"/>
    </row>
    <row r="968" spans="35:49">
      <c r="AI968" s="464">
        <f t="shared" si="55"/>
        <v>948</v>
      </c>
      <c r="AJ968" s="473">
        <v>44252</v>
      </c>
      <c r="AK968" s="474">
        <v>21198.12</v>
      </c>
      <c r="AL968" s="475">
        <v>-5.4000000000000003E-3</v>
      </c>
      <c r="AM968" s="475">
        <f t="shared" si="57"/>
        <v>-5.3738038207357119E-3</v>
      </c>
      <c r="AN968" s="464"/>
      <c r="AO968" s="464"/>
      <c r="AR968" s="464">
        <f t="shared" si="56"/>
        <v>948</v>
      </c>
      <c r="AS968" s="464" t="s">
        <v>1690</v>
      </c>
      <c r="AT968" s="381">
        <v>2.1800000000000001E-3</v>
      </c>
      <c r="AV968" s="464"/>
      <c r="AW968" s="465"/>
    </row>
    <row r="969" spans="35:49">
      <c r="AI969" s="464">
        <f t="shared" si="55"/>
        <v>949</v>
      </c>
      <c r="AJ969" s="473">
        <v>44253</v>
      </c>
      <c r="AK969" s="474">
        <v>20910.37</v>
      </c>
      <c r="AL969" s="475">
        <v>-1.3599999999999999E-2</v>
      </c>
      <c r="AM969" s="475">
        <f t="shared" si="57"/>
        <v>-1.3574316967731148E-2</v>
      </c>
      <c r="AN969" s="464"/>
      <c r="AO969" s="464"/>
      <c r="AR969" s="464">
        <f t="shared" si="56"/>
        <v>949</v>
      </c>
      <c r="AS969" s="464" t="s">
        <v>1689</v>
      </c>
      <c r="AT969" s="381">
        <v>2.3799999999999997E-3</v>
      </c>
      <c r="AV969" s="464"/>
      <c r="AW969" s="465"/>
    </row>
    <row r="970" spans="35:49">
      <c r="AI970" s="464">
        <f t="shared" si="55"/>
        <v>950</v>
      </c>
      <c r="AJ970" s="473">
        <v>44256</v>
      </c>
      <c r="AK970" s="474">
        <v>21221.46</v>
      </c>
      <c r="AL970" s="475">
        <v>1.49E-2</v>
      </c>
      <c r="AM970" s="475">
        <f t="shared" si="57"/>
        <v>1.4877307288202024E-2</v>
      </c>
      <c r="AN970" s="464"/>
      <c r="AO970" s="464"/>
      <c r="AR970" s="464">
        <f t="shared" si="56"/>
        <v>950</v>
      </c>
      <c r="AS970" s="464" t="s">
        <v>1688</v>
      </c>
      <c r="AT970" s="381">
        <v>2.2699999999999999E-3</v>
      </c>
      <c r="AV970" s="464"/>
      <c r="AW970" s="465"/>
    </row>
    <row r="971" spans="35:49">
      <c r="AI971" s="464">
        <f t="shared" si="55"/>
        <v>951</v>
      </c>
      <c r="AJ971" s="473">
        <v>44257</v>
      </c>
      <c r="AK971" s="474">
        <v>21177.91</v>
      </c>
      <c r="AL971" s="475">
        <v>-2.0999999999999999E-3</v>
      </c>
      <c r="AM971" s="475">
        <f t="shared" si="57"/>
        <v>-2.0521679469743814E-3</v>
      </c>
      <c r="AN971" s="464"/>
      <c r="AO971" s="464"/>
      <c r="AR971" s="464">
        <f t="shared" si="56"/>
        <v>951</v>
      </c>
      <c r="AS971" s="464" t="s">
        <v>1687</v>
      </c>
      <c r="AT971" s="381">
        <v>2.0699999999999998E-3</v>
      </c>
      <c r="AV971" s="464"/>
      <c r="AW971" s="465"/>
    </row>
    <row r="972" spans="35:49">
      <c r="AI972" s="464">
        <f t="shared" si="55"/>
        <v>952</v>
      </c>
      <c r="AJ972" s="473">
        <v>44258</v>
      </c>
      <c r="AK972" s="474">
        <v>21436.32</v>
      </c>
      <c r="AL972" s="475">
        <v>1.2200000000000001E-2</v>
      </c>
      <c r="AM972" s="475">
        <f t="shared" si="57"/>
        <v>1.2201865056561179E-2</v>
      </c>
      <c r="AN972" s="464"/>
      <c r="AO972" s="464"/>
      <c r="AR972" s="464">
        <f t="shared" si="56"/>
        <v>952</v>
      </c>
      <c r="AS972" s="464" t="s">
        <v>1686</v>
      </c>
      <c r="AT972" s="381">
        <v>2.0449999999999999E-3</v>
      </c>
      <c r="AV972" s="464"/>
      <c r="AW972" s="465"/>
    </row>
    <row r="973" spans="35:49">
      <c r="AI973" s="464">
        <f t="shared" si="55"/>
        <v>953</v>
      </c>
      <c r="AJ973" s="473">
        <v>44259</v>
      </c>
      <c r="AK973" s="474">
        <v>21296.23</v>
      </c>
      <c r="AL973" s="475">
        <v>-6.4999999999999997E-3</v>
      </c>
      <c r="AM973" s="475">
        <f t="shared" si="57"/>
        <v>-6.5351702157833147E-3</v>
      </c>
      <c r="AN973" s="464"/>
      <c r="AO973" s="464"/>
      <c r="AR973" s="464">
        <f t="shared" si="56"/>
        <v>953</v>
      </c>
      <c r="AS973" s="464" t="s">
        <v>1685</v>
      </c>
      <c r="AT973" s="381">
        <v>2.1299999999999999E-3</v>
      </c>
      <c r="AV973" s="464"/>
      <c r="AW973" s="465"/>
    </row>
    <row r="974" spans="35:49">
      <c r="AI974" s="464">
        <f t="shared" si="55"/>
        <v>954</v>
      </c>
      <c r="AJ974" s="473">
        <v>44260</v>
      </c>
      <c r="AK974" s="474">
        <v>20961.310000000001</v>
      </c>
      <c r="AL974" s="475">
        <v>-1.5699999999999999E-2</v>
      </c>
      <c r="AM974" s="475">
        <f t="shared" si="57"/>
        <v>-1.5726727218855041E-2</v>
      </c>
      <c r="AN974" s="464"/>
      <c r="AO974" s="464"/>
      <c r="AR974" s="464">
        <f t="shared" si="56"/>
        <v>954</v>
      </c>
      <c r="AS974" s="464" t="s">
        <v>1684</v>
      </c>
      <c r="AT974" s="381">
        <v>2.64E-3</v>
      </c>
      <c r="AV974" s="464"/>
      <c r="AW974" s="465"/>
    </row>
    <row r="975" spans="35:49">
      <c r="AI975" s="464">
        <f t="shared" si="55"/>
        <v>955</v>
      </c>
      <c r="AJ975" s="473">
        <v>44263</v>
      </c>
      <c r="AK975" s="474">
        <v>21210.22</v>
      </c>
      <c r="AL975" s="475">
        <v>1.1900000000000001E-2</v>
      </c>
      <c r="AM975" s="475">
        <f t="shared" si="57"/>
        <v>1.187473492830371E-2</v>
      </c>
      <c r="AN975" s="464"/>
      <c r="AO975" s="464"/>
      <c r="AR975" s="464">
        <f t="shared" si="56"/>
        <v>955</v>
      </c>
      <c r="AS975" s="464" t="s">
        <v>1683</v>
      </c>
      <c r="AT975" s="381">
        <v>3.0399999999999997E-3</v>
      </c>
      <c r="AV975" s="464"/>
      <c r="AW975" s="465"/>
    </row>
    <row r="976" spans="35:49">
      <c r="AI976" s="464">
        <f t="shared" si="55"/>
        <v>956</v>
      </c>
      <c r="AJ976" s="473">
        <v>44264</v>
      </c>
      <c r="AK976" s="474">
        <v>21382.47</v>
      </c>
      <c r="AL976" s="475">
        <v>8.0999999999999996E-3</v>
      </c>
      <c r="AM976" s="475">
        <f t="shared" si="57"/>
        <v>8.1210850241062449E-3</v>
      </c>
      <c r="AN976" s="464"/>
      <c r="AO976" s="464"/>
      <c r="AR976" s="464">
        <f t="shared" si="56"/>
        <v>956</v>
      </c>
      <c r="AS976" s="464" t="s">
        <v>1682</v>
      </c>
      <c r="AT976" s="381">
        <v>3.3800000000000002E-3</v>
      </c>
      <c r="AV976" s="464"/>
      <c r="AW976" s="465"/>
    </row>
    <row r="977" spans="35:49">
      <c r="AI977" s="464">
        <f t="shared" si="55"/>
        <v>957</v>
      </c>
      <c r="AJ977" s="473">
        <v>44265</v>
      </c>
      <c r="AK977" s="474">
        <v>21406.67</v>
      </c>
      <c r="AL977" s="475">
        <v>1.1000000000000001E-3</v>
      </c>
      <c r="AM977" s="475">
        <f t="shared" si="57"/>
        <v>1.1317682194806888E-3</v>
      </c>
      <c r="AN977" s="464"/>
      <c r="AO977" s="464"/>
      <c r="AR977" s="464">
        <f t="shared" si="56"/>
        <v>957</v>
      </c>
      <c r="AS977" s="464" t="s">
        <v>1681</v>
      </c>
      <c r="AT977" s="381">
        <v>3.13E-3</v>
      </c>
      <c r="AV977" s="464"/>
      <c r="AW977" s="465"/>
    </row>
    <row r="978" spans="35:49">
      <c r="AI978" s="464">
        <f t="shared" si="55"/>
        <v>958</v>
      </c>
      <c r="AJ978" s="473">
        <v>44266</v>
      </c>
      <c r="AK978" s="474">
        <v>21533.1</v>
      </c>
      <c r="AL978" s="475">
        <v>5.8999999999999999E-3</v>
      </c>
      <c r="AM978" s="475">
        <f t="shared" si="57"/>
        <v>5.9061030977727302E-3</v>
      </c>
      <c r="AN978" s="464"/>
      <c r="AO978" s="464"/>
      <c r="AR978" s="464">
        <f t="shared" si="56"/>
        <v>958</v>
      </c>
      <c r="AS978" s="464" t="s">
        <v>1680</v>
      </c>
      <c r="AT978" s="381">
        <v>3.1099999999999999E-3</v>
      </c>
      <c r="AV978" s="464"/>
      <c r="AW978" s="465"/>
    </row>
    <row r="979" spans="35:49">
      <c r="AI979" s="464">
        <f t="shared" si="55"/>
        <v>959</v>
      </c>
      <c r="AJ979" s="473">
        <v>44267</v>
      </c>
      <c r="AK979" s="474">
        <v>21506.47</v>
      </c>
      <c r="AL979" s="475">
        <v>-1.1999999999999999E-3</v>
      </c>
      <c r="AM979" s="475">
        <f t="shared" si="57"/>
        <v>-1.2367007072831004E-3</v>
      </c>
      <c r="AN979" s="464"/>
      <c r="AO979" s="464"/>
      <c r="AR979" s="464">
        <f t="shared" si="56"/>
        <v>959</v>
      </c>
      <c r="AS979" s="464" t="s">
        <v>1679</v>
      </c>
      <c r="AT979" s="381">
        <v>3.1050000000000001E-3</v>
      </c>
      <c r="AV979" s="464"/>
      <c r="AW979" s="465"/>
    </row>
    <row r="980" spans="35:49">
      <c r="AI980" s="464">
        <f t="shared" si="55"/>
        <v>960</v>
      </c>
      <c r="AJ980" s="473">
        <v>44270</v>
      </c>
      <c r="AK980" s="474">
        <v>21522.35</v>
      </c>
      <c r="AL980" s="475">
        <v>6.9999999999999999E-4</v>
      </c>
      <c r="AM980" s="475">
        <f t="shared" si="57"/>
        <v>7.383824495603708E-4</v>
      </c>
      <c r="AN980" s="464"/>
      <c r="AO980" s="464"/>
      <c r="AR980" s="464">
        <f t="shared" si="56"/>
        <v>960</v>
      </c>
      <c r="AS980" s="464" t="s">
        <v>1678</v>
      </c>
      <c r="AT980" s="381">
        <v>3.1350000000000002E-3</v>
      </c>
      <c r="AV980" s="464"/>
      <c r="AW980" s="465"/>
    </row>
    <row r="981" spans="35:49">
      <c r="AI981" s="464">
        <f t="shared" ref="AI981:AI1044" si="58">AI980+1</f>
        <v>961</v>
      </c>
      <c r="AJ981" s="473">
        <v>44271</v>
      </c>
      <c r="AK981" s="474">
        <v>21764.49</v>
      </c>
      <c r="AL981" s="475">
        <v>1.1299999999999999E-2</v>
      </c>
      <c r="AM981" s="475">
        <f t="shared" si="57"/>
        <v>1.1250630158881503E-2</v>
      </c>
      <c r="AN981" s="464"/>
      <c r="AO981" s="464"/>
      <c r="AR981" s="464">
        <f t="shared" ref="AR981:AR1044" si="59">AR980+1</f>
        <v>961</v>
      </c>
      <c r="AS981" s="464" t="s">
        <v>1677</v>
      </c>
      <c r="AT981" s="381">
        <v>2.98E-3</v>
      </c>
      <c r="AV981" s="464"/>
      <c r="AW981" s="465"/>
    </row>
    <row r="982" spans="35:49">
      <c r="AI982" s="464">
        <f t="shared" si="58"/>
        <v>962</v>
      </c>
      <c r="AJ982" s="473">
        <v>44272</v>
      </c>
      <c r="AK982" s="474">
        <v>21558.55</v>
      </c>
      <c r="AL982" s="475">
        <v>-9.4999999999999998E-3</v>
      </c>
      <c r="AM982" s="475">
        <f t="shared" ref="AM982:AM1045" si="60">AK982/AK981-1</f>
        <v>-9.4622019629222454E-3</v>
      </c>
      <c r="AN982" s="464"/>
      <c r="AO982" s="464"/>
      <c r="AR982" s="464">
        <f t="shared" si="59"/>
        <v>962</v>
      </c>
      <c r="AS982" s="464" t="s">
        <v>1676</v>
      </c>
      <c r="AT982" s="381">
        <v>2.33E-3</v>
      </c>
      <c r="AV982" s="464"/>
      <c r="AW982" s="465"/>
    </row>
    <row r="983" spans="35:49">
      <c r="AI983" s="464">
        <f t="shared" si="58"/>
        <v>963</v>
      </c>
      <c r="AJ983" s="473">
        <v>44273</v>
      </c>
      <c r="AK983" s="474">
        <v>21568.560000000001</v>
      </c>
      <c r="AL983" s="475">
        <v>5.0000000000000001E-4</v>
      </c>
      <c r="AM983" s="475">
        <f t="shared" si="60"/>
        <v>4.6431694153836744E-4</v>
      </c>
      <c r="AN983" s="464"/>
      <c r="AO983" s="464"/>
      <c r="AR983" s="464">
        <f t="shared" si="59"/>
        <v>963</v>
      </c>
      <c r="AS983" s="464" t="s">
        <v>1675</v>
      </c>
      <c r="AT983" s="381">
        <v>2.3799999999999997E-3</v>
      </c>
      <c r="AV983" s="464"/>
      <c r="AW983" s="465"/>
    </row>
    <row r="984" spans="35:49">
      <c r="AI984" s="464">
        <f t="shared" si="58"/>
        <v>964</v>
      </c>
      <c r="AJ984" s="473">
        <v>44274</v>
      </c>
      <c r="AK984" s="474">
        <v>21420.31</v>
      </c>
      <c r="AL984" s="475">
        <v>-6.8999999999999999E-3</v>
      </c>
      <c r="AM984" s="475">
        <f t="shared" si="60"/>
        <v>-6.8734305860010947E-3</v>
      </c>
      <c r="AN984" s="464"/>
      <c r="AO984" s="464"/>
      <c r="AR984" s="464">
        <f t="shared" si="59"/>
        <v>964</v>
      </c>
      <c r="AS984" s="464" t="s">
        <v>1674</v>
      </c>
      <c r="AT984" s="381">
        <v>2.66E-3</v>
      </c>
      <c r="AV984" s="464"/>
      <c r="AW984" s="465"/>
    </row>
    <row r="985" spans="35:49">
      <c r="AI985" s="464">
        <f t="shared" si="58"/>
        <v>965</v>
      </c>
      <c r="AJ985" s="473">
        <v>44277</v>
      </c>
      <c r="AK985" s="474">
        <v>21455.89</v>
      </c>
      <c r="AL985" s="475">
        <v>1.6999999999999999E-3</v>
      </c>
      <c r="AM985" s="475">
        <f t="shared" si="60"/>
        <v>1.661040386436996E-3</v>
      </c>
      <c r="AN985" s="464"/>
      <c r="AO985" s="464"/>
      <c r="AR985" s="464">
        <f t="shared" si="59"/>
        <v>965</v>
      </c>
      <c r="AS985" s="464" t="s">
        <v>1673</v>
      </c>
      <c r="AT985" s="381">
        <v>2.4949999999999998E-3</v>
      </c>
      <c r="AV985" s="464"/>
      <c r="AW985" s="465"/>
    </row>
    <row r="986" spans="35:49">
      <c r="AI986" s="464">
        <f t="shared" si="58"/>
        <v>966</v>
      </c>
      <c r="AJ986" s="473">
        <v>44278</v>
      </c>
      <c r="AK986" s="474">
        <v>21331.759999999998</v>
      </c>
      <c r="AL986" s="475">
        <v>-5.7999999999999996E-3</v>
      </c>
      <c r="AM986" s="475">
        <f t="shared" si="60"/>
        <v>-5.7853577735531569E-3</v>
      </c>
      <c r="AN986" s="464"/>
      <c r="AO986" s="464"/>
      <c r="AR986" s="464">
        <f t="shared" si="59"/>
        <v>966</v>
      </c>
      <c r="AS986" s="464" t="s">
        <v>1672</v>
      </c>
      <c r="AT986" s="381">
        <v>2.49E-3</v>
      </c>
      <c r="AV986" s="464"/>
      <c r="AW986" s="465"/>
    </row>
    <row r="987" spans="35:49">
      <c r="AI987" s="464">
        <f t="shared" si="58"/>
        <v>967</v>
      </c>
      <c r="AJ987" s="473">
        <v>44279</v>
      </c>
      <c r="AK987" s="474">
        <v>21402.54</v>
      </c>
      <c r="AL987" s="475">
        <v>3.3E-3</v>
      </c>
      <c r="AM987" s="475">
        <f t="shared" si="60"/>
        <v>3.3180572067190717E-3</v>
      </c>
      <c r="AN987" s="464"/>
      <c r="AO987" s="464"/>
      <c r="AR987" s="464">
        <f t="shared" si="59"/>
        <v>967</v>
      </c>
      <c r="AS987" s="464" t="s">
        <v>1671</v>
      </c>
      <c r="AT987" s="381">
        <v>1.9E-3</v>
      </c>
      <c r="AV987" s="464"/>
      <c r="AW987" s="465"/>
    </row>
    <row r="988" spans="35:49">
      <c r="AI988" s="464">
        <f t="shared" si="58"/>
        <v>968</v>
      </c>
      <c r="AJ988" s="473">
        <v>44280</v>
      </c>
      <c r="AK988" s="474">
        <v>21277.84</v>
      </c>
      <c r="AL988" s="475">
        <v>-5.7999999999999996E-3</v>
      </c>
      <c r="AM988" s="475">
        <f t="shared" si="60"/>
        <v>-5.8264112577292027E-3</v>
      </c>
      <c r="AN988" s="464"/>
      <c r="AO988" s="464"/>
      <c r="AR988" s="464">
        <f t="shared" si="59"/>
        <v>968</v>
      </c>
      <c r="AS988" s="464" t="s">
        <v>1670</v>
      </c>
      <c r="AT988" s="381">
        <v>2.3899999999999998E-3</v>
      </c>
      <c r="AV988" s="464"/>
      <c r="AW988" s="465"/>
    </row>
    <row r="989" spans="35:49">
      <c r="AI989" s="464">
        <f t="shared" si="58"/>
        <v>969</v>
      </c>
      <c r="AJ989" s="473">
        <v>44281</v>
      </c>
      <c r="AK989" s="474">
        <v>21486.73</v>
      </c>
      <c r="AL989" s="475">
        <v>9.7999999999999997E-3</v>
      </c>
      <c r="AM989" s="475">
        <f t="shared" si="60"/>
        <v>9.8172558868756532E-3</v>
      </c>
      <c r="AN989" s="464"/>
      <c r="AO989" s="464"/>
      <c r="AR989" s="464">
        <f t="shared" si="59"/>
        <v>969</v>
      </c>
      <c r="AS989" s="464" t="s">
        <v>1669</v>
      </c>
      <c r="AT989" s="381">
        <v>2.3E-3</v>
      </c>
      <c r="AV989" s="464"/>
      <c r="AW989" s="465"/>
    </row>
    <row r="990" spans="35:49">
      <c r="AI990" s="464">
        <f t="shared" si="58"/>
        <v>970</v>
      </c>
      <c r="AJ990" s="473">
        <v>44284</v>
      </c>
      <c r="AK990" s="474">
        <v>21435.54</v>
      </c>
      <c r="AL990" s="475">
        <v>-2.3999999999999998E-3</v>
      </c>
      <c r="AM990" s="475">
        <f t="shared" si="60"/>
        <v>-2.3824006724149083E-3</v>
      </c>
      <c r="AN990" s="464"/>
      <c r="AO990" s="464"/>
      <c r="AR990" s="464">
        <f t="shared" si="59"/>
        <v>970</v>
      </c>
      <c r="AS990" s="464" t="s">
        <v>1668</v>
      </c>
      <c r="AT990" s="381">
        <v>1.8500000000000001E-3</v>
      </c>
      <c r="AV990" s="464"/>
      <c r="AW990" s="465"/>
    </row>
    <row r="991" spans="35:49">
      <c r="AI991" s="464">
        <f t="shared" si="58"/>
        <v>971</v>
      </c>
      <c r="AJ991" s="473">
        <v>44285</v>
      </c>
      <c r="AK991" s="474">
        <v>21574.44</v>
      </c>
      <c r="AL991" s="475">
        <v>6.4999999999999997E-3</v>
      </c>
      <c r="AM991" s="475">
        <f t="shared" si="60"/>
        <v>6.4798927388811656E-3</v>
      </c>
      <c r="AN991" s="464"/>
      <c r="AO991" s="464"/>
      <c r="AR991" s="464">
        <f t="shared" si="59"/>
        <v>971</v>
      </c>
      <c r="AS991" s="464" t="s">
        <v>1667</v>
      </c>
      <c r="AT991" s="381">
        <v>1.805E-3</v>
      </c>
      <c r="AV991" s="464"/>
      <c r="AW991" s="465"/>
    </row>
    <row r="992" spans="35:49">
      <c r="AI992" s="464">
        <f t="shared" si="58"/>
        <v>972</v>
      </c>
      <c r="AJ992" s="473">
        <v>44286</v>
      </c>
      <c r="AK992" s="474">
        <v>21518.71</v>
      </c>
      <c r="AL992" s="475">
        <v>-2.5999999999999999E-3</v>
      </c>
      <c r="AM992" s="475">
        <f t="shared" si="60"/>
        <v>-2.5831493192870481E-3</v>
      </c>
      <c r="AN992" s="464"/>
      <c r="AO992" s="464"/>
      <c r="AR992" s="464">
        <f t="shared" si="59"/>
        <v>972</v>
      </c>
      <c r="AS992" s="464" t="s">
        <v>1666</v>
      </c>
      <c r="AT992" s="381">
        <v>1.805E-3</v>
      </c>
      <c r="AV992" s="464"/>
      <c r="AW992" s="465"/>
    </row>
    <row r="993" spans="35:49">
      <c r="AI993" s="464">
        <f t="shared" si="58"/>
        <v>973</v>
      </c>
      <c r="AJ993" s="473">
        <v>44287</v>
      </c>
      <c r="AK993" s="474">
        <v>21732.67</v>
      </c>
      <c r="AL993" s="475">
        <v>9.9000000000000008E-3</v>
      </c>
      <c r="AM993" s="475">
        <f t="shared" si="60"/>
        <v>9.9429752062274446E-3</v>
      </c>
      <c r="AN993" s="464"/>
      <c r="AO993" s="464"/>
      <c r="AR993" s="464">
        <f t="shared" si="59"/>
        <v>973</v>
      </c>
      <c r="AS993" s="464" t="s">
        <v>1665</v>
      </c>
      <c r="AT993" s="381">
        <v>1.97E-3</v>
      </c>
      <c r="AV993" s="464"/>
      <c r="AW993" s="465"/>
    </row>
    <row r="994" spans="35:49">
      <c r="AI994" s="464">
        <f t="shared" si="58"/>
        <v>974</v>
      </c>
      <c r="AJ994" s="473">
        <v>44292</v>
      </c>
      <c r="AK994" s="474">
        <v>21994.48</v>
      </c>
      <c r="AL994" s="475">
        <v>1.2E-2</v>
      </c>
      <c r="AM994" s="475">
        <f t="shared" si="60"/>
        <v>1.2046840079934951E-2</v>
      </c>
      <c r="AN994" s="464"/>
      <c r="AO994" s="464"/>
      <c r="AR994" s="464">
        <f t="shared" si="59"/>
        <v>974</v>
      </c>
      <c r="AS994" s="464" t="s">
        <v>1664</v>
      </c>
      <c r="AT994" s="381">
        <v>2.2000000000000001E-3</v>
      </c>
      <c r="AV994" s="464"/>
      <c r="AW994" s="465"/>
    </row>
    <row r="995" spans="35:49">
      <c r="AI995" s="464">
        <f t="shared" si="58"/>
        <v>975</v>
      </c>
      <c r="AJ995" s="473">
        <v>44293</v>
      </c>
      <c r="AK995" s="474">
        <v>22160.57</v>
      </c>
      <c r="AL995" s="475">
        <v>7.6E-3</v>
      </c>
      <c r="AM995" s="475">
        <f t="shared" si="60"/>
        <v>7.5514401795360175E-3</v>
      </c>
      <c r="AN995" s="464"/>
      <c r="AO995" s="464"/>
      <c r="AR995" s="464">
        <f t="shared" si="59"/>
        <v>975</v>
      </c>
      <c r="AS995" s="464" t="s">
        <v>1663</v>
      </c>
      <c r="AT995" s="381">
        <v>2.1299999999999999E-3</v>
      </c>
      <c r="AV995" s="464"/>
      <c r="AW995" s="465"/>
    </row>
    <row r="996" spans="35:49">
      <c r="AI996" s="464">
        <f t="shared" si="58"/>
        <v>976</v>
      </c>
      <c r="AJ996" s="473">
        <v>44294</v>
      </c>
      <c r="AK996" s="474">
        <v>22247.54</v>
      </c>
      <c r="AL996" s="475">
        <v>3.8999999999999998E-3</v>
      </c>
      <c r="AM996" s="475">
        <f t="shared" si="60"/>
        <v>3.9245380421171205E-3</v>
      </c>
      <c r="AN996" s="464"/>
      <c r="AO996" s="464"/>
      <c r="AR996" s="464">
        <f t="shared" si="59"/>
        <v>976</v>
      </c>
      <c r="AS996" s="464" t="s">
        <v>1662</v>
      </c>
      <c r="AT996" s="381">
        <v>1.8699999999999999E-3</v>
      </c>
      <c r="AV996" s="464"/>
      <c r="AW996" s="465"/>
    </row>
    <row r="997" spans="35:49">
      <c r="AI997" s="464">
        <f t="shared" si="58"/>
        <v>977</v>
      </c>
      <c r="AJ997" s="473">
        <v>44295</v>
      </c>
      <c r="AK997" s="474">
        <v>22251.26</v>
      </c>
      <c r="AL997" s="475">
        <v>2.0000000000000001E-4</v>
      </c>
      <c r="AM997" s="475">
        <f t="shared" si="60"/>
        <v>1.67209498218579E-4</v>
      </c>
      <c r="AN997" s="464"/>
      <c r="AO997" s="464"/>
      <c r="AR997" s="464">
        <f t="shared" si="59"/>
        <v>977</v>
      </c>
      <c r="AS997" s="464" t="s">
        <v>1661</v>
      </c>
      <c r="AT997" s="381">
        <v>1.8599999999999999E-3</v>
      </c>
      <c r="AV997" s="464"/>
      <c r="AW997" s="465"/>
    </row>
    <row r="998" spans="35:49">
      <c r="AI998" s="464">
        <f t="shared" si="58"/>
        <v>978</v>
      </c>
      <c r="AJ998" s="473">
        <v>44298</v>
      </c>
      <c r="AK998" s="474">
        <v>22153.55</v>
      </c>
      <c r="AL998" s="475">
        <v>-4.4000000000000003E-3</v>
      </c>
      <c r="AM998" s="475">
        <f t="shared" si="60"/>
        <v>-4.3912120032753021E-3</v>
      </c>
      <c r="AN998" s="464"/>
      <c r="AO998" s="464"/>
      <c r="AR998" s="464">
        <f t="shared" si="59"/>
        <v>978</v>
      </c>
      <c r="AS998" s="464" t="s">
        <v>1660</v>
      </c>
      <c r="AT998" s="381">
        <v>1.825E-3</v>
      </c>
      <c r="AV998" s="464"/>
      <c r="AW998" s="465"/>
    </row>
    <row r="999" spans="35:49">
      <c r="AI999" s="464">
        <f t="shared" si="58"/>
        <v>979</v>
      </c>
      <c r="AJ999" s="473">
        <v>44299</v>
      </c>
      <c r="AK999" s="474">
        <v>22268.46</v>
      </c>
      <c r="AL999" s="475">
        <v>5.1999999999999998E-3</v>
      </c>
      <c r="AM999" s="475">
        <f t="shared" si="60"/>
        <v>5.1869790620464595E-3</v>
      </c>
      <c r="AN999" s="464"/>
      <c r="AO999" s="464"/>
      <c r="AR999" s="464">
        <f t="shared" si="59"/>
        <v>979</v>
      </c>
      <c r="AS999" s="464" t="s">
        <v>1659</v>
      </c>
      <c r="AT999" s="381">
        <v>1.7699999999999999E-3</v>
      </c>
      <c r="AV999" s="464"/>
      <c r="AW999" s="465"/>
    </row>
    <row r="1000" spans="35:49">
      <c r="AI1000" s="464">
        <f t="shared" si="58"/>
        <v>980</v>
      </c>
      <c r="AJ1000" s="473">
        <v>44300</v>
      </c>
      <c r="AK1000" s="474">
        <v>22355.45</v>
      </c>
      <c r="AL1000" s="475">
        <v>3.8999999999999998E-3</v>
      </c>
      <c r="AM1000" s="475">
        <f t="shared" si="60"/>
        <v>3.9064219079363305E-3</v>
      </c>
      <c r="AN1000" s="464"/>
      <c r="AO1000" s="464"/>
      <c r="AR1000" s="464">
        <f t="shared" si="59"/>
        <v>980</v>
      </c>
      <c r="AS1000" s="464" t="s">
        <v>1658</v>
      </c>
      <c r="AT1000" s="381">
        <v>1.6000000000000001E-3</v>
      </c>
      <c r="AV1000" s="464"/>
      <c r="AW1000" s="465"/>
    </row>
    <row r="1001" spans="35:49">
      <c r="AI1001" s="464">
        <f t="shared" si="58"/>
        <v>981</v>
      </c>
      <c r="AJ1001" s="473">
        <v>44301</v>
      </c>
      <c r="AK1001" s="474">
        <v>22472.04</v>
      </c>
      <c r="AL1001" s="475">
        <v>5.1999999999999998E-3</v>
      </c>
      <c r="AM1001" s="475">
        <f t="shared" si="60"/>
        <v>5.2152830741496459E-3</v>
      </c>
      <c r="AN1001" s="464"/>
      <c r="AO1001" s="464"/>
      <c r="AR1001" s="464">
        <f t="shared" si="59"/>
        <v>981</v>
      </c>
      <c r="AS1001" s="464" t="s">
        <v>1657</v>
      </c>
      <c r="AT1001" s="381">
        <v>2.0499999999999997E-3</v>
      </c>
      <c r="AV1001" s="464"/>
      <c r="AW1001" s="465"/>
    </row>
    <row r="1002" spans="35:49">
      <c r="AI1002" s="464">
        <f t="shared" si="58"/>
        <v>982</v>
      </c>
      <c r="AJ1002" s="473">
        <v>44302</v>
      </c>
      <c r="AK1002" s="474">
        <v>22522.18</v>
      </c>
      <c r="AL1002" s="475">
        <v>2.2000000000000001E-3</v>
      </c>
      <c r="AM1002" s="475">
        <f t="shared" si="60"/>
        <v>2.2312171035652195E-3</v>
      </c>
      <c r="AN1002" s="464"/>
      <c r="AO1002" s="464"/>
      <c r="AR1002" s="464">
        <f t="shared" si="59"/>
        <v>982</v>
      </c>
      <c r="AS1002" s="464" t="s">
        <v>1656</v>
      </c>
      <c r="AT1002" s="381">
        <v>2.1900000000000001E-3</v>
      </c>
      <c r="AV1002" s="464"/>
      <c r="AW1002" s="465"/>
    </row>
    <row r="1003" spans="35:49">
      <c r="AI1003" s="464">
        <f t="shared" si="58"/>
        <v>983</v>
      </c>
      <c r="AJ1003" s="473">
        <v>44305</v>
      </c>
      <c r="AK1003" s="474">
        <v>22490.86</v>
      </c>
      <c r="AL1003" s="475">
        <v>-1.4E-3</v>
      </c>
      <c r="AM1003" s="475">
        <f t="shared" si="60"/>
        <v>-1.3906291486880384E-3</v>
      </c>
      <c r="AN1003" s="464"/>
      <c r="AO1003" s="464"/>
      <c r="AR1003" s="464">
        <f t="shared" si="59"/>
        <v>983</v>
      </c>
      <c r="AS1003" s="464" t="s">
        <v>1655</v>
      </c>
      <c r="AT1003" s="381">
        <v>2.2400000000000002E-3</v>
      </c>
      <c r="AV1003" s="464"/>
      <c r="AW1003" s="465"/>
    </row>
    <row r="1004" spans="35:49">
      <c r="AI1004" s="464">
        <f t="shared" si="58"/>
        <v>984</v>
      </c>
      <c r="AJ1004" s="473">
        <v>44306</v>
      </c>
      <c r="AK1004" s="474">
        <v>22108.55</v>
      </c>
      <c r="AL1004" s="475">
        <v>-1.7000000000000001E-2</v>
      </c>
      <c r="AM1004" s="475">
        <f t="shared" si="60"/>
        <v>-1.6998460708038787E-2</v>
      </c>
      <c r="AN1004" s="464"/>
      <c r="AO1004" s="464"/>
      <c r="AR1004" s="464">
        <f t="shared" si="59"/>
        <v>984</v>
      </c>
      <c r="AS1004" s="464" t="s">
        <v>1654</v>
      </c>
      <c r="AT1004" s="381">
        <v>1.9E-3</v>
      </c>
      <c r="AV1004" s="464"/>
      <c r="AW1004" s="465"/>
    </row>
    <row r="1005" spans="35:49">
      <c r="AI1005" s="464">
        <f t="shared" si="58"/>
        <v>985</v>
      </c>
      <c r="AJ1005" s="473">
        <v>44307</v>
      </c>
      <c r="AK1005" s="474">
        <v>22085.73</v>
      </c>
      <c r="AL1005" s="475">
        <v>-1E-3</v>
      </c>
      <c r="AM1005" s="475">
        <f t="shared" si="60"/>
        <v>-1.0321798580187336E-3</v>
      </c>
      <c r="AN1005" s="464"/>
      <c r="AO1005" s="464"/>
      <c r="AR1005" s="464">
        <f t="shared" si="59"/>
        <v>985</v>
      </c>
      <c r="AS1005" s="464" t="s">
        <v>1653</v>
      </c>
      <c r="AT1005" s="381">
        <v>1.9250000000000001E-3</v>
      </c>
      <c r="AV1005" s="464"/>
      <c r="AW1005" s="465"/>
    </row>
    <row r="1006" spans="35:49">
      <c r="AI1006" s="464">
        <f t="shared" si="58"/>
        <v>986</v>
      </c>
      <c r="AJ1006" s="473">
        <v>44308</v>
      </c>
      <c r="AK1006" s="474">
        <v>22364.87</v>
      </c>
      <c r="AL1006" s="475">
        <v>1.26E-2</v>
      </c>
      <c r="AM1006" s="475">
        <f t="shared" si="60"/>
        <v>1.2638930205159493E-2</v>
      </c>
      <c r="AN1006" s="464"/>
      <c r="AO1006" s="464"/>
      <c r="AR1006" s="464">
        <f t="shared" si="59"/>
        <v>986</v>
      </c>
      <c r="AS1006" s="464" t="s">
        <v>1652</v>
      </c>
      <c r="AT1006" s="381">
        <v>1.8799999999999999E-3</v>
      </c>
      <c r="AV1006" s="464"/>
      <c r="AW1006" s="465"/>
    </row>
    <row r="1007" spans="35:49">
      <c r="AI1007" s="464">
        <f t="shared" si="58"/>
        <v>987</v>
      </c>
      <c r="AJ1007" s="473">
        <v>44309</v>
      </c>
      <c r="AK1007" s="474">
        <v>22372.26</v>
      </c>
      <c r="AL1007" s="475">
        <v>2.9999999999999997E-4</v>
      </c>
      <c r="AM1007" s="475">
        <f t="shared" si="60"/>
        <v>3.3042892715218208E-4</v>
      </c>
      <c r="AN1007" s="464"/>
      <c r="AO1007" s="464"/>
      <c r="AR1007" s="464">
        <f t="shared" si="59"/>
        <v>987</v>
      </c>
      <c r="AS1007" s="464" t="s">
        <v>1651</v>
      </c>
      <c r="AT1007" s="381">
        <v>2.0399999999999997E-3</v>
      </c>
      <c r="AV1007" s="464"/>
      <c r="AW1007" s="465"/>
    </row>
    <row r="1008" spans="35:49">
      <c r="AI1008" s="464">
        <f t="shared" si="58"/>
        <v>988</v>
      </c>
      <c r="AJ1008" s="473">
        <v>44312</v>
      </c>
      <c r="AK1008" s="474">
        <v>22577.34</v>
      </c>
      <c r="AL1008" s="475">
        <v>9.1999999999999998E-3</v>
      </c>
      <c r="AM1008" s="475">
        <f t="shared" si="60"/>
        <v>9.1667091299671988E-3</v>
      </c>
      <c r="AN1008" s="464"/>
      <c r="AO1008" s="464"/>
      <c r="AR1008" s="464">
        <f t="shared" si="59"/>
        <v>988</v>
      </c>
      <c r="AS1008" s="464" t="s">
        <v>1650</v>
      </c>
      <c r="AT1008" s="381">
        <v>1.8400000000000001E-3</v>
      </c>
      <c r="AV1008" s="464"/>
      <c r="AW1008" s="465"/>
    </row>
    <row r="1009" spans="35:49">
      <c r="AI1009" s="464">
        <f t="shared" si="58"/>
        <v>989</v>
      </c>
      <c r="AJ1009" s="473">
        <v>44313</v>
      </c>
      <c r="AK1009" s="474">
        <v>22433.08</v>
      </c>
      <c r="AL1009" s="475">
        <v>-6.4000000000000003E-3</v>
      </c>
      <c r="AM1009" s="475">
        <f t="shared" si="60"/>
        <v>-6.3895923966241774E-3</v>
      </c>
      <c r="AN1009" s="464"/>
      <c r="AO1009" s="464"/>
      <c r="AR1009" s="464">
        <f t="shared" si="59"/>
        <v>989</v>
      </c>
      <c r="AS1009" s="464" t="s">
        <v>1649</v>
      </c>
      <c r="AT1009" s="381">
        <v>2.32E-3</v>
      </c>
      <c r="AV1009" s="464"/>
      <c r="AW1009" s="465"/>
    </row>
    <row r="1010" spans="35:49">
      <c r="AI1010" s="464">
        <f t="shared" si="58"/>
        <v>990</v>
      </c>
      <c r="AJ1010" s="473">
        <v>44314</v>
      </c>
      <c r="AK1010" s="474">
        <v>22439.82</v>
      </c>
      <c r="AL1010" s="475">
        <v>2.9999999999999997E-4</v>
      </c>
      <c r="AM1010" s="475">
        <f t="shared" si="60"/>
        <v>3.0044915811822115E-4</v>
      </c>
      <c r="AN1010" s="464"/>
      <c r="AO1010" s="464"/>
      <c r="AR1010" s="464">
        <f t="shared" si="59"/>
        <v>990</v>
      </c>
      <c r="AS1010" s="464" t="s">
        <v>1648</v>
      </c>
      <c r="AT1010" s="381">
        <v>2.3699999999999997E-3</v>
      </c>
      <c r="AV1010" s="464"/>
      <c r="AW1010" s="465"/>
    </row>
    <row r="1011" spans="35:49">
      <c r="AI1011" s="464">
        <f t="shared" si="58"/>
        <v>991</v>
      </c>
      <c r="AJ1011" s="473">
        <v>44315</v>
      </c>
      <c r="AK1011" s="474">
        <v>22392.94</v>
      </c>
      <c r="AL1011" s="475">
        <v>-2.0999999999999999E-3</v>
      </c>
      <c r="AM1011" s="475">
        <f t="shared" si="60"/>
        <v>-2.0891433175489471E-3</v>
      </c>
      <c r="AN1011" s="464"/>
      <c r="AO1011" s="464"/>
      <c r="AR1011" s="464">
        <f t="shared" si="59"/>
        <v>991</v>
      </c>
      <c r="AS1011" s="464" t="s">
        <v>1647</v>
      </c>
      <c r="AT1011" s="381">
        <v>2.47E-3</v>
      </c>
      <c r="AV1011" s="464"/>
      <c r="AW1011" s="465"/>
    </row>
    <row r="1012" spans="35:49">
      <c r="AI1012" s="464">
        <f t="shared" si="58"/>
        <v>992</v>
      </c>
      <c r="AJ1012" s="473">
        <v>44316</v>
      </c>
      <c r="AK1012" s="474">
        <v>22497.37</v>
      </c>
      <c r="AL1012" s="475">
        <v>4.7000000000000002E-3</v>
      </c>
      <c r="AM1012" s="475">
        <f t="shared" si="60"/>
        <v>4.663523414076165E-3</v>
      </c>
      <c r="AN1012" s="464"/>
      <c r="AO1012" s="464"/>
      <c r="AR1012" s="464">
        <f t="shared" si="59"/>
        <v>992</v>
      </c>
      <c r="AS1012" s="464" t="s">
        <v>1646</v>
      </c>
      <c r="AT1012" s="381">
        <v>2.5149999999999999E-3</v>
      </c>
      <c r="AV1012" s="464"/>
      <c r="AW1012" s="465"/>
    </row>
    <row r="1013" spans="35:49">
      <c r="AI1013" s="464">
        <f t="shared" si="58"/>
        <v>993</v>
      </c>
      <c r="AJ1013" s="473">
        <v>44320</v>
      </c>
      <c r="AK1013" s="474">
        <v>22330.04</v>
      </c>
      <c r="AL1013" s="475">
        <v>-7.4000000000000003E-3</v>
      </c>
      <c r="AM1013" s="475">
        <f t="shared" si="60"/>
        <v>-7.4377582801899988E-3</v>
      </c>
      <c r="AN1013" s="464"/>
      <c r="AO1013" s="464"/>
      <c r="AR1013" s="464">
        <f t="shared" si="59"/>
        <v>993</v>
      </c>
      <c r="AS1013" s="464" t="s">
        <v>1645</v>
      </c>
      <c r="AT1013" s="381">
        <v>2.5100000000000001E-3</v>
      </c>
      <c r="AV1013" s="464"/>
      <c r="AW1013" s="465"/>
    </row>
    <row r="1014" spans="35:49">
      <c r="AI1014" s="464">
        <f t="shared" si="58"/>
        <v>994</v>
      </c>
      <c r="AJ1014" s="473">
        <v>44321</v>
      </c>
      <c r="AK1014" s="474">
        <v>22385.9</v>
      </c>
      <c r="AL1014" s="475">
        <v>2.5000000000000001E-3</v>
      </c>
      <c r="AM1014" s="475">
        <f t="shared" si="60"/>
        <v>2.5015629170390685E-3</v>
      </c>
      <c r="AN1014" s="464"/>
      <c r="AO1014" s="464"/>
      <c r="AR1014" s="464">
        <f t="shared" si="59"/>
        <v>994</v>
      </c>
      <c r="AS1014" s="464" t="s">
        <v>1644</v>
      </c>
      <c r="AT1014" s="381">
        <v>2.8899999999999998E-3</v>
      </c>
      <c r="AV1014" s="464"/>
      <c r="AW1014" s="465"/>
    </row>
    <row r="1015" spans="35:49">
      <c r="AI1015" s="464">
        <f t="shared" si="58"/>
        <v>995</v>
      </c>
      <c r="AJ1015" s="473">
        <v>44322</v>
      </c>
      <c r="AK1015" s="474">
        <v>22491.360000000001</v>
      </c>
      <c r="AL1015" s="475">
        <v>4.7000000000000002E-3</v>
      </c>
      <c r="AM1015" s="475">
        <f t="shared" si="60"/>
        <v>4.7110011212414538E-3</v>
      </c>
      <c r="AN1015" s="464"/>
      <c r="AO1015" s="464"/>
      <c r="AR1015" s="464">
        <f t="shared" si="59"/>
        <v>995</v>
      </c>
      <c r="AS1015" s="464" t="s">
        <v>1643</v>
      </c>
      <c r="AT1015" s="381">
        <v>2.8599999999999997E-3</v>
      </c>
      <c r="AV1015" s="464"/>
      <c r="AW1015" s="465"/>
    </row>
    <row r="1016" spans="35:49">
      <c r="AI1016" s="464">
        <f t="shared" si="58"/>
        <v>996</v>
      </c>
      <c r="AJ1016" s="473">
        <v>44323</v>
      </c>
      <c r="AK1016" s="474">
        <v>22775.279999999999</v>
      </c>
      <c r="AL1016" s="475">
        <v>1.26E-2</v>
      </c>
      <c r="AM1016" s="475">
        <f t="shared" si="60"/>
        <v>1.2623514096079536E-2</v>
      </c>
      <c r="AN1016" s="464"/>
      <c r="AO1016" s="464"/>
      <c r="AR1016" s="464">
        <f t="shared" si="59"/>
        <v>996</v>
      </c>
      <c r="AS1016" s="464" t="s">
        <v>1642</v>
      </c>
      <c r="AT1016" s="381">
        <v>3.0399999999999997E-3</v>
      </c>
      <c r="AV1016" s="464"/>
      <c r="AW1016" s="465"/>
    </row>
    <row r="1017" spans="35:49">
      <c r="AI1017" s="464">
        <f t="shared" si="58"/>
        <v>997</v>
      </c>
      <c r="AJ1017" s="473">
        <v>44326</v>
      </c>
      <c r="AK1017" s="474">
        <v>22697.19</v>
      </c>
      <c r="AL1017" s="475">
        <v>-3.3999999999999998E-3</v>
      </c>
      <c r="AM1017" s="475">
        <f t="shared" si="60"/>
        <v>-3.4287174515527097E-3</v>
      </c>
      <c r="AN1017" s="464"/>
      <c r="AO1017" s="464"/>
      <c r="AR1017" s="464">
        <f t="shared" si="59"/>
        <v>997</v>
      </c>
      <c r="AS1017" s="464" t="s">
        <v>1641</v>
      </c>
      <c r="AT1017" s="381">
        <v>2.8899999999999998E-3</v>
      </c>
      <c r="AV1017" s="464"/>
      <c r="AW1017" s="465"/>
    </row>
    <row r="1018" spans="35:49">
      <c r="AI1018" s="464">
        <f t="shared" si="58"/>
        <v>998</v>
      </c>
      <c r="AJ1018" s="473">
        <v>44327</v>
      </c>
      <c r="AK1018" s="474">
        <v>22167.14</v>
      </c>
      <c r="AL1018" s="475">
        <v>-2.3400000000000001E-2</v>
      </c>
      <c r="AM1018" s="475">
        <f t="shared" si="60"/>
        <v>-2.3353111111992231E-2</v>
      </c>
      <c r="AN1018" s="464"/>
      <c r="AO1018" s="464"/>
      <c r="AR1018" s="464">
        <f t="shared" si="59"/>
        <v>998</v>
      </c>
      <c r="AS1018" s="464" t="s">
        <v>1640</v>
      </c>
      <c r="AT1018" s="381">
        <v>2.8399999999999996E-3</v>
      </c>
      <c r="AV1018" s="464"/>
      <c r="AW1018" s="465"/>
    </row>
    <row r="1019" spans="35:49">
      <c r="AI1019" s="464">
        <f t="shared" si="58"/>
        <v>999</v>
      </c>
      <c r="AJ1019" s="473">
        <v>44328</v>
      </c>
      <c r="AK1019" s="474">
        <v>22107.84</v>
      </c>
      <c r="AL1019" s="475">
        <v>-2.7000000000000001E-3</v>
      </c>
      <c r="AM1019" s="475">
        <f t="shared" si="60"/>
        <v>-2.6751308468300206E-3</v>
      </c>
      <c r="AN1019" s="464"/>
      <c r="AO1019" s="464"/>
      <c r="AR1019" s="464">
        <f t="shared" si="59"/>
        <v>999</v>
      </c>
      <c r="AS1019" s="464" t="s">
        <v>1639</v>
      </c>
      <c r="AT1019" s="381">
        <v>2.7600000000000003E-3</v>
      </c>
      <c r="AV1019" s="464"/>
      <c r="AW1019" s="465"/>
    </row>
    <row r="1020" spans="35:49">
      <c r="AI1020" s="464">
        <f t="shared" si="58"/>
        <v>1000</v>
      </c>
      <c r="AJ1020" s="473">
        <v>44329</v>
      </c>
      <c r="AK1020" s="474">
        <v>22069.31</v>
      </c>
      <c r="AL1020" s="475">
        <v>-1.6999999999999999E-3</v>
      </c>
      <c r="AM1020" s="475">
        <f t="shared" si="60"/>
        <v>-1.7428206464312757E-3</v>
      </c>
      <c r="AN1020" s="464"/>
      <c r="AO1020" s="464"/>
      <c r="AR1020" s="464">
        <f t="shared" si="59"/>
        <v>1000</v>
      </c>
      <c r="AS1020" s="464" t="s">
        <v>1638</v>
      </c>
      <c r="AT1020" s="381">
        <v>2.735E-3</v>
      </c>
      <c r="AV1020" s="464"/>
      <c r="AW1020" s="465"/>
    </row>
    <row r="1021" spans="35:49">
      <c r="AI1021" s="464">
        <f t="shared" si="58"/>
        <v>1001</v>
      </c>
      <c r="AJ1021" s="473">
        <v>44330</v>
      </c>
      <c r="AK1021" s="474">
        <v>22336.1</v>
      </c>
      <c r="AL1021" s="475">
        <v>1.21E-2</v>
      </c>
      <c r="AM1021" s="475">
        <f t="shared" si="60"/>
        <v>1.2088733177430422E-2</v>
      </c>
      <c r="AN1021" s="464"/>
      <c r="AO1021" s="464"/>
      <c r="AR1021" s="464">
        <f t="shared" si="59"/>
        <v>1001</v>
      </c>
      <c r="AS1021" s="464" t="s">
        <v>1637</v>
      </c>
      <c r="AT1021" s="381">
        <v>2.7500000000000003E-3</v>
      </c>
      <c r="AV1021" s="464"/>
      <c r="AW1021" s="465"/>
    </row>
    <row r="1022" spans="35:49">
      <c r="AI1022" s="464">
        <f t="shared" si="58"/>
        <v>1002</v>
      </c>
      <c r="AJ1022" s="473">
        <v>44333</v>
      </c>
      <c r="AK1022" s="474">
        <v>22214.14</v>
      </c>
      <c r="AL1022" s="475">
        <v>-5.4999999999999997E-3</v>
      </c>
      <c r="AM1022" s="475">
        <f t="shared" si="60"/>
        <v>-5.4602191071851935E-3</v>
      </c>
      <c r="AN1022" s="464"/>
      <c r="AO1022" s="464"/>
      <c r="AR1022" s="464">
        <f t="shared" si="59"/>
        <v>1002</v>
      </c>
      <c r="AS1022" s="464" t="s">
        <v>1636</v>
      </c>
      <c r="AT1022" s="381">
        <v>2.4099999999999998E-3</v>
      </c>
      <c r="AV1022" s="464"/>
      <c r="AW1022" s="465"/>
    </row>
    <row r="1023" spans="35:49">
      <c r="AI1023" s="464">
        <f t="shared" si="58"/>
        <v>1003</v>
      </c>
      <c r="AJ1023" s="473">
        <v>44334</v>
      </c>
      <c r="AK1023" s="474">
        <v>22332.560000000001</v>
      </c>
      <c r="AL1023" s="475">
        <v>5.3E-3</v>
      </c>
      <c r="AM1023" s="475">
        <f t="shared" si="60"/>
        <v>5.3308388260810968E-3</v>
      </c>
      <c r="AN1023" s="464"/>
      <c r="AO1023" s="464"/>
      <c r="AR1023" s="464">
        <f t="shared" si="59"/>
        <v>1003</v>
      </c>
      <c r="AS1023" s="464" t="s">
        <v>1635</v>
      </c>
      <c r="AT1023" s="381">
        <v>2.2100000000000002E-3</v>
      </c>
      <c r="AV1023" s="464"/>
      <c r="AW1023" s="465"/>
    </row>
    <row r="1024" spans="35:49">
      <c r="AI1024" s="464">
        <f t="shared" si="58"/>
        <v>1004</v>
      </c>
      <c r="AJ1024" s="473">
        <v>44335</v>
      </c>
      <c r="AK1024" s="474">
        <v>22234.53</v>
      </c>
      <c r="AL1024" s="475">
        <v>-4.4000000000000003E-3</v>
      </c>
      <c r="AM1024" s="475">
        <f t="shared" si="60"/>
        <v>-4.3895549816054258E-3</v>
      </c>
      <c r="AN1024" s="464"/>
      <c r="AO1024" s="464"/>
      <c r="AR1024" s="464">
        <f t="shared" si="59"/>
        <v>1004</v>
      </c>
      <c r="AS1024" s="464" t="s">
        <v>1634</v>
      </c>
      <c r="AT1024" s="381">
        <v>1.82E-3</v>
      </c>
      <c r="AV1024" s="464"/>
      <c r="AW1024" s="465"/>
    </row>
    <row r="1025" spans="35:49">
      <c r="AI1025" s="464">
        <f t="shared" si="58"/>
        <v>1005</v>
      </c>
      <c r="AJ1025" s="473">
        <v>44336</v>
      </c>
      <c r="AK1025" s="474">
        <v>22392</v>
      </c>
      <c r="AL1025" s="475">
        <v>7.1000000000000004E-3</v>
      </c>
      <c r="AM1025" s="475">
        <f t="shared" si="60"/>
        <v>7.0822275082946806E-3</v>
      </c>
      <c r="AN1025" s="464"/>
      <c r="AO1025" s="464"/>
      <c r="AR1025" s="464">
        <f t="shared" si="59"/>
        <v>1005</v>
      </c>
      <c r="AS1025" s="464" t="s">
        <v>1633</v>
      </c>
      <c r="AT1025" s="381">
        <v>1.83E-3</v>
      </c>
      <c r="AV1025" s="464"/>
      <c r="AW1025" s="465"/>
    </row>
    <row r="1026" spans="35:49">
      <c r="AI1026" s="464">
        <f t="shared" si="58"/>
        <v>1006</v>
      </c>
      <c r="AJ1026" s="473">
        <v>44337</v>
      </c>
      <c r="AK1026" s="474">
        <v>22399.42</v>
      </c>
      <c r="AL1026" s="475">
        <v>2.9999999999999997E-4</v>
      </c>
      <c r="AM1026" s="475">
        <f t="shared" si="60"/>
        <v>3.3136834583769037E-4</v>
      </c>
      <c r="AN1026" s="464"/>
      <c r="AO1026" s="464"/>
      <c r="AR1026" s="464">
        <f t="shared" si="59"/>
        <v>1006</v>
      </c>
      <c r="AS1026" s="464" t="s">
        <v>1632</v>
      </c>
      <c r="AT1026" s="381">
        <v>1.81E-3</v>
      </c>
      <c r="AV1026" s="464"/>
      <c r="AW1026" s="465"/>
    </row>
    <row r="1027" spans="35:49">
      <c r="AI1027" s="464">
        <f t="shared" si="58"/>
        <v>1007</v>
      </c>
      <c r="AJ1027" s="473">
        <v>44340</v>
      </c>
      <c r="AK1027" s="474">
        <v>22483.73</v>
      </c>
      <c r="AL1027" s="475">
        <v>3.8E-3</v>
      </c>
      <c r="AM1027" s="475">
        <f t="shared" si="60"/>
        <v>3.7639367447908079E-3</v>
      </c>
      <c r="AN1027" s="464"/>
      <c r="AO1027" s="464"/>
      <c r="AR1027" s="464">
        <f t="shared" si="59"/>
        <v>1007</v>
      </c>
      <c r="AS1027" s="464" t="s">
        <v>1631</v>
      </c>
      <c r="AT1027" s="381">
        <v>1.7499999999999998E-3</v>
      </c>
      <c r="AV1027" s="464"/>
      <c r="AW1027" s="465"/>
    </row>
    <row r="1028" spans="35:49">
      <c r="AI1028" s="464">
        <f t="shared" si="58"/>
        <v>1008</v>
      </c>
      <c r="AJ1028" s="473">
        <v>44341</v>
      </c>
      <c r="AK1028" s="474">
        <v>22438.9</v>
      </c>
      <c r="AL1028" s="475">
        <v>-2E-3</v>
      </c>
      <c r="AM1028" s="475">
        <f t="shared" si="60"/>
        <v>-1.9938862457429263E-3</v>
      </c>
      <c r="AN1028" s="464"/>
      <c r="AO1028" s="464"/>
      <c r="AR1028" s="464">
        <f t="shared" si="59"/>
        <v>1008</v>
      </c>
      <c r="AS1028" s="464" t="s">
        <v>1630</v>
      </c>
      <c r="AT1028" s="381">
        <v>1.7100000000000001E-3</v>
      </c>
      <c r="AV1028" s="464"/>
      <c r="AW1028" s="465"/>
    </row>
    <row r="1029" spans="35:49">
      <c r="AI1029" s="464">
        <f t="shared" si="58"/>
        <v>1009</v>
      </c>
      <c r="AJ1029" s="473">
        <v>44342</v>
      </c>
      <c r="AK1029" s="474">
        <v>22640.080000000002</v>
      </c>
      <c r="AL1029" s="475">
        <v>8.9999999999999993E-3</v>
      </c>
      <c r="AM1029" s="475">
        <f t="shared" si="60"/>
        <v>8.9656801358355409E-3</v>
      </c>
      <c r="AN1029" s="464"/>
      <c r="AO1029" s="464"/>
      <c r="AR1029" s="464">
        <f t="shared" si="59"/>
        <v>1009</v>
      </c>
      <c r="AS1029" s="464" t="s">
        <v>1629</v>
      </c>
      <c r="AT1029" s="381">
        <v>1.8799999999999999E-3</v>
      </c>
      <c r="AV1029" s="464"/>
      <c r="AW1029" s="465"/>
    </row>
    <row r="1030" spans="35:49">
      <c r="AI1030" s="464">
        <f t="shared" si="58"/>
        <v>1010</v>
      </c>
      <c r="AJ1030" s="473">
        <v>44343</v>
      </c>
      <c r="AK1030" s="474">
        <v>22659.040000000001</v>
      </c>
      <c r="AL1030" s="475">
        <v>8.0000000000000004E-4</v>
      </c>
      <c r="AM1030" s="475">
        <f t="shared" si="60"/>
        <v>8.3745287119119105E-4</v>
      </c>
      <c r="AN1030" s="464"/>
      <c r="AO1030" s="464"/>
      <c r="AR1030" s="464">
        <f t="shared" si="59"/>
        <v>1010</v>
      </c>
      <c r="AS1030" s="464" t="s">
        <v>1628</v>
      </c>
      <c r="AT1030" s="381">
        <v>2.4299999999999999E-3</v>
      </c>
      <c r="AV1030" s="464"/>
      <c r="AW1030" s="465"/>
    </row>
    <row r="1031" spans="35:49">
      <c r="AI1031" s="464">
        <f t="shared" si="58"/>
        <v>1011</v>
      </c>
      <c r="AJ1031" s="473">
        <v>44344</v>
      </c>
      <c r="AK1031" s="474">
        <v>22683.95</v>
      </c>
      <c r="AL1031" s="475">
        <v>1.1000000000000001E-3</v>
      </c>
      <c r="AM1031" s="475">
        <f t="shared" si="60"/>
        <v>1.0993404839745313E-3</v>
      </c>
      <c r="AN1031" s="464"/>
      <c r="AO1031" s="464"/>
      <c r="AR1031" s="464">
        <f t="shared" si="59"/>
        <v>1011</v>
      </c>
      <c r="AS1031" s="464" t="s">
        <v>1627</v>
      </c>
      <c r="AT1031" s="381">
        <v>2.8299999999999996E-3</v>
      </c>
      <c r="AV1031" s="464"/>
      <c r="AW1031" s="465"/>
    </row>
    <row r="1032" spans="35:49">
      <c r="AI1032" s="464">
        <f t="shared" si="58"/>
        <v>1012</v>
      </c>
      <c r="AJ1032" s="473">
        <v>44348</v>
      </c>
      <c r="AK1032" s="474">
        <v>22874.99</v>
      </c>
      <c r="AL1032" s="475">
        <v>8.3999999999999995E-3</v>
      </c>
      <c r="AM1032" s="475">
        <f t="shared" si="60"/>
        <v>8.4218136612010941E-3</v>
      </c>
      <c r="AN1032" s="464"/>
      <c r="AO1032" s="464"/>
      <c r="AR1032" s="464">
        <f t="shared" si="59"/>
        <v>1012</v>
      </c>
      <c r="AS1032" s="464" t="s">
        <v>1626</v>
      </c>
      <c r="AT1032" s="381">
        <v>2.8100000000000004E-3</v>
      </c>
      <c r="AV1032" s="464"/>
      <c r="AW1032" s="465"/>
    </row>
    <row r="1033" spans="35:49">
      <c r="AI1033" s="464">
        <f t="shared" si="58"/>
        <v>1013</v>
      </c>
      <c r="AJ1033" s="473">
        <v>44349</v>
      </c>
      <c r="AK1033" s="474">
        <v>22933.29</v>
      </c>
      <c r="AL1033" s="475">
        <v>2.5000000000000001E-3</v>
      </c>
      <c r="AM1033" s="475">
        <f t="shared" si="60"/>
        <v>2.5486349939387587E-3</v>
      </c>
      <c r="AN1033" s="464"/>
      <c r="AO1033" s="464"/>
      <c r="AR1033" s="464">
        <f t="shared" si="59"/>
        <v>1013</v>
      </c>
      <c r="AS1033" s="464" t="s">
        <v>1625</v>
      </c>
      <c r="AT1033" s="381">
        <v>2.6900000000000001E-3</v>
      </c>
      <c r="AV1033" s="464"/>
      <c r="AW1033" s="465"/>
    </row>
    <row r="1034" spans="35:49">
      <c r="AI1034" s="464">
        <f t="shared" si="58"/>
        <v>1014</v>
      </c>
      <c r="AJ1034" s="473">
        <v>44350</v>
      </c>
      <c r="AK1034" s="474">
        <v>22802.400000000001</v>
      </c>
      <c r="AL1034" s="475">
        <v>-5.7000000000000002E-3</v>
      </c>
      <c r="AM1034" s="475">
        <f t="shared" si="60"/>
        <v>-5.7074235750735891E-3</v>
      </c>
      <c r="AN1034" s="464"/>
      <c r="AO1034" s="464"/>
      <c r="AR1034" s="464">
        <f t="shared" si="59"/>
        <v>1014</v>
      </c>
      <c r="AS1034" s="464" t="s">
        <v>1624</v>
      </c>
      <c r="AT1034" s="381">
        <v>2.7600000000000003E-3</v>
      </c>
      <c r="AV1034" s="464"/>
      <c r="AW1034" s="465"/>
    </row>
    <row r="1035" spans="35:49">
      <c r="AI1035" s="464">
        <f t="shared" si="58"/>
        <v>1015</v>
      </c>
      <c r="AJ1035" s="473">
        <v>44351</v>
      </c>
      <c r="AK1035" s="474">
        <v>22832.73</v>
      </c>
      <c r="AL1035" s="475">
        <v>1.2999999999999999E-3</v>
      </c>
      <c r="AM1035" s="475">
        <f t="shared" si="60"/>
        <v>1.3301231449320827E-3</v>
      </c>
      <c r="AN1035" s="464"/>
      <c r="AO1035" s="464"/>
      <c r="AR1035" s="464">
        <f t="shared" si="59"/>
        <v>1015</v>
      </c>
      <c r="AS1035" s="464" t="s">
        <v>1623</v>
      </c>
      <c r="AT1035" s="381">
        <v>2.7700000000000003E-3</v>
      </c>
      <c r="AV1035" s="464"/>
      <c r="AW1035" s="465"/>
    </row>
    <row r="1036" spans="35:49">
      <c r="AI1036" s="464">
        <f t="shared" si="58"/>
        <v>1016</v>
      </c>
      <c r="AJ1036" s="473">
        <v>44354</v>
      </c>
      <c r="AK1036" s="474">
        <v>22908.06</v>
      </c>
      <c r="AL1036" s="475">
        <v>3.3E-3</v>
      </c>
      <c r="AM1036" s="475">
        <f t="shared" si="60"/>
        <v>3.2992112638305926E-3</v>
      </c>
      <c r="AN1036" s="464"/>
      <c r="AO1036" s="464"/>
      <c r="AR1036" s="464">
        <f t="shared" si="59"/>
        <v>1016</v>
      </c>
      <c r="AS1036" s="464" t="s">
        <v>1622</v>
      </c>
      <c r="AT1036" s="381">
        <v>2.3400000000000001E-3</v>
      </c>
      <c r="AV1036" s="464"/>
      <c r="AW1036" s="465"/>
    </row>
    <row r="1037" spans="35:49">
      <c r="AI1037" s="464">
        <f t="shared" si="58"/>
        <v>1017</v>
      </c>
      <c r="AJ1037" s="473">
        <v>44355</v>
      </c>
      <c r="AK1037" s="474">
        <v>22895.5</v>
      </c>
      <c r="AL1037" s="475">
        <v>-5.0000000000000001E-4</v>
      </c>
      <c r="AM1037" s="475">
        <f t="shared" si="60"/>
        <v>-5.4827864079287636E-4</v>
      </c>
      <c r="AN1037" s="464"/>
      <c r="AO1037" s="464"/>
      <c r="AR1037" s="464">
        <f t="shared" si="59"/>
        <v>1017</v>
      </c>
      <c r="AS1037" s="464" t="s">
        <v>1621</v>
      </c>
      <c r="AT1037" s="381">
        <v>2.14E-3</v>
      </c>
      <c r="AV1037" s="464"/>
      <c r="AW1037" s="465"/>
    </row>
    <row r="1038" spans="35:49">
      <c r="AI1038" s="464">
        <f t="shared" si="58"/>
        <v>1018</v>
      </c>
      <c r="AJ1038" s="473">
        <v>44356</v>
      </c>
      <c r="AK1038" s="474">
        <v>22758.97</v>
      </c>
      <c r="AL1038" s="475">
        <v>-6.0000000000000001E-3</v>
      </c>
      <c r="AM1038" s="475">
        <f t="shared" si="60"/>
        <v>-5.9631805376602065E-3</v>
      </c>
      <c r="AN1038" s="464"/>
      <c r="AO1038" s="464"/>
      <c r="AR1038" s="464">
        <f t="shared" si="59"/>
        <v>1018</v>
      </c>
      <c r="AS1038" s="464" t="s">
        <v>1620</v>
      </c>
      <c r="AT1038" s="381">
        <v>2.2400000000000002E-3</v>
      </c>
      <c r="AV1038" s="464"/>
      <c r="AW1038" s="465"/>
    </row>
    <row r="1039" spans="35:49">
      <c r="AI1039" s="464">
        <f t="shared" si="58"/>
        <v>1019</v>
      </c>
      <c r="AJ1039" s="473">
        <v>44357</v>
      </c>
      <c r="AK1039" s="474">
        <v>22608.76</v>
      </c>
      <c r="AL1039" s="475">
        <v>-6.6E-3</v>
      </c>
      <c r="AM1039" s="475">
        <f t="shared" si="60"/>
        <v>-6.600035063098364E-3</v>
      </c>
      <c r="AN1039" s="464"/>
      <c r="AO1039" s="464"/>
      <c r="AR1039" s="464">
        <f t="shared" si="59"/>
        <v>1019</v>
      </c>
      <c r="AS1039" s="464" t="s">
        <v>1619</v>
      </c>
      <c r="AT1039" s="381">
        <v>2.63E-3</v>
      </c>
      <c r="AV1039" s="464"/>
      <c r="AW1039" s="465"/>
    </row>
    <row r="1040" spans="35:49">
      <c r="AI1040" s="464">
        <f t="shared" si="58"/>
        <v>1020</v>
      </c>
      <c r="AJ1040" s="473">
        <v>44358</v>
      </c>
      <c r="AK1040" s="474">
        <v>22734.13</v>
      </c>
      <c r="AL1040" s="475">
        <v>5.4999999999999997E-3</v>
      </c>
      <c r="AM1040" s="475">
        <f t="shared" si="60"/>
        <v>5.5451957559813359E-3</v>
      </c>
      <c r="AN1040" s="464"/>
      <c r="AO1040" s="464"/>
      <c r="AR1040" s="464">
        <f t="shared" si="59"/>
        <v>1020</v>
      </c>
      <c r="AS1040" s="464" t="s">
        <v>1618</v>
      </c>
      <c r="AT1040" s="381">
        <v>2.66E-3</v>
      </c>
      <c r="AV1040" s="464"/>
      <c r="AW1040" s="465"/>
    </row>
    <row r="1041" spans="35:49">
      <c r="AI1041" s="464">
        <f t="shared" si="58"/>
        <v>1021</v>
      </c>
      <c r="AJ1041" s="473">
        <v>44361</v>
      </c>
      <c r="AK1041" s="474">
        <v>22744.51</v>
      </c>
      <c r="AL1041" s="475">
        <v>5.0000000000000001E-4</v>
      </c>
      <c r="AM1041" s="475">
        <f t="shared" si="60"/>
        <v>4.5658224000644232E-4</v>
      </c>
      <c r="AN1041" s="464"/>
      <c r="AO1041" s="464"/>
      <c r="AR1041" s="464">
        <f t="shared" si="59"/>
        <v>1021</v>
      </c>
      <c r="AS1041" s="464" t="s">
        <v>1617</v>
      </c>
      <c r="AT1041" s="381">
        <v>2.6199999999999999E-3</v>
      </c>
      <c r="AV1041" s="464"/>
      <c r="AW1041" s="465"/>
    </row>
    <row r="1042" spans="35:49">
      <c r="AI1042" s="464">
        <f t="shared" si="58"/>
        <v>1022</v>
      </c>
      <c r="AJ1042" s="473">
        <v>44362</v>
      </c>
      <c r="AK1042" s="474">
        <v>22631.72</v>
      </c>
      <c r="AL1042" s="475">
        <v>-5.0000000000000001E-3</v>
      </c>
      <c r="AM1042" s="475">
        <f t="shared" si="60"/>
        <v>-4.9589988968765653E-3</v>
      </c>
      <c r="AN1042" s="464"/>
      <c r="AO1042" s="464"/>
      <c r="AR1042" s="464">
        <f t="shared" si="59"/>
        <v>1022</v>
      </c>
      <c r="AS1042" s="464" t="s">
        <v>1616</v>
      </c>
      <c r="AT1042" s="381">
        <v>2.2000000000000001E-3</v>
      </c>
      <c r="AV1042" s="464"/>
      <c r="AW1042" s="465"/>
    </row>
    <row r="1043" spans="35:49">
      <c r="AI1043" s="464">
        <f t="shared" si="58"/>
        <v>1023</v>
      </c>
      <c r="AJ1043" s="473">
        <v>44363</v>
      </c>
      <c r="AK1043" s="474">
        <v>22617.66</v>
      </c>
      <c r="AL1043" s="475">
        <v>-5.9999999999999995E-4</v>
      </c>
      <c r="AM1043" s="475">
        <f t="shared" si="60"/>
        <v>-6.2125194196471778E-4</v>
      </c>
      <c r="AN1043" s="464"/>
      <c r="AO1043" s="464"/>
      <c r="AR1043" s="464">
        <f t="shared" si="59"/>
        <v>1023</v>
      </c>
      <c r="AS1043" s="464" t="s">
        <v>1615</v>
      </c>
      <c r="AT1043" s="381">
        <v>2.7500000000000003E-3</v>
      </c>
      <c r="AV1043" s="464"/>
      <c r="AW1043" s="465"/>
    </row>
    <row r="1044" spans="35:49">
      <c r="AI1044" s="464">
        <f t="shared" si="58"/>
        <v>1024</v>
      </c>
      <c r="AJ1044" s="473">
        <v>44364</v>
      </c>
      <c r="AK1044" s="474">
        <v>22535.14</v>
      </c>
      <c r="AL1044" s="475">
        <v>-3.5999999999999999E-3</v>
      </c>
      <c r="AM1044" s="475">
        <f t="shared" si="60"/>
        <v>-3.6484764560082983E-3</v>
      </c>
      <c r="AN1044" s="464"/>
      <c r="AO1044" s="464"/>
      <c r="AR1044" s="464">
        <f t="shared" si="59"/>
        <v>1024</v>
      </c>
      <c r="AS1044" s="464" t="s">
        <v>1614</v>
      </c>
      <c r="AT1044" s="381">
        <v>2.0799999999999998E-3</v>
      </c>
      <c r="AV1044" s="464"/>
      <c r="AW1044" s="465"/>
    </row>
    <row r="1045" spans="35:49">
      <c r="AI1045" s="464">
        <f t="shared" ref="AI1045:AI1108" si="61">AI1044+1</f>
        <v>1025</v>
      </c>
      <c r="AJ1045" s="473">
        <v>44365</v>
      </c>
      <c r="AK1045" s="474">
        <v>22324.19</v>
      </c>
      <c r="AL1045" s="475">
        <v>-9.4000000000000004E-3</v>
      </c>
      <c r="AM1045" s="475">
        <f t="shared" si="60"/>
        <v>-9.3609358539596954E-3</v>
      </c>
      <c r="AN1045" s="464"/>
      <c r="AO1045" s="464"/>
      <c r="AR1045" s="464">
        <f t="shared" ref="AR1045:AR1108" si="62">AR1044+1</f>
        <v>1025</v>
      </c>
      <c r="AS1045" s="464" t="s">
        <v>1613</v>
      </c>
      <c r="AT1045" s="381">
        <v>2.3599999999999997E-3</v>
      </c>
      <c r="AV1045" s="464"/>
      <c r="AW1045" s="465"/>
    </row>
    <row r="1046" spans="35:49">
      <c r="AI1046" s="464">
        <f t="shared" si="61"/>
        <v>1026</v>
      </c>
      <c r="AJ1046" s="473">
        <v>44368</v>
      </c>
      <c r="AK1046" s="474">
        <v>22457.08</v>
      </c>
      <c r="AL1046" s="475">
        <v>6.0000000000000001E-3</v>
      </c>
      <c r="AM1046" s="475">
        <f t="shared" ref="AM1046:AM1109" si="63">AK1046/AK1045-1</f>
        <v>5.9527355751767264E-3</v>
      </c>
      <c r="AN1046" s="464"/>
      <c r="AO1046" s="464"/>
      <c r="AR1046" s="464">
        <f t="shared" si="62"/>
        <v>1026</v>
      </c>
      <c r="AS1046" s="464" t="s">
        <v>1612</v>
      </c>
      <c r="AT1046" s="381">
        <v>2.7700000000000003E-3</v>
      </c>
      <c r="AV1046" s="464"/>
      <c r="AW1046" s="465"/>
    </row>
    <row r="1047" spans="35:49">
      <c r="AI1047" s="464">
        <f t="shared" si="61"/>
        <v>1027</v>
      </c>
      <c r="AJ1047" s="473">
        <v>44369</v>
      </c>
      <c r="AK1047" s="474">
        <v>22679.64</v>
      </c>
      <c r="AL1047" s="475">
        <v>9.9000000000000008E-3</v>
      </c>
      <c r="AM1047" s="475">
        <f t="shared" si="63"/>
        <v>9.9104603091764165E-3</v>
      </c>
      <c r="AN1047" s="464"/>
      <c r="AO1047" s="464"/>
      <c r="AR1047" s="464">
        <f t="shared" si="62"/>
        <v>1027</v>
      </c>
      <c r="AS1047" s="464" t="s">
        <v>1611</v>
      </c>
      <c r="AT1047" s="381">
        <v>2.8149999999999998E-3</v>
      </c>
      <c r="AV1047" s="464"/>
      <c r="AW1047" s="465"/>
    </row>
    <row r="1048" spans="35:49">
      <c r="AI1048" s="464">
        <f t="shared" si="61"/>
        <v>1028</v>
      </c>
      <c r="AJ1048" s="473">
        <v>44370</v>
      </c>
      <c r="AK1048" s="474">
        <v>22659.42</v>
      </c>
      <c r="AL1048" s="475">
        <v>-8.9999999999999998E-4</v>
      </c>
      <c r="AM1048" s="475">
        <f t="shared" si="63"/>
        <v>-8.9154854309858589E-4</v>
      </c>
      <c r="AN1048" s="464"/>
      <c r="AO1048" s="464"/>
      <c r="AR1048" s="464">
        <f t="shared" si="62"/>
        <v>1028</v>
      </c>
      <c r="AS1048" s="464" t="s">
        <v>1610</v>
      </c>
      <c r="AT1048" s="381">
        <v>2.7800000000000004E-3</v>
      </c>
      <c r="AV1048" s="464"/>
      <c r="AW1048" s="465"/>
    </row>
    <row r="1049" spans="35:49">
      <c r="AI1049" s="464">
        <f t="shared" si="61"/>
        <v>1029</v>
      </c>
      <c r="AJ1049" s="473">
        <v>44371</v>
      </c>
      <c r="AK1049" s="474">
        <v>22510.12</v>
      </c>
      <c r="AL1049" s="475">
        <v>-6.6E-3</v>
      </c>
      <c r="AM1049" s="475">
        <f t="shared" si="63"/>
        <v>-6.5888712067652122E-3</v>
      </c>
      <c r="AN1049" s="464"/>
      <c r="AO1049" s="464"/>
      <c r="AR1049" s="464">
        <f t="shared" si="62"/>
        <v>1029</v>
      </c>
      <c r="AS1049" s="464" t="s">
        <v>1609</v>
      </c>
      <c r="AT1049" s="381">
        <v>3.7499999999999999E-3</v>
      </c>
      <c r="AV1049" s="464"/>
      <c r="AW1049" s="465"/>
    </row>
    <row r="1050" spans="35:49">
      <c r="AI1050" s="464">
        <f t="shared" si="61"/>
        <v>1030</v>
      </c>
      <c r="AJ1050" s="473">
        <v>44372</v>
      </c>
      <c r="AK1050" s="474">
        <v>22646.01</v>
      </c>
      <c r="AL1050" s="475">
        <v>6.0000000000000001E-3</v>
      </c>
      <c r="AM1050" s="475">
        <f t="shared" si="63"/>
        <v>6.0368403189321462E-3</v>
      </c>
      <c r="AN1050" s="464"/>
      <c r="AO1050" s="464"/>
      <c r="AR1050" s="464">
        <f t="shared" si="62"/>
        <v>1030</v>
      </c>
      <c r="AS1050" s="464" t="s">
        <v>1608</v>
      </c>
      <c r="AT1050" s="381">
        <v>4.0200000000000001E-3</v>
      </c>
      <c r="AV1050" s="464"/>
      <c r="AW1050" s="465"/>
    </row>
    <row r="1051" spans="35:49">
      <c r="AI1051" s="464">
        <f t="shared" si="61"/>
        <v>1031</v>
      </c>
      <c r="AJ1051" s="473">
        <v>44375</v>
      </c>
      <c r="AK1051" s="474">
        <v>22533.42</v>
      </c>
      <c r="AL1051" s="475">
        <v>-5.0000000000000001E-3</v>
      </c>
      <c r="AM1051" s="475">
        <f t="shared" si="63"/>
        <v>-4.971736743028865E-3</v>
      </c>
      <c r="AN1051" s="464"/>
      <c r="AO1051" s="464"/>
      <c r="AR1051" s="464">
        <f t="shared" si="62"/>
        <v>1031</v>
      </c>
      <c r="AS1051" s="464" t="s">
        <v>1607</v>
      </c>
      <c r="AT1051" s="381">
        <v>4.15E-3</v>
      </c>
      <c r="AV1051" s="464"/>
      <c r="AW1051" s="465"/>
    </row>
    <row r="1052" spans="35:49">
      <c r="AI1052" s="464">
        <f t="shared" si="61"/>
        <v>1032</v>
      </c>
      <c r="AJ1052" s="473">
        <v>44376</v>
      </c>
      <c r="AK1052" s="474">
        <v>22542.17</v>
      </c>
      <c r="AL1052" s="475">
        <v>4.0000000000000002E-4</v>
      </c>
      <c r="AM1052" s="475">
        <f t="shared" si="63"/>
        <v>3.88312115959355E-4</v>
      </c>
      <c r="AN1052" s="464"/>
      <c r="AO1052" s="464"/>
      <c r="AR1052" s="464">
        <f t="shared" si="62"/>
        <v>1032</v>
      </c>
      <c r="AS1052" s="464" t="s">
        <v>1606</v>
      </c>
      <c r="AT1052" s="381">
        <v>3.5099999999999997E-3</v>
      </c>
      <c r="AV1052" s="464"/>
      <c r="AW1052" s="465"/>
    </row>
    <row r="1053" spans="35:49">
      <c r="AI1053" s="464">
        <f t="shared" si="61"/>
        <v>1033</v>
      </c>
      <c r="AJ1053" s="473">
        <v>44377</v>
      </c>
      <c r="AK1053" s="474">
        <v>22376.02</v>
      </c>
      <c r="AL1053" s="475">
        <v>-7.4000000000000003E-3</v>
      </c>
      <c r="AM1053" s="475">
        <f t="shared" si="63"/>
        <v>-7.3706302454465966E-3</v>
      </c>
      <c r="AN1053" s="464"/>
      <c r="AO1053" s="464"/>
      <c r="AR1053" s="464">
        <f t="shared" si="62"/>
        <v>1033</v>
      </c>
      <c r="AS1053" s="464" t="s">
        <v>1605</v>
      </c>
      <c r="AT1053" s="381">
        <v>3.4000000000000002E-3</v>
      </c>
      <c r="AV1053" s="464"/>
      <c r="AW1053" s="465"/>
    </row>
    <row r="1054" spans="35:49">
      <c r="AI1054" s="464">
        <f t="shared" si="61"/>
        <v>1034</v>
      </c>
      <c r="AJ1054" s="473">
        <v>44378</v>
      </c>
      <c r="AK1054" s="474">
        <v>22622.54</v>
      </c>
      <c r="AL1054" s="475">
        <v>1.0999999999999999E-2</v>
      </c>
      <c r="AM1054" s="475">
        <f t="shared" si="63"/>
        <v>1.1017151396897296E-2</v>
      </c>
      <c r="AN1054" s="464"/>
      <c r="AO1054" s="464"/>
      <c r="AR1054" s="464">
        <f t="shared" si="62"/>
        <v>1034</v>
      </c>
      <c r="AS1054" s="464" t="s">
        <v>1604</v>
      </c>
      <c r="AT1054" s="381">
        <v>3.4499999999999999E-3</v>
      </c>
      <c r="AV1054" s="464"/>
      <c r="AW1054" s="465"/>
    </row>
    <row r="1055" spans="35:49">
      <c r="AI1055" s="464">
        <f t="shared" si="61"/>
        <v>1035</v>
      </c>
      <c r="AJ1055" s="473">
        <v>44379</v>
      </c>
      <c r="AK1055" s="474">
        <v>22746.99</v>
      </c>
      <c r="AL1055" s="475">
        <v>5.4999999999999997E-3</v>
      </c>
      <c r="AM1055" s="475">
        <f t="shared" si="63"/>
        <v>5.5011506223439088E-3</v>
      </c>
      <c r="AN1055" s="464"/>
      <c r="AO1055" s="464"/>
      <c r="AR1055" s="464">
        <f t="shared" si="62"/>
        <v>1035</v>
      </c>
      <c r="AS1055" s="464" t="s">
        <v>1603</v>
      </c>
      <c r="AT1055" s="381">
        <v>3.4200000000000003E-3</v>
      </c>
      <c r="AV1055" s="464"/>
      <c r="AW1055" s="465"/>
    </row>
    <row r="1056" spans="35:49">
      <c r="AI1056" s="464">
        <f t="shared" si="61"/>
        <v>1036</v>
      </c>
      <c r="AJ1056" s="473">
        <v>44382</v>
      </c>
      <c r="AK1056" s="474">
        <v>23022.400000000001</v>
      </c>
      <c r="AL1056" s="475">
        <v>1.21E-2</v>
      </c>
      <c r="AM1056" s="475">
        <f t="shared" si="63"/>
        <v>1.2107535986079832E-2</v>
      </c>
      <c r="AN1056" s="464"/>
      <c r="AO1056" s="464"/>
      <c r="AR1056" s="464">
        <f t="shared" si="62"/>
        <v>1036</v>
      </c>
      <c r="AS1056" s="464" t="s">
        <v>1602</v>
      </c>
      <c r="AT1056" s="381">
        <v>3.4999999999999996E-3</v>
      </c>
      <c r="AV1056" s="464"/>
      <c r="AW1056" s="465"/>
    </row>
    <row r="1057" spans="35:49">
      <c r="AI1057" s="464">
        <f t="shared" si="61"/>
        <v>1037</v>
      </c>
      <c r="AJ1057" s="473">
        <v>44383</v>
      </c>
      <c r="AK1057" s="474">
        <v>22895.360000000001</v>
      </c>
      <c r="AL1057" s="475">
        <v>-5.4999999999999997E-3</v>
      </c>
      <c r="AM1057" s="475">
        <f t="shared" si="63"/>
        <v>-5.5181041073042447E-3</v>
      </c>
      <c r="AN1057" s="464"/>
      <c r="AO1057" s="464"/>
      <c r="AR1057" s="464">
        <f t="shared" si="62"/>
        <v>1037</v>
      </c>
      <c r="AS1057" s="464" t="s">
        <v>1601</v>
      </c>
      <c r="AT1057" s="381">
        <v>3.2600000000000003E-3</v>
      </c>
      <c r="AV1057" s="464"/>
      <c r="AW1057" s="465"/>
    </row>
    <row r="1058" spans="35:49">
      <c r="AI1058" s="464">
        <f t="shared" si="61"/>
        <v>1038</v>
      </c>
      <c r="AJ1058" s="473">
        <v>44384</v>
      </c>
      <c r="AK1058" s="474">
        <v>22970.240000000002</v>
      </c>
      <c r="AL1058" s="475">
        <v>3.3E-3</v>
      </c>
      <c r="AM1058" s="475">
        <f t="shared" si="63"/>
        <v>3.270531671045962E-3</v>
      </c>
      <c r="AN1058" s="464"/>
      <c r="AO1058" s="464"/>
      <c r="AR1058" s="464">
        <f t="shared" si="62"/>
        <v>1038</v>
      </c>
      <c r="AS1058" s="464" t="s">
        <v>1600</v>
      </c>
      <c r="AT1058" s="381">
        <v>3.3700000000000002E-3</v>
      </c>
      <c r="AV1058" s="464"/>
      <c r="AW1058" s="465"/>
    </row>
    <row r="1059" spans="35:49">
      <c r="AI1059" s="464">
        <f t="shared" si="61"/>
        <v>1039</v>
      </c>
      <c r="AJ1059" s="473">
        <v>44385</v>
      </c>
      <c r="AK1059" s="474">
        <v>22652.720000000001</v>
      </c>
      <c r="AL1059" s="475">
        <v>-1.38E-2</v>
      </c>
      <c r="AM1059" s="475">
        <f t="shared" si="63"/>
        <v>-1.382310328494607E-2</v>
      </c>
      <c r="AN1059" s="464"/>
      <c r="AO1059" s="464"/>
      <c r="AR1059" s="464">
        <f t="shared" si="62"/>
        <v>1039</v>
      </c>
      <c r="AS1059" s="464" t="s">
        <v>1599</v>
      </c>
      <c r="AT1059" s="381">
        <v>3.2500000000000003E-3</v>
      </c>
      <c r="AV1059" s="464"/>
      <c r="AW1059" s="465"/>
    </row>
    <row r="1060" spans="35:49">
      <c r="AI1060" s="464">
        <f t="shared" si="61"/>
        <v>1040</v>
      </c>
      <c r="AJ1060" s="473">
        <v>44386</v>
      </c>
      <c r="AK1060" s="474">
        <v>22909.32</v>
      </c>
      <c r="AL1060" s="475">
        <v>1.1299999999999999E-2</v>
      </c>
      <c r="AM1060" s="475">
        <f t="shared" si="63"/>
        <v>1.1327558015107986E-2</v>
      </c>
      <c r="AN1060" s="464"/>
      <c r="AO1060" s="464"/>
      <c r="AR1060" s="464">
        <f t="shared" si="62"/>
        <v>1040</v>
      </c>
      <c r="AS1060" s="464" t="s">
        <v>1598</v>
      </c>
      <c r="AT1060" s="381">
        <v>3.0499999999999998E-3</v>
      </c>
      <c r="AV1060" s="464"/>
      <c r="AW1060" s="465"/>
    </row>
    <row r="1061" spans="35:49">
      <c r="AI1061" s="464">
        <f t="shared" si="61"/>
        <v>1041</v>
      </c>
      <c r="AJ1061" s="473">
        <v>44389</v>
      </c>
      <c r="AK1061" s="474">
        <v>22895.86</v>
      </c>
      <c r="AL1061" s="475">
        <v>-5.9999999999999995E-4</v>
      </c>
      <c r="AM1061" s="475">
        <f t="shared" si="63"/>
        <v>-5.8753380720155679E-4</v>
      </c>
      <c r="AN1061" s="464"/>
      <c r="AO1061" s="464"/>
      <c r="AR1061" s="464">
        <f t="shared" si="62"/>
        <v>1041</v>
      </c>
      <c r="AS1061" s="464" t="s">
        <v>1597</v>
      </c>
      <c r="AT1061" s="381">
        <v>2.98E-3</v>
      </c>
      <c r="AV1061" s="464"/>
      <c r="AW1061" s="465"/>
    </row>
    <row r="1062" spans="35:49">
      <c r="AI1062" s="464">
        <f t="shared" si="61"/>
        <v>1042</v>
      </c>
      <c r="AJ1062" s="473">
        <v>44390</v>
      </c>
      <c r="AK1062" s="474">
        <v>22926.81</v>
      </c>
      <c r="AL1062" s="475">
        <v>1.4E-3</v>
      </c>
      <c r="AM1062" s="475">
        <f t="shared" si="63"/>
        <v>1.3517727659062562E-3</v>
      </c>
      <c r="AN1062" s="464"/>
      <c r="AO1062" s="464"/>
      <c r="AR1062" s="464">
        <f t="shared" si="62"/>
        <v>1042</v>
      </c>
      <c r="AS1062" s="464" t="s">
        <v>1596</v>
      </c>
      <c r="AT1062" s="381">
        <v>2.99E-3</v>
      </c>
      <c r="AV1062" s="464"/>
      <c r="AW1062" s="465"/>
    </row>
    <row r="1063" spans="35:49">
      <c r="AI1063" s="464">
        <f t="shared" si="61"/>
        <v>1043</v>
      </c>
      <c r="AJ1063" s="473">
        <v>44391</v>
      </c>
      <c r="AK1063" s="474">
        <v>22750.04</v>
      </c>
      <c r="AL1063" s="475">
        <v>-7.7000000000000002E-3</v>
      </c>
      <c r="AM1063" s="475">
        <f t="shared" si="63"/>
        <v>-7.7101873309021185E-3</v>
      </c>
      <c r="AN1063" s="464"/>
      <c r="AO1063" s="464"/>
      <c r="AR1063" s="464">
        <f t="shared" si="62"/>
        <v>1043</v>
      </c>
      <c r="AS1063" s="464" t="s">
        <v>1595</v>
      </c>
      <c r="AT1063" s="381">
        <v>3.2100000000000002E-3</v>
      </c>
      <c r="AV1063" s="464"/>
      <c r="AW1063" s="465"/>
    </row>
    <row r="1064" spans="35:49">
      <c r="AI1064" s="464">
        <f t="shared" si="61"/>
        <v>1044</v>
      </c>
      <c r="AJ1064" s="473">
        <v>44392</v>
      </c>
      <c r="AK1064" s="474">
        <v>22501.25</v>
      </c>
      <c r="AL1064" s="475">
        <v>-1.09E-2</v>
      </c>
      <c r="AM1064" s="475">
        <f t="shared" si="63"/>
        <v>-1.0935804948035255E-2</v>
      </c>
      <c r="AN1064" s="464"/>
      <c r="AO1064" s="464"/>
      <c r="AR1064" s="464">
        <f t="shared" si="62"/>
        <v>1044</v>
      </c>
      <c r="AS1064" s="464" t="s">
        <v>1594</v>
      </c>
      <c r="AT1064" s="381">
        <v>3.3E-3</v>
      </c>
      <c r="AV1064" s="464"/>
      <c r="AW1064" s="465"/>
    </row>
    <row r="1065" spans="35:49">
      <c r="AI1065" s="464">
        <f t="shared" si="61"/>
        <v>1045</v>
      </c>
      <c r="AJ1065" s="473">
        <v>44393</v>
      </c>
      <c r="AK1065" s="474">
        <v>22467</v>
      </c>
      <c r="AL1065" s="475">
        <v>-1.5E-3</v>
      </c>
      <c r="AM1065" s="475">
        <f t="shared" si="63"/>
        <v>-1.522137659018985E-3</v>
      </c>
      <c r="AN1065" s="464"/>
      <c r="AO1065" s="464"/>
      <c r="AR1065" s="464">
        <f t="shared" si="62"/>
        <v>1045</v>
      </c>
      <c r="AS1065" s="464" t="s">
        <v>1593</v>
      </c>
      <c r="AT1065" s="381">
        <v>3.1800000000000001E-3</v>
      </c>
      <c r="AV1065" s="464"/>
      <c r="AW1065" s="465"/>
    </row>
    <row r="1066" spans="35:49">
      <c r="AI1066" s="464">
        <f t="shared" si="61"/>
        <v>1046</v>
      </c>
      <c r="AJ1066" s="473">
        <v>44396</v>
      </c>
      <c r="AK1066" s="474">
        <v>21940.880000000001</v>
      </c>
      <c r="AL1066" s="475">
        <v>-2.3400000000000001E-2</v>
      </c>
      <c r="AM1066" s="475">
        <f t="shared" si="63"/>
        <v>-2.3417456714292073E-2</v>
      </c>
      <c r="AN1066" s="464"/>
      <c r="AO1066" s="464"/>
      <c r="AR1066" s="464">
        <f t="shared" si="62"/>
        <v>1046</v>
      </c>
      <c r="AS1066" s="464" t="s">
        <v>1592</v>
      </c>
      <c r="AT1066" s="381">
        <v>2.8000000000000004E-3</v>
      </c>
      <c r="AV1066" s="464"/>
      <c r="AW1066" s="465"/>
    </row>
    <row r="1067" spans="35:49">
      <c r="AI1067" s="464">
        <f t="shared" si="61"/>
        <v>1047</v>
      </c>
      <c r="AJ1067" s="473">
        <v>44397</v>
      </c>
      <c r="AK1067" s="474">
        <v>22119.48</v>
      </c>
      <c r="AL1067" s="475">
        <v>8.0999999999999996E-3</v>
      </c>
      <c r="AM1067" s="475">
        <f t="shared" si="63"/>
        <v>8.1400563696623074E-3</v>
      </c>
      <c r="AN1067" s="464"/>
      <c r="AO1067" s="464"/>
      <c r="AR1067" s="464">
        <f t="shared" si="62"/>
        <v>1047</v>
      </c>
      <c r="AS1067" s="464" t="s">
        <v>1591</v>
      </c>
      <c r="AT1067" s="381">
        <v>2.8499999999999997E-3</v>
      </c>
      <c r="AV1067" s="464"/>
      <c r="AW1067" s="465"/>
    </row>
    <row r="1068" spans="35:49">
      <c r="AI1068" s="464">
        <f t="shared" si="61"/>
        <v>1048</v>
      </c>
      <c r="AJ1068" s="473">
        <v>44398</v>
      </c>
      <c r="AK1068" s="474">
        <v>22541.97</v>
      </c>
      <c r="AL1068" s="475">
        <v>1.9099999999999999E-2</v>
      </c>
      <c r="AM1068" s="475">
        <f t="shared" si="63"/>
        <v>1.9100358597941902E-2</v>
      </c>
      <c r="AN1068" s="464"/>
      <c r="AO1068" s="464"/>
      <c r="AR1068" s="464">
        <f t="shared" si="62"/>
        <v>1048</v>
      </c>
      <c r="AS1068" s="464" t="s">
        <v>1590</v>
      </c>
      <c r="AT1068" s="381">
        <v>2.8499999999999997E-3</v>
      </c>
      <c r="AV1068" s="464"/>
      <c r="AW1068" s="465"/>
    </row>
    <row r="1069" spans="35:49">
      <c r="AI1069" s="464">
        <f t="shared" si="61"/>
        <v>1049</v>
      </c>
      <c r="AJ1069" s="473">
        <v>44399</v>
      </c>
      <c r="AK1069" s="474">
        <v>22677.279999999999</v>
      </c>
      <c r="AL1069" s="475">
        <v>6.0000000000000001E-3</v>
      </c>
      <c r="AM1069" s="475">
        <f t="shared" si="63"/>
        <v>6.0025809634205451E-3</v>
      </c>
      <c r="AN1069" s="464"/>
      <c r="AO1069" s="464"/>
      <c r="AR1069" s="464">
        <f t="shared" si="62"/>
        <v>1049</v>
      </c>
      <c r="AS1069" s="464" t="s">
        <v>1589</v>
      </c>
      <c r="AT1069" s="381">
        <v>2.8999999999999998E-3</v>
      </c>
      <c r="AV1069" s="464"/>
      <c r="AW1069" s="465"/>
    </row>
    <row r="1070" spans="35:49">
      <c r="AI1070" s="464">
        <f t="shared" si="61"/>
        <v>1050</v>
      </c>
      <c r="AJ1070" s="473">
        <v>44400</v>
      </c>
      <c r="AK1070" s="474">
        <v>22883.39</v>
      </c>
      <c r="AL1070" s="475">
        <v>9.1000000000000004E-3</v>
      </c>
      <c r="AM1070" s="475">
        <f t="shared" si="63"/>
        <v>9.0888325231244238E-3</v>
      </c>
      <c r="AN1070" s="464"/>
      <c r="AO1070" s="464"/>
      <c r="AR1070" s="464">
        <f t="shared" si="62"/>
        <v>1050</v>
      </c>
      <c r="AS1070" s="464" t="s">
        <v>1588</v>
      </c>
      <c r="AT1070" s="381">
        <v>3.0599999999999998E-3</v>
      </c>
      <c r="AV1070" s="464"/>
      <c r="AW1070" s="465"/>
    </row>
    <row r="1071" spans="35:49">
      <c r="AI1071" s="464">
        <f t="shared" si="61"/>
        <v>1051</v>
      </c>
      <c r="AJ1071" s="473">
        <v>44403</v>
      </c>
      <c r="AK1071" s="474">
        <v>22933.19</v>
      </c>
      <c r="AL1071" s="475">
        <v>2.2000000000000001E-3</v>
      </c>
      <c r="AM1071" s="475">
        <f t="shared" si="63"/>
        <v>2.1762509837921495E-3</v>
      </c>
      <c r="AN1071" s="464"/>
      <c r="AO1071" s="464"/>
      <c r="AR1071" s="464">
        <f t="shared" si="62"/>
        <v>1051</v>
      </c>
      <c r="AS1071" s="464" t="s">
        <v>1587</v>
      </c>
      <c r="AT1071" s="381">
        <v>3.5099999999999997E-3</v>
      </c>
      <c r="AV1071" s="464"/>
      <c r="AW1071" s="465"/>
    </row>
    <row r="1072" spans="35:49">
      <c r="AI1072" s="464">
        <f t="shared" si="61"/>
        <v>1052</v>
      </c>
      <c r="AJ1072" s="473">
        <v>44404</v>
      </c>
      <c r="AK1072" s="474">
        <v>22877.01</v>
      </c>
      <c r="AL1072" s="475">
        <v>-2.3999999999999998E-3</v>
      </c>
      <c r="AM1072" s="475">
        <f t="shared" si="63"/>
        <v>-2.4497246131044426E-3</v>
      </c>
      <c r="AN1072" s="464"/>
      <c r="AO1072" s="464"/>
      <c r="AR1072" s="464">
        <f t="shared" si="62"/>
        <v>1052</v>
      </c>
      <c r="AS1072" s="464" t="s">
        <v>1586</v>
      </c>
      <c r="AT1072" s="381">
        <v>3.5499999999999998E-3</v>
      </c>
      <c r="AV1072" s="464"/>
      <c r="AW1072" s="465"/>
    </row>
    <row r="1073" spans="35:49">
      <c r="AI1073" s="464">
        <f t="shared" si="61"/>
        <v>1053</v>
      </c>
      <c r="AJ1073" s="473">
        <v>44405</v>
      </c>
      <c r="AK1073" s="474">
        <v>23006.45</v>
      </c>
      <c r="AL1073" s="475">
        <v>5.7000000000000002E-3</v>
      </c>
      <c r="AM1073" s="475">
        <f t="shared" si="63"/>
        <v>5.6580820657945452E-3</v>
      </c>
      <c r="AN1073" s="464"/>
      <c r="AO1073" s="464"/>
      <c r="AR1073" s="464">
        <f t="shared" si="62"/>
        <v>1053</v>
      </c>
      <c r="AS1073" s="464" t="s">
        <v>1585</v>
      </c>
      <c r="AT1073" s="381">
        <v>3.2400000000000003E-3</v>
      </c>
      <c r="AV1073" s="464"/>
      <c r="AW1073" s="465"/>
    </row>
    <row r="1074" spans="35:49">
      <c r="AI1074" s="464">
        <f t="shared" si="61"/>
        <v>1054</v>
      </c>
      <c r="AJ1074" s="473">
        <v>44406</v>
      </c>
      <c r="AK1074" s="474">
        <v>23050.46</v>
      </c>
      <c r="AL1074" s="475">
        <v>1.9E-3</v>
      </c>
      <c r="AM1074" s="475">
        <f t="shared" si="63"/>
        <v>1.9129418054502079E-3</v>
      </c>
      <c r="AN1074" s="464"/>
      <c r="AO1074" s="464"/>
      <c r="AR1074" s="464">
        <f t="shared" si="62"/>
        <v>1054</v>
      </c>
      <c r="AS1074" s="464" t="s">
        <v>1584</v>
      </c>
      <c r="AT1074" s="381">
        <v>3.5299999999999997E-3</v>
      </c>
      <c r="AV1074" s="464"/>
      <c r="AW1074" s="465"/>
    </row>
    <row r="1075" spans="35:49">
      <c r="AI1075" s="464">
        <f t="shared" si="61"/>
        <v>1055</v>
      </c>
      <c r="AJ1075" s="473">
        <v>44407</v>
      </c>
      <c r="AK1075" s="474">
        <v>22948.83</v>
      </c>
      <c r="AL1075" s="475">
        <v>-4.4000000000000003E-3</v>
      </c>
      <c r="AM1075" s="475">
        <f t="shared" si="63"/>
        <v>-4.4090226398951771E-3</v>
      </c>
      <c r="AN1075" s="464"/>
      <c r="AO1075" s="464"/>
      <c r="AR1075" s="464">
        <f t="shared" si="62"/>
        <v>1055</v>
      </c>
      <c r="AS1075" s="464" t="s">
        <v>1583</v>
      </c>
      <c r="AT1075" s="381">
        <v>3.4599999999999995E-3</v>
      </c>
      <c r="AV1075" s="464"/>
      <c r="AW1075" s="465"/>
    </row>
    <row r="1076" spans="35:49">
      <c r="AI1076" s="464">
        <f t="shared" si="61"/>
        <v>1056</v>
      </c>
      <c r="AJ1076" s="473">
        <v>44410</v>
      </c>
      <c r="AK1076" s="474">
        <v>23208.67</v>
      </c>
      <c r="AL1076" s="475">
        <v>1.1299999999999999E-2</v>
      </c>
      <c r="AM1076" s="475">
        <f t="shared" si="63"/>
        <v>1.1322581586947766E-2</v>
      </c>
      <c r="AN1076" s="464"/>
      <c r="AO1076" s="464"/>
      <c r="AR1076" s="464">
        <f t="shared" si="62"/>
        <v>1056</v>
      </c>
      <c r="AS1076" s="464" t="s">
        <v>1582</v>
      </c>
      <c r="AT1076" s="381">
        <v>3.4749999999999998E-3</v>
      </c>
      <c r="AV1076" s="464"/>
      <c r="AW1076" s="465"/>
    </row>
    <row r="1077" spans="35:49">
      <c r="AI1077" s="464">
        <f t="shared" si="61"/>
        <v>1057</v>
      </c>
      <c r="AJ1077" s="473">
        <v>44411</v>
      </c>
      <c r="AK1077" s="474">
        <v>23289.65</v>
      </c>
      <c r="AL1077" s="475">
        <v>3.5000000000000001E-3</v>
      </c>
      <c r="AM1077" s="475">
        <f t="shared" si="63"/>
        <v>3.4892132983064261E-3</v>
      </c>
      <c r="AN1077" s="464"/>
      <c r="AO1077" s="464"/>
      <c r="AR1077" s="464">
        <f t="shared" si="62"/>
        <v>1057</v>
      </c>
      <c r="AS1077" s="464" t="s">
        <v>1581</v>
      </c>
      <c r="AT1077" s="381">
        <v>2.8299999999999996E-3</v>
      </c>
      <c r="AV1077" s="464"/>
      <c r="AW1077" s="465"/>
    </row>
    <row r="1078" spans="35:49">
      <c r="AI1078" s="464">
        <f t="shared" si="61"/>
        <v>1058</v>
      </c>
      <c r="AJ1078" s="473">
        <v>44412</v>
      </c>
      <c r="AK1078" s="474">
        <v>23347.73</v>
      </c>
      <c r="AL1078" s="475">
        <v>2.5000000000000001E-3</v>
      </c>
      <c r="AM1078" s="475">
        <f t="shared" si="63"/>
        <v>2.4938116287707146E-3</v>
      </c>
      <c r="AN1078" s="464"/>
      <c r="AO1078" s="464"/>
      <c r="AR1078" s="464">
        <f t="shared" si="62"/>
        <v>1058</v>
      </c>
      <c r="AS1078" s="464" t="s">
        <v>1580</v>
      </c>
      <c r="AT1078" s="381">
        <v>2.5900000000000003E-3</v>
      </c>
      <c r="AV1078" s="464"/>
      <c r="AW1078" s="465"/>
    </row>
    <row r="1079" spans="35:49">
      <c r="AI1079" s="464">
        <f t="shared" si="61"/>
        <v>1059</v>
      </c>
      <c r="AJ1079" s="473">
        <v>44413</v>
      </c>
      <c r="AK1079" s="474">
        <v>23506.11</v>
      </c>
      <c r="AL1079" s="475">
        <v>6.7999999999999996E-3</v>
      </c>
      <c r="AM1079" s="475">
        <f t="shared" si="63"/>
        <v>6.7835288484148215E-3</v>
      </c>
      <c r="AN1079" s="464"/>
      <c r="AO1079" s="464"/>
      <c r="AR1079" s="464">
        <f t="shared" si="62"/>
        <v>1059</v>
      </c>
      <c r="AS1079" s="464" t="s">
        <v>1579</v>
      </c>
      <c r="AT1079" s="381">
        <v>2.63E-3</v>
      </c>
      <c r="AV1079" s="464"/>
      <c r="AW1079" s="465"/>
    </row>
    <row r="1080" spans="35:49">
      <c r="AI1080" s="464">
        <f t="shared" si="61"/>
        <v>1060</v>
      </c>
      <c r="AJ1080" s="473">
        <v>44414</v>
      </c>
      <c r="AK1080" s="474">
        <v>23456.16</v>
      </c>
      <c r="AL1080" s="475">
        <v>-2.0999999999999999E-3</v>
      </c>
      <c r="AM1080" s="475">
        <f t="shared" si="63"/>
        <v>-2.1249794202443661E-3</v>
      </c>
      <c r="AN1080" s="464"/>
      <c r="AO1080" s="464"/>
      <c r="AR1080" s="464">
        <f t="shared" si="62"/>
        <v>1060</v>
      </c>
      <c r="AS1080" s="464" t="s">
        <v>1578</v>
      </c>
      <c r="AT1080" s="381">
        <v>2.0300000000000001E-3</v>
      </c>
      <c r="AV1080" s="464"/>
      <c r="AW1080" s="465"/>
    </row>
    <row r="1081" spans="35:49">
      <c r="AI1081" s="464">
        <f t="shared" si="61"/>
        <v>1061</v>
      </c>
      <c r="AJ1081" s="473">
        <v>44417</v>
      </c>
      <c r="AK1081" s="474">
        <v>23453.439999999999</v>
      </c>
      <c r="AL1081" s="475">
        <v>-1E-4</v>
      </c>
      <c r="AM1081" s="475">
        <f t="shared" si="63"/>
        <v>-1.1596100981581259E-4</v>
      </c>
      <c r="AN1081" s="464"/>
      <c r="AO1081" s="464"/>
      <c r="AR1081" s="464">
        <f t="shared" si="62"/>
        <v>1061</v>
      </c>
      <c r="AS1081" s="464" t="s">
        <v>1577</v>
      </c>
      <c r="AT1081" s="381">
        <v>1.72E-3</v>
      </c>
      <c r="AV1081" s="464"/>
      <c r="AW1081" s="465"/>
    </row>
    <row r="1082" spans="35:49">
      <c r="AI1082" s="464">
        <f t="shared" si="61"/>
        <v>1062</v>
      </c>
      <c r="AJ1082" s="473">
        <v>44418</v>
      </c>
      <c r="AK1082" s="474">
        <v>23572.05</v>
      </c>
      <c r="AL1082" s="475">
        <v>5.1000000000000004E-3</v>
      </c>
      <c r="AM1082" s="475">
        <f t="shared" si="63"/>
        <v>5.057253861267208E-3</v>
      </c>
      <c r="AN1082" s="464"/>
      <c r="AO1082" s="464"/>
      <c r="AR1082" s="464">
        <f t="shared" si="62"/>
        <v>1062</v>
      </c>
      <c r="AS1082" s="464" t="s">
        <v>1576</v>
      </c>
      <c r="AT1082" s="381">
        <v>1.72E-3</v>
      </c>
      <c r="AV1082" s="464"/>
      <c r="AW1082" s="465"/>
    </row>
    <row r="1083" spans="35:49">
      <c r="AI1083" s="464">
        <f t="shared" si="61"/>
        <v>1063</v>
      </c>
      <c r="AJ1083" s="473">
        <v>44419</v>
      </c>
      <c r="AK1083" s="474">
        <v>23756.83</v>
      </c>
      <c r="AL1083" s="475">
        <v>7.7999999999999996E-3</v>
      </c>
      <c r="AM1083" s="475">
        <f t="shared" si="63"/>
        <v>7.838944852060159E-3</v>
      </c>
      <c r="AN1083" s="464"/>
      <c r="AO1083" s="464"/>
      <c r="AR1083" s="464">
        <f t="shared" si="62"/>
        <v>1063</v>
      </c>
      <c r="AS1083" s="464" t="s">
        <v>1575</v>
      </c>
      <c r="AT1083" s="381">
        <v>1.6900000000000001E-3</v>
      </c>
      <c r="AV1083" s="464"/>
      <c r="AW1083" s="465"/>
    </row>
    <row r="1084" spans="35:49">
      <c r="AI1084" s="464">
        <f t="shared" si="61"/>
        <v>1064</v>
      </c>
      <c r="AJ1084" s="473">
        <v>44420</v>
      </c>
      <c r="AK1084" s="474">
        <v>23746.77</v>
      </c>
      <c r="AL1084" s="475">
        <v>-4.0000000000000002E-4</v>
      </c>
      <c r="AM1084" s="475">
        <f t="shared" si="63"/>
        <v>-4.2345717000125127E-4</v>
      </c>
      <c r="AN1084" s="464"/>
      <c r="AO1084" s="464"/>
      <c r="AR1084" s="464">
        <f t="shared" si="62"/>
        <v>1064</v>
      </c>
      <c r="AS1084" s="464" t="s">
        <v>1574</v>
      </c>
      <c r="AT1084" s="381">
        <v>2.2400000000000002E-3</v>
      </c>
      <c r="AV1084" s="464"/>
      <c r="AW1084" s="465"/>
    </row>
    <row r="1085" spans="35:49">
      <c r="AI1085" s="464">
        <f t="shared" si="61"/>
        <v>1065</v>
      </c>
      <c r="AJ1085" s="473">
        <v>44421</v>
      </c>
      <c r="AK1085" s="474">
        <v>23788.45</v>
      </c>
      <c r="AL1085" s="475">
        <v>1.8E-3</v>
      </c>
      <c r="AM1085" s="475">
        <f t="shared" si="63"/>
        <v>1.7551860737270442E-3</v>
      </c>
      <c r="AN1085" s="464"/>
      <c r="AO1085" s="464"/>
      <c r="AR1085" s="464">
        <f t="shared" si="62"/>
        <v>1065</v>
      </c>
      <c r="AS1085" s="464" t="s">
        <v>1573</v>
      </c>
      <c r="AT1085" s="381">
        <v>2.6199999999999999E-3</v>
      </c>
      <c r="AV1085" s="464"/>
      <c r="AW1085" s="465"/>
    </row>
    <row r="1086" spans="35:49">
      <c r="AI1086" s="464">
        <f t="shared" si="61"/>
        <v>1066</v>
      </c>
      <c r="AJ1086" s="473">
        <v>44424</v>
      </c>
      <c r="AK1086" s="474">
        <v>23712.67</v>
      </c>
      <c r="AL1086" s="475">
        <v>-3.2000000000000002E-3</v>
      </c>
      <c r="AM1086" s="475">
        <f t="shared" si="63"/>
        <v>-3.1855795564654787E-3</v>
      </c>
      <c r="AN1086" s="464"/>
      <c r="AO1086" s="464"/>
      <c r="AR1086" s="464">
        <f t="shared" si="62"/>
        <v>1066</v>
      </c>
      <c r="AS1086" s="464" t="s">
        <v>1572</v>
      </c>
      <c r="AT1086" s="381">
        <v>2.7400000000000002E-3</v>
      </c>
      <c r="AV1086" s="464"/>
      <c r="AW1086" s="465"/>
    </row>
    <row r="1087" spans="35:49">
      <c r="AI1087" s="464">
        <f t="shared" si="61"/>
        <v>1067</v>
      </c>
      <c r="AJ1087" s="473">
        <v>44425</v>
      </c>
      <c r="AK1087" s="474">
        <v>23693.53</v>
      </c>
      <c r="AL1087" s="475">
        <v>-8.0000000000000004E-4</v>
      </c>
      <c r="AM1087" s="475">
        <f t="shared" si="63"/>
        <v>-8.0716342782150008E-4</v>
      </c>
      <c r="AN1087" s="464"/>
      <c r="AO1087" s="464"/>
      <c r="AR1087" s="464">
        <f t="shared" si="62"/>
        <v>1067</v>
      </c>
      <c r="AS1087" s="464" t="s">
        <v>1571</v>
      </c>
      <c r="AT1087" s="381">
        <v>2.8799999999999997E-3</v>
      </c>
      <c r="AV1087" s="464"/>
      <c r="AW1087" s="465"/>
    </row>
    <row r="1088" spans="35:49">
      <c r="AI1088" s="464">
        <f t="shared" si="61"/>
        <v>1068</v>
      </c>
      <c r="AJ1088" s="473">
        <v>44426</v>
      </c>
      <c r="AK1088" s="474">
        <v>23836.37</v>
      </c>
      <c r="AL1088" s="475">
        <v>6.0000000000000001E-3</v>
      </c>
      <c r="AM1088" s="475">
        <f t="shared" si="63"/>
        <v>6.0286500154260736E-3</v>
      </c>
      <c r="AN1088" s="464"/>
      <c r="AO1088" s="464"/>
      <c r="AR1088" s="464">
        <f t="shared" si="62"/>
        <v>1068</v>
      </c>
      <c r="AS1088" s="464" t="s">
        <v>1570</v>
      </c>
      <c r="AT1088" s="381">
        <v>2.5000000000000001E-3</v>
      </c>
      <c r="AV1088" s="464"/>
      <c r="AW1088" s="465"/>
    </row>
    <row r="1089" spans="35:49">
      <c r="AI1089" s="464">
        <f t="shared" si="61"/>
        <v>1069</v>
      </c>
      <c r="AJ1089" s="473">
        <v>44427</v>
      </c>
      <c r="AK1089" s="474">
        <v>23606.87</v>
      </c>
      <c r="AL1089" s="475">
        <v>-9.5999999999999992E-3</v>
      </c>
      <c r="AM1089" s="475">
        <f t="shared" si="63"/>
        <v>-9.6281438826465449E-3</v>
      </c>
      <c r="AN1089" s="464"/>
      <c r="AO1089" s="464"/>
      <c r="AR1089" s="464">
        <f t="shared" si="62"/>
        <v>1069</v>
      </c>
      <c r="AS1089" s="464" t="s">
        <v>1569</v>
      </c>
      <c r="AT1089" s="381">
        <v>2.3999999999999998E-3</v>
      </c>
      <c r="AV1089" s="464"/>
      <c r="AW1089" s="465"/>
    </row>
    <row r="1090" spans="35:49">
      <c r="AI1090" s="464">
        <f t="shared" si="61"/>
        <v>1070</v>
      </c>
      <c r="AJ1090" s="473">
        <v>44428</v>
      </c>
      <c r="AK1090" s="474">
        <v>23750.89</v>
      </c>
      <c r="AL1090" s="475">
        <v>6.1000000000000004E-3</v>
      </c>
      <c r="AM1090" s="475">
        <f t="shared" si="63"/>
        <v>6.1007664294334685E-3</v>
      </c>
      <c r="AN1090" s="464"/>
      <c r="AO1090" s="464"/>
      <c r="AR1090" s="464">
        <f t="shared" si="62"/>
        <v>1070</v>
      </c>
      <c r="AS1090" s="464" t="s">
        <v>1568</v>
      </c>
      <c r="AT1090" s="381">
        <v>2.3999999999999998E-3</v>
      </c>
      <c r="AV1090" s="464"/>
      <c r="AW1090" s="465"/>
    </row>
    <row r="1091" spans="35:49">
      <c r="AI1091" s="464">
        <f t="shared" si="61"/>
        <v>1071</v>
      </c>
      <c r="AJ1091" s="473">
        <v>44431</v>
      </c>
      <c r="AK1091" s="474">
        <v>23740.49</v>
      </c>
      <c r="AL1091" s="475">
        <v>-4.0000000000000002E-4</v>
      </c>
      <c r="AM1091" s="475">
        <f t="shared" si="63"/>
        <v>-4.3787832792785419E-4</v>
      </c>
      <c r="AN1091" s="464"/>
      <c r="AO1091" s="464"/>
      <c r="AR1091" s="464">
        <f t="shared" si="62"/>
        <v>1071</v>
      </c>
      <c r="AS1091" s="464" t="s">
        <v>1567</v>
      </c>
      <c r="AT1091" s="381">
        <v>2.0699999999999998E-3</v>
      </c>
      <c r="AV1091" s="464"/>
      <c r="AW1091" s="465"/>
    </row>
    <row r="1092" spans="35:49">
      <c r="AI1092" s="464">
        <f t="shared" si="61"/>
        <v>1072</v>
      </c>
      <c r="AJ1092" s="473">
        <v>44432</v>
      </c>
      <c r="AK1092" s="474">
        <v>23886.01</v>
      </c>
      <c r="AL1092" s="475">
        <v>6.1000000000000004E-3</v>
      </c>
      <c r="AM1092" s="475">
        <f t="shared" si="63"/>
        <v>6.1296123205543118E-3</v>
      </c>
      <c r="AN1092" s="464"/>
      <c r="AO1092" s="464"/>
      <c r="AR1092" s="464">
        <f t="shared" si="62"/>
        <v>1072</v>
      </c>
      <c r="AS1092" s="464" t="s">
        <v>1566</v>
      </c>
      <c r="AT1092" s="381">
        <v>1.8400000000000001E-3</v>
      </c>
      <c r="AV1092" s="464"/>
      <c r="AW1092" s="465"/>
    </row>
    <row r="1093" spans="35:49">
      <c r="AI1093" s="464">
        <f t="shared" si="61"/>
        <v>1073</v>
      </c>
      <c r="AJ1093" s="473">
        <v>44433</v>
      </c>
      <c r="AK1093" s="474">
        <v>23986.37</v>
      </c>
      <c r="AL1093" s="475">
        <v>4.1999999999999997E-3</v>
      </c>
      <c r="AM1093" s="475">
        <f t="shared" si="63"/>
        <v>4.2016226234520282E-3</v>
      </c>
      <c r="AN1093" s="464"/>
      <c r="AO1093" s="464"/>
      <c r="AR1093" s="464">
        <f t="shared" si="62"/>
        <v>1073</v>
      </c>
      <c r="AS1093" s="464" t="s">
        <v>1565</v>
      </c>
      <c r="AT1093" s="381">
        <v>2.8499999999999997E-3</v>
      </c>
      <c r="AV1093" s="464"/>
      <c r="AW1093" s="465"/>
    </row>
    <row r="1094" spans="35:49">
      <c r="AI1094" s="464">
        <f t="shared" si="61"/>
        <v>1074</v>
      </c>
      <c r="AJ1094" s="473">
        <v>44434</v>
      </c>
      <c r="AK1094" s="474">
        <v>23952.39</v>
      </c>
      <c r="AL1094" s="475">
        <v>-1.4E-3</v>
      </c>
      <c r="AM1094" s="475">
        <f t="shared" si="63"/>
        <v>-1.4166378655877665E-3</v>
      </c>
      <c r="AN1094" s="464"/>
      <c r="AO1094" s="464"/>
      <c r="AR1094" s="464">
        <f t="shared" si="62"/>
        <v>1074</v>
      </c>
      <c r="AS1094" s="464" t="s">
        <v>1564</v>
      </c>
      <c r="AT1094" s="381">
        <v>2.5700000000000002E-3</v>
      </c>
      <c r="AV1094" s="464"/>
      <c r="AW1094" s="465"/>
    </row>
    <row r="1095" spans="35:49">
      <c r="AI1095" s="464">
        <f t="shared" si="61"/>
        <v>1075</v>
      </c>
      <c r="AJ1095" s="473">
        <v>44435</v>
      </c>
      <c r="AK1095" s="474">
        <v>24059.72</v>
      </c>
      <c r="AL1095" s="475">
        <v>4.4999999999999997E-3</v>
      </c>
      <c r="AM1095" s="475">
        <f t="shared" si="63"/>
        <v>4.4809724624557123E-3</v>
      </c>
      <c r="AN1095" s="464"/>
      <c r="AO1095" s="464"/>
      <c r="AR1095" s="464">
        <f t="shared" si="62"/>
        <v>1075</v>
      </c>
      <c r="AS1095" s="464" t="s">
        <v>1563</v>
      </c>
      <c r="AT1095" s="381">
        <v>2.5400000000000002E-3</v>
      </c>
      <c r="AV1095" s="464"/>
      <c r="AW1095" s="465"/>
    </row>
    <row r="1096" spans="35:49">
      <c r="AI1096" s="464">
        <f t="shared" si="61"/>
        <v>1076</v>
      </c>
      <c r="AJ1096" s="473">
        <v>44439</v>
      </c>
      <c r="AK1096" s="474">
        <v>24102.19</v>
      </c>
      <c r="AL1096" s="475">
        <v>1.8E-3</v>
      </c>
      <c r="AM1096" s="475">
        <f t="shared" si="63"/>
        <v>1.7651909498530571E-3</v>
      </c>
      <c r="AN1096" s="464"/>
      <c r="AO1096" s="464"/>
      <c r="AR1096" s="464">
        <f t="shared" si="62"/>
        <v>1076</v>
      </c>
      <c r="AS1096" s="464" t="s">
        <v>1562</v>
      </c>
      <c r="AT1096" s="381">
        <v>2.5300000000000001E-3</v>
      </c>
      <c r="AV1096" s="464"/>
      <c r="AW1096" s="465"/>
    </row>
    <row r="1097" spans="35:49">
      <c r="AI1097" s="464">
        <f t="shared" si="61"/>
        <v>1077</v>
      </c>
      <c r="AJ1097" s="473">
        <v>44440</v>
      </c>
      <c r="AK1097" s="474">
        <v>24250.83</v>
      </c>
      <c r="AL1097" s="475">
        <v>6.1999999999999998E-3</v>
      </c>
      <c r="AM1097" s="475">
        <f t="shared" si="63"/>
        <v>6.1670744442725578E-3</v>
      </c>
      <c r="AN1097" s="464"/>
      <c r="AO1097" s="464"/>
      <c r="AR1097" s="464">
        <f t="shared" si="62"/>
        <v>1077</v>
      </c>
      <c r="AS1097" s="464" t="s">
        <v>1561</v>
      </c>
      <c r="AT1097" s="381">
        <v>2.5300000000000001E-3</v>
      </c>
      <c r="AV1097" s="464"/>
      <c r="AW1097" s="465"/>
    </row>
    <row r="1098" spans="35:49">
      <c r="AI1098" s="464">
        <f t="shared" si="61"/>
        <v>1078</v>
      </c>
      <c r="AJ1098" s="473">
        <v>44441</v>
      </c>
      <c r="AK1098" s="474">
        <v>24226.27</v>
      </c>
      <c r="AL1098" s="475">
        <v>-1E-3</v>
      </c>
      <c r="AM1098" s="475">
        <f t="shared" si="63"/>
        <v>-1.0127488419984232E-3</v>
      </c>
      <c r="AN1098" s="464"/>
      <c r="AO1098" s="464"/>
      <c r="AR1098" s="464">
        <f t="shared" si="62"/>
        <v>1078</v>
      </c>
      <c r="AS1098" s="464" t="s">
        <v>1560</v>
      </c>
      <c r="AT1098" s="381">
        <v>2.1299999999999999E-3</v>
      </c>
      <c r="AV1098" s="464"/>
      <c r="AW1098" s="465"/>
    </row>
    <row r="1099" spans="35:49">
      <c r="AI1099" s="464">
        <f t="shared" si="61"/>
        <v>1079</v>
      </c>
      <c r="AJ1099" s="473">
        <v>44442</v>
      </c>
      <c r="AK1099" s="474">
        <v>24194.61</v>
      </c>
      <c r="AL1099" s="475">
        <v>-1.2999999999999999E-3</v>
      </c>
      <c r="AM1099" s="475">
        <f t="shared" si="63"/>
        <v>-1.3068458330564026E-3</v>
      </c>
      <c r="AN1099" s="464"/>
      <c r="AO1099" s="464"/>
      <c r="AR1099" s="464">
        <f t="shared" si="62"/>
        <v>1079</v>
      </c>
      <c r="AS1099" s="464" t="s">
        <v>1559</v>
      </c>
      <c r="AT1099" s="381">
        <v>2.1099999999999999E-3</v>
      </c>
      <c r="AV1099" s="464"/>
      <c r="AW1099" s="465"/>
    </row>
    <row r="1100" spans="35:49">
      <c r="AI1100" s="464">
        <f t="shared" si="61"/>
        <v>1080</v>
      </c>
      <c r="AJ1100" s="473">
        <v>44445</v>
      </c>
      <c r="AK1100" s="474">
        <v>24248.35</v>
      </c>
      <c r="AL1100" s="475">
        <v>2.2000000000000001E-3</v>
      </c>
      <c r="AM1100" s="475">
        <f t="shared" si="63"/>
        <v>2.2211558690137245E-3</v>
      </c>
      <c r="AN1100" s="464"/>
      <c r="AO1100" s="464"/>
      <c r="AR1100" s="464">
        <f t="shared" si="62"/>
        <v>1080</v>
      </c>
      <c r="AS1100" s="464" t="s">
        <v>1558</v>
      </c>
      <c r="AT1100" s="381">
        <v>1.9599999999999999E-3</v>
      </c>
      <c r="AV1100" s="464"/>
      <c r="AW1100" s="465"/>
    </row>
    <row r="1101" spans="35:49">
      <c r="AI1101" s="464">
        <f t="shared" si="61"/>
        <v>1081</v>
      </c>
      <c r="AJ1101" s="473">
        <v>44446</v>
      </c>
      <c r="AK1101" s="474">
        <v>24097.48</v>
      </c>
      <c r="AL1101" s="475">
        <v>-6.1999999999999998E-3</v>
      </c>
      <c r="AM1101" s="475">
        <f t="shared" si="63"/>
        <v>-6.2218666424724844E-3</v>
      </c>
      <c r="AN1101" s="464"/>
      <c r="AO1101" s="464"/>
      <c r="AR1101" s="464">
        <f t="shared" si="62"/>
        <v>1081</v>
      </c>
      <c r="AS1101" s="464" t="s">
        <v>1557</v>
      </c>
      <c r="AT1101" s="381">
        <v>1.915E-3</v>
      </c>
      <c r="AV1101" s="464"/>
      <c r="AW1101" s="465"/>
    </row>
    <row r="1102" spans="35:49">
      <c r="AI1102" s="464">
        <f t="shared" si="61"/>
        <v>1082</v>
      </c>
      <c r="AJ1102" s="473">
        <v>44447</v>
      </c>
      <c r="AK1102" s="474">
        <v>23848.89</v>
      </c>
      <c r="AL1102" s="475">
        <v>-1.03E-2</v>
      </c>
      <c r="AM1102" s="475">
        <f t="shared" si="63"/>
        <v>-1.0316016446533016E-2</v>
      </c>
      <c r="AN1102" s="464"/>
      <c r="AO1102" s="464"/>
      <c r="AR1102" s="464">
        <f t="shared" si="62"/>
        <v>1082</v>
      </c>
      <c r="AS1102" s="464" t="s">
        <v>1556</v>
      </c>
      <c r="AT1102" s="381">
        <v>1.885E-3</v>
      </c>
      <c r="AV1102" s="464"/>
      <c r="AW1102" s="465"/>
    </row>
    <row r="1103" spans="35:49">
      <c r="AI1103" s="464">
        <f t="shared" si="61"/>
        <v>1083</v>
      </c>
      <c r="AJ1103" s="473">
        <v>44448</v>
      </c>
      <c r="AK1103" s="474">
        <v>23799.94</v>
      </c>
      <c r="AL1103" s="475">
        <v>-2.0999999999999999E-3</v>
      </c>
      <c r="AM1103" s="475">
        <f t="shared" si="63"/>
        <v>-2.0525064269238946E-3</v>
      </c>
      <c r="AN1103" s="464"/>
      <c r="AO1103" s="464"/>
      <c r="AR1103" s="464">
        <f t="shared" si="62"/>
        <v>1083</v>
      </c>
      <c r="AS1103" s="464" t="s">
        <v>1555</v>
      </c>
      <c r="AT1103" s="381">
        <v>1.7399999999999998E-3</v>
      </c>
      <c r="AV1103" s="464"/>
      <c r="AW1103" s="465"/>
    </row>
    <row r="1104" spans="35:49">
      <c r="AI1104" s="464">
        <f t="shared" si="61"/>
        <v>1084</v>
      </c>
      <c r="AJ1104" s="473">
        <v>44449</v>
      </c>
      <c r="AK1104" s="474">
        <v>23733.56</v>
      </c>
      <c r="AL1104" s="475">
        <v>-2.8E-3</v>
      </c>
      <c r="AM1104" s="475">
        <f t="shared" si="63"/>
        <v>-2.7890826615528663E-3</v>
      </c>
      <c r="AN1104" s="464"/>
      <c r="AO1104" s="464"/>
      <c r="AR1104" s="464">
        <f t="shared" si="62"/>
        <v>1084</v>
      </c>
      <c r="AS1104" s="464" t="s">
        <v>1554</v>
      </c>
      <c r="AT1104" s="381">
        <v>2.1299999999999999E-3</v>
      </c>
      <c r="AV1104" s="464"/>
      <c r="AW1104" s="465"/>
    </row>
    <row r="1105" spans="35:49">
      <c r="AI1105" s="464">
        <f t="shared" si="61"/>
        <v>1085</v>
      </c>
      <c r="AJ1105" s="473">
        <v>44452</v>
      </c>
      <c r="AK1105" s="474">
        <v>23775.73</v>
      </c>
      <c r="AL1105" s="475">
        <v>1.8E-3</v>
      </c>
      <c r="AM1105" s="475">
        <f t="shared" si="63"/>
        <v>1.7768088731735521E-3</v>
      </c>
      <c r="AN1105" s="464"/>
      <c r="AO1105" s="464"/>
      <c r="AR1105" s="464">
        <f t="shared" si="62"/>
        <v>1085</v>
      </c>
      <c r="AS1105" s="464" t="s">
        <v>1553</v>
      </c>
      <c r="AT1105" s="381">
        <v>2.4599999999999999E-3</v>
      </c>
      <c r="AV1105" s="464"/>
      <c r="AW1105" s="465"/>
    </row>
    <row r="1106" spans="35:49">
      <c r="AI1106" s="464">
        <f t="shared" si="61"/>
        <v>1086</v>
      </c>
      <c r="AJ1106" s="473">
        <v>44453</v>
      </c>
      <c r="AK1106" s="474">
        <v>23687.26</v>
      </c>
      <c r="AL1106" s="475">
        <v>-3.7000000000000002E-3</v>
      </c>
      <c r="AM1106" s="475">
        <f t="shared" si="63"/>
        <v>-3.721021394506141E-3</v>
      </c>
      <c r="AN1106" s="464"/>
      <c r="AO1106" s="464"/>
      <c r="AR1106" s="464">
        <f t="shared" si="62"/>
        <v>1086</v>
      </c>
      <c r="AS1106" s="464" t="s">
        <v>1552</v>
      </c>
      <c r="AT1106" s="381">
        <v>2.8599999999999997E-3</v>
      </c>
      <c r="AV1106" s="464"/>
      <c r="AW1106" s="465"/>
    </row>
    <row r="1107" spans="35:49">
      <c r="AI1107" s="464">
        <f t="shared" si="61"/>
        <v>1087</v>
      </c>
      <c r="AJ1107" s="473">
        <v>44454</v>
      </c>
      <c r="AK1107" s="474">
        <v>23432.81</v>
      </c>
      <c r="AL1107" s="475">
        <v>-1.0699999999999999E-2</v>
      </c>
      <c r="AM1107" s="475">
        <f t="shared" si="63"/>
        <v>-1.074206134436817E-2</v>
      </c>
      <c r="AN1107" s="464"/>
      <c r="AO1107" s="464"/>
      <c r="AR1107" s="464">
        <f t="shared" si="62"/>
        <v>1087</v>
      </c>
      <c r="AS1107" s="464" t="s">
        <v>1551</v>
      </c>
      <c r="AT1107" s="381">
        <v>2.8799999999999997E-3</v>
      </c>
      <c r="AV1107" s="464"/>
      <c r="AW1107" s="465"/>
    </row>
    <row r="1108" spans="35:49">
      <c r="AI1108" s="464">
        <f t="shared" si="61"/>
        <v>1088</v>
      </c>
      <c r="AJ1108" s="473">
        <v>44455</v>
      </c>
      <c r="AK1108" s="474">
        <v>23632.84</v>
      </c>
      <c r="AL1108" s="475">
        <v>8.5000000000000006E-3</v>
      </c>
      <c r="AM1108" s="475">
        <f t="shared" si="63"/>
        <v>8.5363215081759591E-3</v>
      </c>
      <c r="AN1108" s="464"/>
      <c r="AO1108" s="464"/>
      <c r="AR1108" s="464">
        <f t="shared" si="62"/>
        <v>1088</v>
      </c>
      <c r="AS1108" s="464" t="s">
        <v>1550</v>
      </c>
      <c r="AT1108" s="381">
        <v>2.8449999999999999E-3</v>
      </c>
      <c r="AV1108" s="464"/>
      <c r="AW1108" s="465"/>
    </row>
    <row r="1109" spans="35:49">
      <c r="AI1109" s="464">
        <f t="shared" ref="AI1109:AI1172" si="64">AI1108+1</f>
        <v>1089</v>
      </c>
      <c r="AJ1109" s="473">
        <v>44456</v>
      </c>
      <c r="AK1109" s="474">
        <v>23658.94</v>
      </c>
      <c r="AL1109" s="475">
        <v>1.1000000000000001E-3</v>
      </c>
      <c r="AM1109" s="475">
        <f t="shared" si="63"/>
        <v>1.1043954091001229E-3</v>
      </c>
      <c r="AN1109" s="464"/>
      <c r="AO1109" s="464"/>
      <c r="AR1109" s="464">
        <f t="shared" ref="AR1109:AR1172" si="65">AR1108+1</f>
        <v>1089</v>
      </c>
      <c r="AS1109" s="464" t="s">
        <v>1549</v>
      </c>
      <c r="AT1109" s="381">
        <v>3.1199999999999999E-3</v>
      </c>
      <c r="AV1109" s="464"/>
      <c r="AW1109" s="465"/>
    </row>
    <row r="1110" spans="35:49">
      <c r="AI1110" s="464">
        <f t="shared" si="64"/>
        <v>1090</v>
      </c>
      <c r="AJ1110" s="473">
        <v>44459</v>
      </c>
      <c r="AK1110" s="474">
        <v>23401.72</v>
      </c>
      <c r="AL1110" s="475">
        <v>-1.09E-2</v>
      </c>
      <c r="AM1110" s="475">
        <f t="shared" ref="AM1110:AM1173" si="66">AK1110/AK1109-1</f>
        <v>-1.087200018259471E-2</v>
      </c>
      <c r="AN1110" s="464"/>
      <c r="AO1110" s="464"/>
      <c r="AR1110" s="464">
        <f t="shared" si="65"/>
        <v>1090</v>
      </c>
      <c r="AS1110" s="464" t="s">
        <v>1548</v>
      </c>
      <c r="AT1110" s="381">
        <v>3.5499999999999998E-3</v>
      </c>
      <c r="AV1110" s="464"/>
      <c r="AW1110" s="465"/>
    </row>
    <row r="1111" spans="35:49">
      <c r="AI1111" s="464">
        <f t="shared" si="64"/>
        <v>1091</v>
      </c>
      <c r="AJ1111" s="473">
        <v>44460</v>
      </c>
      <c r="AK1111" s="474">
        <v>23611.39</v>
      </c>
      <c r="AL1111" s="475">
        <v>8.9999999999999993E-3</v>
      </c>
      <c r="AM1111" s="475">
        <f t="shared" si="66"/>
        <v>8.9595978415260014E-3</v>
      </c>
      <c r="AN1111" s="464"/>
      <c r="AO1111" s="464"/>
      <c r="AR1111" s="464">
        <f t="shared" si="65"/>
        <v>1091</v>
      </c>
      <c r="AS1111" s="464" t="s">
        <v>1547</v>
      </c>
      <c r="AT1111" s="381">
        <v>3.0999999999999999E-3</v>
      </c>
      <c r="AV1111" s="464"/>
      <c r="AW1111" s="465"/>
    </row>
    <row r="1112" spans="35:49">
      <c r="AI1112" s="464">
        <f t="shared" si="64"/>
        <v>1092</v>
      </c>
      <c r="AJ1112" s="473">
        <v>44461</v>
      </c>
      <c r="AK1112" s="474">
        <v>23784.54</v>
      </c>
      <c r="AL1112" s="475">
        <v>7.3000000000000001E-3</v>
      </c>
      <c r="AM1112" s="475">
        <f t="shared" si="66"/>
        <v>7.3333251451948023E-3</v>
      </c>
      <c r="AN1112" s="464"/>
      <c r="AO1112" s="464"/>
      <c r="AR1112" s="464">
        <f t="shared" si="65"/>
        <v>1092</v>
      </c>
      <c r="AS1112" s="464" t="s">
        <v>1546</v>
      </c>
      <c r="AT1112" s="381">
        <v>2.9399999999999999E-3</v>
      </c>
      <c r="AV1112" s="464"/>
      <c r="AW1112" s="465"/>
    </row>
    <row r="1113" spans="35:49">
      <c r="AI1113" s="464">
        <f t="shared" si="64"/>
        <v>1093</v>
      </c>
      <c r="AJ1113" s="473">
        <v>44462</v>
      </c>
      <c r="AK1113" s="474">
        <v>23830.18</v>
      </c>
      <c r="AL1113" s="475">
        <v>1.9E-3</v>
      </c>
      <c r="AM1113" s="475">
        <f t="shared" si="66"/>
        <v>1.9188935333624979E-3</v>
      </c>
      <c r="AN1113" s="464"/>
      <c r="AO1113" s="464"/>
      <c r="AR1113" s="464">
        <f t="shared" si="65"/>
        <v>1093</v>
      </c>
      <c r="AS1113" s="464" t="s">
        <v>1545</v>
      </c>
      <c r="AT1113" s="381">
        <v>2.8699999999999997E-3</v>
      </c>
      <c r="AV1113" s="464"/>
      <c r="AW1113" s="465"/>
    </row>
    <row r="1114" spans="35:49">
      <c r="AI1114" s="464">
        <f t="shared" si="64"/>
        <v>1094</v>
      </c>
      <c r="AJ1114" s="473">
        <v>44463</v>
      </c>
      <c r="AK1114" s="474">
        <v>23608.79</v>
      </c>
      <c r="AL1114" s="475">
        <v>-9.2999999999999992E-3</v>
      </c>
      <c r="AM1114" s="475">
        <f t="shared" si="66"/>
        <v>-9.290320089902826E-3</v>
      </c>
      <c r="AN1114" s="464"/>
      <c r="AO1114" s="464"/>
      <c r="AR1114" s="464">
        <f t="shared" si="65"/>
        <v>1094</v>
      </c>
      <c r="AS1114" s="464" t="s">
        <v>1544</v>
      </c>
      <c r="AT1114" s="381">
        <v>2.8999999999999998E-3</v>
      </c>
      <c r="AV1114" s="464"/>
      <c r="AW1114" s="465"/>
    </row>
    <row r="1115" spans="35:49">
      <c r="AI1115" s="464">
        <f t="shared" si="64"/>
        <v>1095</v>
      </c>
      <c r="AJ1115" s="473">
        <v>44466</v>
      </c>
      <c r="AK1115" s="474">
        <v>23608.63</v>
      </c>
      <c r="AL1115" s="475">
        <v>0</v>
      </c>
      <c r="AM1115" s="475">
        <f t="shared" si="66"/>
        <v>-6.7771368206237526E-6</v>
      </c>
      <c r="AN1115" s="464"/>
      <c r="AO1115" s="464"/>
      <c r="AR1115" s="464">
        <f t="shared" si="65"/>
        <v>1095</v>
      </c>
      <c r="AS1115" s="464" t="s">
        <v>1543</v>
      </c>
      <c r="AT1115" s="381">
        <v>2.8999999999999998E-3</v>
      </c>
      <c r="AV1115" s="464"/>
      <c r="AW1115" s="465"/>
    </row>
    <row r="1116" spans="35:49">
      <c r="AI1116" s="464">
        <f t="shared" si="64"/>
        <v>1096</v>
      </c>
      <c r="AJ1116" s="473">
        <v>44467</v>
      </c>
      <c r="AK1116" s="474">
        <v>23129.1</v>
      </c>
      <c r="AL1116" s="475">
        <v>-2.0299999999999999E-2</v>
      </c>
      <c r="AM1116" s="475">
        <f t="shared" si="66"/>
        <v>-2.0311640277305476E-2</v>
      </c>
      <c r="AN1116" s="464"/>
      <c r="AO1116" s="464"/>
      <c r="AR1116" s="464">
        <f t="shared" si="65"/>
        <v>1096</v>
      </c>
      <c r="AS1116" s="464" t="s">
        <v>1542</v>
      </c>
      <c r="AT1116" s="381">
        <v>3.0100000000000001E-3</v>
      </c>
      <c r="AV1116" s="464"/>
      <c r="AW1116" s="465"/>
    </row>
    <row r="1117" spans="35:49">
      <c r="AI1117" s="464">
        <f t="shared" si="64"/>
        <v>1097</v>
      </c>
      <c r="AJ1117" s="473">
        <v>44468</v>
      </c>
      <c r="AK1117" s="474">
        <v>23150.97</v>
      </c>
      <c r="AL1117" s="475">
        <v>8.9999999999999998E-4</v>
      </c>
      <c r="AM1117" s="475">
        <f t="shared" si="66"/>
        <v>9.4556208412788223E-4</v>
      </c>
      <c r="AN1117" s="464"/>
      <c r="AO1117" s="464"/>
      <c r="AR1117" s="464">
        <f t="shared" si="65"/>
        <v>1097</v>
      </c>
      <c r="AS1117" s="464" t="s">
        <v>1541</v>
      </c>
      <c r="AT1117" s="381">
        <v>3.31E-3</v>
      </c>
      <c r="AV1117" s="464"/>
      <c r="AW1117" s="465"/>
    </row>
    <row r="1118" spans="35:49">
      <c r="AI1118" s="464">
        <f t="shared" si="64"/>
        <v>1098</v>
      </c>
      <c r="AJ1118" s="473">
        <v>44469</v>
      </c>
      <c r="AK1118" s="474">
        <v>23031.29</v>
      </c>
      <c r="AL1118" s="475">
        <v>-5.1999999999999998E-3</v>
      </c>
      <c r="AM1118" s="475">
        <f t="shared" si="66"/>
        <v>-5.1695458116873816E-3</v>
      </c>
      <c r="AN1118" s="464"/>
      <c r="AO1118" s="464"/>
      <c r="AR1118" s="464">
        <f t="shared" si="65"/>
        <v>1098</v>
      </c>
      <c r="AS1118" s="464" t="s">
        <v>1540</v>
      </c>
      <c r="AT1118" s="381">
        <v>3.0299999999999997E-3</v>
      </c>
      <c r="AV1118" s="464"/>
      <c r="AW1118" s="465"/>
    </row>
    <row r="1119" spans="35:49">
      <c r="AI1119" s="464">
        <f t="shared" si="64"/>
        <v>1099</v>
      </c>
      <c r="AJ1119" s="473">
        <v>44470</v>
      </c>
      <c r="AK1119" s="474">
        <v>22975.77</v>
      </c>
      <c r="AL1119" s="475">
        <v>-2.3999999999999998E-3</v>
      </c>
      <c r="AM1119" s="475">
        <f t="shared" si="66"/>
        <v>-2.4106335337708007E-3</v>
      </c>
      <c r="AN1119" s="464"/>
      <c r="AO1119" s="464"/>
      <c r="AR1119" s="464">
        <f t="shared" si="65"/>
        <v>1099</v>
      </c>
      <c r="AS1119" s="464" t="s">
        <v>1539</v>
      </c>
      <c r="AT1119" s="381">
        <v>2.64E-3</v>
      </c>
      <c r="AV1119" s="464"/>
      <c r="AW1119" s="465"/>
    </row>
    <row r="1120" spans="35:49">
      <c r="AI1120" s="464">
        <f t="shared" si="64"/>
        <v>1100</v>
      </c>
      <c r="AJ1120" s="473">
        <v>44473</v>
      </c>
      <c r="AK1120" s="474">
        <v>22654.92</v>
      </c>
      <c r="AL1120" s="475">
        <v>-1.4E-2</v>
      </c>
      <c r="AM1120" s="475">
        <f t="shared" si="66"/>
        <v>-1.3964711520005779E-2</v>
      </c>
      <c r="AN1120" s="464"/>
      <c r="AO1120" s="464"/>
      <c r="AR1120" s="464">
        <f t="shared" si="65"/>
        <v>1100</v>
      </c>
      <c r="AS1120" s="464" t="s">
        <v>1538</v>
      </c>
      <c r="AT1120" s="381">
        <v>2.6700000000000001E-3</v>
      </c>
      <c r="AV1120" s="464"/>
      <c r="AW1120" s="465"/>
    </row>
    <row r="1121" spans="35:49">
      <c r="AI1121" s="464">
        <f t="shared" si="64"/>
        <v>1101</v>
      </c>
      <c r="AJ1121" s="473">
        <v>44474</v>
      </c>
      <c r="AK1121" s="474">
        <v>22730.65</v>
      </c>
      <c r="AL1121" s="475">
        <v>3.3E-3</v>
      </c>
      <c r="AM1121" s="475">
        <f t="shared" si="66"/>
        <v>3.3427617488830386E-3</v>
      </c>
      <c r="AN1121" s="464"/>
      <c r="AO1121" s="464"/>
      <c r="AR1121" s="464">
        <f t="shared" si="65"/>
        <v>1101</v>
      </c>
      <c r="AS1121" s="464" t="s">
        <v>1537</v>
      </c>
      <c r="AT1121" s="381">
        <v>2.6900000000000001E-3</v>
      </c>
      <c r="AV1121" s="464"/>
      <c r="AW1121" s="465"/>
    </row>
    <row r="1122" spans="35:49">
      <c r="AI1122" s="464">
        <f t="shared" si="64"/>
        <v>1102</v>
      </c>
      <c r="AJ1122" s="473">
        <v>44475</v>
      </c>
      <c r="AK1122" s="474">
        <v>22386.62</v>
      </c>
      <c r="AL1122" s="475">
        <v>-1.5100000000000001E-2</v>
      </c>
      <c r="AM1122" s="475">
        <f t="shared" si="66"/>
        <v>-1.5135070928460115E-2</v>
      </c>
      <c r="AN1122" s="464"/>
      <c r="AO1122" s="464"/>
      <c r="AR1122" s="464">
        <f t="shared" si="65"/>
        <v>1102</v>
      </c>
      <c r="AS1122" s="464" t="s">
        <v>1536</v>
      </c>
      <c r="AT1122" s="381">
        <v>2.8999999999999998E-3</v>
      </c>
      <c r="AV1122" s="464"/>
      <c r="AW1122" s="465"/>
    </row>
    <row r="1123" spans="35:49">
      <c r="AI1123" s="464">
        <f t="shared" si="64"/>
        <v>1103</v>
      </c>
      <c r="AJ1123" s="473">
        <v>44476</v>
      </c>
      <c r="AK1123" s="474">
        <v>22559.22</v>
      </c>
      <c r="AL1123" s="475">
        <v>7.7000000000000002E-3</v>
      </c>
      <c r="AM1123" s="475">
        <f t="shared" si="66"/>
        <v>7.7099624686531865E-3</v>
      </c>
      <c r="AN1123" s="464"/>
      <c r="AO1123" s="464"/>
      <c r="AR1123" s="464">
        <f t="shared" si="65"/>
        <v>1103</v>
      </c>
      <c r="AS1123" s="464" t="s">
        <v>1535</v>
      </c>
      <c r="AT1123" s="381">
        <v>3.29E-3</v>
      </c>
      <c r="AV1123" s="464"/>
      <c r="AW1123" s="465"/>
    </row>
    <row r="1124" spans="35:49">
      <c r="AI1124" s="464">
        <f t="shared" si="64"/>
        <v>1104</v>
      </c>
      <c r="AJ1124" s="473">
        <v>44477</v>
      </c>
      <c r="AK1124" s="474">
        <v>22536.17</v>
      </c>
      <c r="AL1124" s="475">
        <v>-1E-3</v>
      </c>
      <c r="AM1124" s="475">
        <f t="shared" si="66"/>
        <v>-1.0217551847981898E-3</v>
      </c>
      <c r="AN1124" s="464"/>
      <c r="AO1124" s="464"/>
      <c r="AR1124" s="464">
        <f t="shared" si="65"/>
        <v>1104</v>
      </c>
      <c r="AS1124" s="464" t="s">
        <v>1534</v>
      </c>
      <c r="AT1124" s="381">
        <v>3.2100000000000002E-3</v>
      </c>
      <c r="AV1124" s="464"/>
      <c r="AW1124" s="465"/>
    </row>
    <row r="1125" spans="35:49">
      <c r="AI1125" s="464">
        <f t="shared" si="64"/>
        <v>1105</v>
      </c>
      <c r="AJ1125" s="473">
        <v>44480</v>
      </c>
      <c r="AK1125" s="474">
        <v>22487.47</v>
      </c>
      <c r="AL1125" s="475">
        <v>-2.2000000000000001E-3</v>
      </c>
      <c r="AM1125" s="475">
        <f t="shared" si="66"/>
        <v>-2.1609705642083865E-3</v>
      </c>
      <c r="AN1125" s="464"/>
      <c r="AO1125" s="464"/>
      <c r="AR1125" s="464">
        <f t="shared" si="65"/>
        <v>1105</v>
      </c>
      <c r="AS1125" s="464" t="s">
        <v>1533</v>
      </c>
      <c r="AT1125" s="381">
        <v>3.5099999999999997E-3</v>
      </c>
      <c r="AV1125" s="464"/>
      <c r="AW1125" s="465"/>
    </row>
    <row r="1126" spans="35:49">
      <c r="AI1126" s="464">
        <f t="shared" si="64"/>
        <v>1106</v>
      </c>
      <c r="AJ1126" s="473">
        <v>44481</v>
      </c>
      <c r="AK1126" s="474">
        <v>22468.9</v>
      </c>
      <c r="AL1126" s="475">
        <v>-8.0000000000000004E-4</v>
      </c>
      <c r="AM1126" s="475">
        <f t="shared" si="66"/>
        <v>-8.2579320839559767E-4</v>
      </c>
      <c r="AN1126" s="464"/>
      <c r="AO1126" s="464"/>
      <c r="AR1126" s="464">
        <f t="shared" si="65"/>
        <v>1106</v>
      </c>
      <c r="AS1126" s="464" t="s">
        <v>1532</v>
      </c>
      <c r="AT1126" s="381">
        <v>3.7000000000000002E-3</v>
      </c>
      <c r="AV1126" s="464"/>
      <c r="AW1126" s="465"/>
    </row>
    <row r="1127" spans="35:49">
      <c r="AI1127" s="464">
        <f t="shared" si="64"/>
        <v>1107</v>
      </c>
      <c r="AJ1127" s="473">
        <v>44482</v>
      </c>
      <c r="AK1127" s="474">
        <v>22635.27</v>
      </c>
      <c r="AL1127" s="475">
        <v>7.4000000000000003E-3</v>
      </c>
      <c r="AM1127" s="475">
        <f t="shared" si="66"/>
        <v>7.4044568269919786E-3</v>
      </c>
      <c r="AN1127" s="464"/>
      <c r="AO1127" s="464"/>
      <c r="AR1127" s="464">
        <f t="shared" si="65"/>
        <v>1107</v>
      </c>
      <c r="AS1127" s="464" t="s">
        <v>1531</v>
      </c>
      <c r="AT1127" s="381">
        <v>4.4200000000000003E-3</v>
      </c>
      <c r="AV1127" s="464"/>
      <c r="AW1127" s="465"/>
    </row>
    <row r="1128" spans="35:49">
      <c r="AI1128" s="464">
        <f t="shared" si="64"/>
        <v>1108</v>
      </c>
      <c r="AJ1128" s="473">
        <v>44483</v>
      </c>
      <c r="AK1128" s="474">
        <v>22860.39</v>
      </c>
      <c r="AL1128" s="475">
        <v>9.9000000000000008E-3</v>
      </c>
      <c r="AM1128" s="475">
        <f t="shared" si="66"/>
        <v>9.9455407423900688E-3</v>
      </c>
      <c r="AN1128" s="464"/>
      <c r="AO1128" s="464"/>
      <c r="AR1128" s="464">
        <f t="shared" si="65"/>
        <v>1108</v>
      </c>
      <c r="AS1128" s="464" t="s">
        <v>1530</v>
      </c>
      <c r="AT1128" s="381">
        <v>4.8700000000000002E-3</v>
      </c>
      <c r="AV1128" s="464"/>
      <c r="AW1128" s="465"/>
    </row>
    <row r="1129" spans="35:49">
      <c r="AI1129" s="464">
        <f t="shared" si="64"/>
        <v>1109</v>
      </c>
      <c r="AJ1129" s="473">
        <v>44484</v>
      </c>
      <c r="AK1129" s="474">
        <v>22984.240000000002</v>
      </c>
      <c r="AL1129" s="475">
        <v>5.4000000000000003E-3</v>
      </c>
      <c r="AM1129" s="475">
        <f t="shared" si="66"/>
        <v>5.4176678525608146E-3</v>
      </c>
      <c r="AN1129" s="464"/>
      <c r="AO1129" s="464"/>
      <c r="AR1129" s="464">
        <f t="shared" si="65"/>
        <v>1109</v>
      </c>
      <c r="AS1129" s="464" t="s">
        <v>1529</v>
      </c>
      <c r="AT1129" s="381">
        <v>4.7699999999999999E-3</v>
      </c>
      <c r="AV1129" s="464"/>
      <c r="AW1129" s="465"/>
    </row>
    <row r="1130" spans="35:49">
      <c r="AI1130" s="464">
        <f t="shared" si="64"/>
        <v>1110</v>
      </c>
      <c r="AJ1130" s="473">
        <v>44487</v>
      </c>
      <c r="AK1130" s="474">
        <v>22968.74</v>
      </c>
      <c r="AL1130" s="475">
        <v>-6.9999999999999999E-4</v>
      </c>
      <c r="AM1130" s="475">
        <f t="shared" si="66"/>
        <v>-6.7437513705037588E-4</v>
      </c>
      <c r="AN1130" s="464"/>
      <c r="AO1130" s="464"/>
      <c r="AR1130" s="464">
        <f t="shared" si="65"/>
        <v>1110</v>
      </c>
      <c r="AS1130" s="464" t="s">
        <v>1528</v>
      </c>
      <c r="AT1130" s="381">
        <v>4.6300000000000004E-3</v>
      </c>
      <c r="AV1130" s="464"/>
      <c r="AW1130" s="465"/>
    </row>
    <row r="1131" spans="35:49">
      <c r="AI1131" s="464">
        <f t="shared" si="64"/>
        <v>1111</v>
      </c>
      <c r="AJ1131" s="473">
        <v>44488</v>
      </c>
      <c r="AK1131" s="474">
        <v>23054.09</v>
      </c>
      <c r="AL1131" s="475">
        <v>3.7000000000000002E-3</v>
      </c>
      <c r="AM1131" s="475">
        <f t="shared" si="66"/>
        <v>3.7159199851624081E-3</v>
      </c>
      <c r="AN1131" s="464"/>
      <c r="AO1131" s="464"/>
      <c r="AR1131" s="464">
        <f t="shared" si="65"/>
        <v>1111</v>
      </c>
      <c r="AS1131" s="464" t="s">
        <v>1527</v>
      </c>
      <c r="AT1131" s="381">
        <v>4.8900000000000002E-3</v>
      </c>
      <c r="AV1131" s="464"/>
      <c r="AW1131" s="465"/>
    </row>
    <row r="1132" spans="35:49">
      <c r="AI1132" s="464">
        <f t="shared" si="64"/>
        <v>1112</v>
      </c>
      <c r="AJ1132" s="473">
        <v>44489</v>
      </c>
      <c r="AK1132" s="474">
        <v>22966.67</v>
      </c>
      <c r="AL1132" s="475">
        <v>-3.8E-3</v>
      </c>
      <c r="AM1132" s="475">
        <f t="shared" si="66"/>
        <v>-3.7919518835921595E-3</v>
      </c>
      <c r="AN1132" s="464"/>
      <c r="AO1132" s="464"/>
      <c r="AR1132" s="464">
        <f t="shared" si="65"/>
        <v>1112</v>
      </c>
      <c r="AS1132" s="464" t="s">
        <v>1526</v>
      </c>
      <c r="AT1132" s="381">
        <v>4.7099999999999998E-3</v>
      </c>
      <c r="AV1132" s="464"/>
      <c r="AW1132" s="465"/>
    </row>
    <row r="1133" spans="35:49">
      <c r="AI1133" s="464">
        <f t="shared" si="64"/>
        <v>1113</v>
      </c>
      <c r="AJ1133" s="473">
        <v>44490</v>
      </c>
      <c r="AK1133" s="474">
        <v>22917.05</v>
      </c>
      <c r="AL1133" s="475">
        <v>-2.2000000000000001E-3</v>
      </c>
      <c r="AM1133" s="475">
        <f t="shared" si="66"/>
        <v>-2.1605221827979415E-3</v>
      </c>
      <c r="AN1133" s="464"/>
      <c r="AO1133" s="464"/>
      <c r="AR1133" s="464">
        <f t="shared" si="65"/>
        <v>1113</v>
      </c>
      <c r="AS1133" s="464" t="s">
        <v>1525</v>
      </c>
      <c r="AT1133" s="381">
        <v>5.1999999999999998E-3</v>
      </c>
      <c r="AV1133" s="464"/>
      <c r="AW1133" s="465"/>
    </row>
    <row r="1134" spans="35:49">
      <c r="AI1134" s="464">
        <f t="shared" si="64"/>
        <v>1114</v>
      </c>
      <c r="AJ1134" s="473">
        <v>44491</v>
      </c>
      <c r="AK1134" s="474">
        <v>22931.66</v>
      </c>
      <c r="AL1134" s="475">
        <v>5.9999999999999995E-4</v>
      </c>
      <c r="AM1134" s="475">
        <f t="shared" si="66"/>
        <v>6.3751660881306016E-4</v>
      </c>
      <c r="AN1134" s="464"/>
      <c r="AO1134" s="464"/>
      <c r="AR1134" s="464">
        <f t="shared" si="65"/>
        <v>1114</v>
      </c>
      <c r="AS1134" s="464" t="s">
        <v>1524</v>
      </c>
      <c r="AT1134" s="381">
        <v>5.7199999999999994E-3</v>
      </c>
      <c r="AV1134" s="464"/>
      <c r="AW1134" s="465"/>
    </row>
    <row r="1135" spans="35:49">
      <c r="AI1135" s="464">
        <f t="shared" si="64"/>
        <v>1115</v>
      </c>
      <c r="AJ1135" s="473">
        <v>44494</v>
      </c>
      <c r="AK1135" s="474">
        <v>22941.78</v>
      </c>
      <c r="AL1135" s="475">
        <v>4.0000000000000002E-4</v>
      </c>
      <c r="AM1135" s="475">
        <f t="shared" si="66"/>
        <v>4.4131127009561233E-4</v>
      </c>
      <c r="AN1135" s="464"/>
      <c r="AO1135" s="464"/>
      <c r="AR1135" s="464">
        <f t="shared" si="65"/>
        <v>1115</v>
      </c>
      <c r="AS1135" s="464" t="s">
        <v>1523</v>
      </c>
      <c r="AT1135" s="381">
        <v>6.2399999999999999E-3</v>
      </c>
      <c r="AV1135" s="464"/>
      <c r="AW1135" s="465"/>
    </row>
    <row r="1136" spans="35:49">
      <c r="AI1136" s="464">
        <f t="shared" si="64"/>
        <v>1116</v>
      </c>
      <c r="AJ1136" s="473">
        <v>44495</v>
      </c>
      <c r="AK1136" s="474">
        <v>23161.27</v>
      </c>
      <c r="AL1136" s="475">
        <v>9.5999999999999992E-3</v>
      </c>
      <c r="AM1136" s="475">
        <f t="shared" si="66"/>
        <v>9.5672611279509212E-3</v>
      </c>
      <c r="AN1136" s="464"/>
      <c r="AO1136" s="464"/>
      <c r="AR1136" s="464">
        <f t="shared" si="65"/>
        <v>1116</v>
      </c>
      <c r="AS1136" s="464" t="s">
        <v>1522</v>
      </c>
      <c r="AT1136" s="381">
        <v>5.7299999999999999E-3</v>
      </c>
      <c r="AV1136" s="464"/>
      <c r="AW1136" s="465"/>
    </row>
    <row r="1137" spans="35:49">
      <c r="AI1137" s="464">
        <f t="shared" si="64"/>
        <v>1117</v>
      </c>
      <c r="AJ1137" s="473">
        <v>44496</v>
      </c>
      <c r="AK1137" s="474">
        <v>23172.04</v>
      </c>
      <c r="AL1137" s="475">
        <v>5.0000000000000001E-4</v>
      </c>
      <c r="AM1137" s="475">
        <f t="shared" si="66"/>
        <v>4.6500040800867559E-4</v>
      </c>
      <c r="AN1137" s="464"/>
      <c r="AO1137" s="464"/>
      <c r="AR1137" s="464">
        <f t="shared" si="65"/>
        <v>1117</v>
      </c>
      <c r="AS1137" s="464" t="s">
        <v>1521</v>
      </c>
      <c r="AT1137" s="381">
        <v>6.2300000000000003E-3</v>
      </c>
      <c r="AV1137" s="464"/>
      <c r="AW1137" s="465"/>
    </row>
    <row r="1138" spans="35:49">
      <c r="AI1138" s="464">
        <f t="shared" si="64"/>
        <v>1118</v>
      </c>
      <c r="AJ1138" s="473">
        <v>44497</v>
      </c>
      <c r="AK1138" s="474">
        <v>23199.87</v>
      </c>
      <c r="AL1138" s="475">
        <v>1.1999999999999999E-3</v>
      </c>
      <c r="AM1138" s="475">
        <f t="shared" si="66"/>
        <v>1.2010163973477095E-3</v>
      </c>
      <c r="AN1138" s="464"/>
      <c r="AO1138" s="464"/>
      <c r="AR1138" s="464">
        <f t="shared" si="65"/>
        <v>1118</v>
      </c>
      <c r="AS1138" s="464" t="s">
        <v>1520</v>
      </c>
      <c r="AT1138" s="381">
        <v>6.9999999999999993E-3</v>
      </c>
      <c r="AV1138" s="464"/>
      <c r="AW1138" s="465"/>
    </row>
    <row r="1139" spans="35:49">
      <c r="AI1139" s="464">
        <f t="shared" si="64"/>
        <v>1119</v>
      </c>
      <c r="AJ1139" s="473">
        <v>44498</v>
      </c>
      <c r="AK1139" s="474">
        <v>23106.61</v>
      </c>
      <c r="AL1139" s="475">
        <v>-4.0000000000000001E-3</v>
      </c>
      <c r="AM1139" s="475">
        <f t="shared" si="66"/>
        <v>-4.019850111228962E-3</v>
      </c>
      <c r="AN1139" s="464"/>
      <c r="AO1139" s="464"/>
      <c r="AR1139" s="464">
        <f t="shared" si="65"/>
        <v>1119</v>
      </c>
      <c r="AS1139" s="464" t="s">
        <v>1519</v>
      </c>
      <c r="AT1139" s="381">
        <v>6.9649999999999998E-3</v>
      </c>
      <c r="AV1139" s="464"/>
      <c r="AW1139" s="465"/>
    </row>
    <row r="1140" spans="35:49">
      <c r="AI1140" s="464">
        <f t="shared" si="64"/>
        <v>1120</v>
      </c>
      <c r="AJ1140" s="473">
        <v>44501</v>
      </c>
      <c r="AK1140" s="474">
        <v>23211.22</v>
      </c>
      <c r="AL1140" s="475">
        <v>4.4999999999999997E-3</v>
      </c>
      <c r="AM1140" s="475">
        <f t="shared" si="66"/>
        <v>4.5272759612942082E-3</v>
      </c>
      <c r="AN1140" s="464"/>
      <c r="AO1140" s="464"/>
      <c r="AR1140" s="464">
        <f t="shared" si="65"/>
        <v>1120</v>
      </c>
      <c r="AS1140" s="464" t="s">
        <v>1518</v>
      </c>
      <c r="AT1140" s="381">
        <v>6.8100000000000001E-3</v>
      </c>
      <c r="AV1140" s="464"/>
      <c r="AW1140" s="465"/>
    </row>
    <row r="1141" spans="35:49">
      <c r="AI1141" s="464">
        <f t="shared" si="64"/>
        <v>1121</v>
      </c>
      <c r="AJ1141" s="473">
        <v>44502</v>
      </c>
      <c r="AK1141" s="474">
        <v>23140</v>
      </c>
      <c r="AL1141" s="475">
        <v>-3.0999999999999999E-3</v>
      </c>
      <c r="AM1141" s="475">
        <f t="shared" si="66"/>
        <v>-3.0683436717243717E-3</v>
      </c>
      <c r="AN1141" s="464"/>
      <c r="AO1141" s="464"/>
      <c r="AR1141" s="464">
        <f t="shared" si="65"/>
        <v>1121</v>
      </c>
      <c r="AS1141" s="464" t="s">
        <v>1517</v>
      </c>
      <c r="AT1141" s="381">
        <v>7.1799999999999998E-3</v>
      </c>
      <c r="AV1141" s="464"/>
      <c r="AW1141" s="465"/>
    </row>
    <row r="1142" spans="35:49">
      <c r="AI1142" s="464">
        <f t="shared" si="64"/>
        <v>1122</v>
      </c>
      <c r="AJ1142" s="473">
        <v>44503</v>
      </c>
      <c r="AK1142" s="474">
        <v>23116.97</v>
      </c>
      <c r="AL1142" s="475">
        <v>-1E-3</v>
      </c>
      <c r="AM1142" s="475">
        <f t="shared" si="66"/>
        <v>-9.9524632670699997E-4</v>
      </c>
      <c r="AN1142" s="464"/>
      <c r="AO1142" s="464"/>
      <c r="AR1142" s="464">
        <f t="shared" si="65"/>
        <v>1122</v>
      </c>
      <c r="AS1142" s="464" t="s">
        <v>1516</v>
      </c>
      <c r="AT1142" s="381">
        <v>7.3400000000000002E-3</v>
      </c>
      <c r="AV1142" s="464"/>
      <c r="AW1142" s="465"/>
    </row>
    <row r="1143" spans="35:49">
      <c r="AI1143" s="464">
        <f t="shared" si="64"/>
        <v>1123</v>
      </c>
      <c r="AJ1143" s="473">
        <v>44504</v>
      </c>
      <c r="AK1143" s="474">
        <v>23471.11</v>
      </c>
      <c r="AL1143" s="475">
        <v>1.5299999999999999E-2</v>
      </c>
      <c r="AM1143" s="475">
        <f t="shared" si="66"/>
        <v>1.5319481748689467E-2</v>
      </c>
      <c r="AN1143" s="464"/>
      <c r="AO1143" s="464"/>
      <c r="AR1143" s="464">
        <f t="shared" si="65"/>
        <v>1123</v>
      </c>
      <c r="AS1143" s="464" t="s">
        <v>1515</v>
      </c>
      <c r="AT1143" s="381">
        <v>7.8700000000000003E-3</v>
      </c>
      <c r="AV1143" s="464"/>
      <c r="AW1143" s="465"/>
    </row>
    <row r="1144" spans="35:49">
      <c r="AI1144" s="464">
        <f t="shared" si="64"/>
        <v>1124</v>
      </c>
      <c r="AJ1144" s="473">
        <v>44505</v>
      </c>
      <c r="AK1144" s="474">
        <v>23596.79</v>
      </c>
      <c r="AL1144" s="475">
        <v>5.4000000000000003E-3</v>
      </c>
      <c r="AM1144" s="475">
        <f t="shared" si="66"/>
        <v>5.3546679300637834E-3</v>
      </c>
      <c r="AN1144" s="464"/>
      <c r="AO1144" s="464"/>
      <c r="AR1144" s="464">
        <f t="shared" si="65"/>
        <v>1124</v>
      </c>
      <c r="AS1144" s="464" t="s">
        <v>1514</v>
      </c>
      <c r="AT1144" s="381">
        <v>8.2299999999999995E-3</v>
      </c>
      <c r="AV1144" s="464"/>
      <c r="AW1144" s="465"/>
    </row>
    <row r="1145" spans="35:49">
      <c r="AI1145" s="464">
        <f t="shared" si="64"/>
        <v>1125</v>
      </c>
      <c r="AJ1145" s="473">
        <v>44508</v>
      </c>
      <c r="AK1145" s="474">
        <v>23539.919999999998</v>
      </c>
      <c r="AL1145" s="475">
        <v>-2.3999999999999998E-3</v>
      </c>
      <c r="AM1145" s="475">
        <f t="shared" si="66"/>
        <v>-2.4100735735667067E-3</v>
      </c>
      <c r="AN1145" s="464"/>
      <c r="AO1145" s="464"/>
      <c r="AR1145" s="464">
        <f t="shared" si="65"/>
        <v>1125</v>
      </c>
      <c r="AS1145" s="464" t="s">
        <v>1513</v>
      </c>
      <c r="AT1145" s="381">
        <v>7.5700000000000003E-3</v>
      </c>
      <c r="AV1145" s="464"/>
      <c r="AW1145" s="465"/>
    </row>
    <row r="1146" spans="35:49">
      <c r="AI1146" s="464">
        <f t="shared" si="64"/>
        <v>1126</v>
      </c>
      <c r="AJ1146" s="473">
        <v>44509</v>
      </c>
      <c r="AK1146" s="474">
        <v>23367.14</v>
      </c>
      <c r="AL1146" s="475">
        <v>-7.3000000000000001E-3</v>
      </c>
      <c r="AM1146" s="475">
        <f t="shared" si="66"/>
        <v>-7.3398720131588879E-3</v>
      </c>
      <c r="AN1146" s="464"/>
      <c r="AO1146" s="464"/>
      <c r="AR1146" s="464">
        <f t="shared" si="65"/>
        <v>1126</v>
      </c>
      <c r="AS1146" s="464" t="s">
        <v>1512</v>
      </c>
      <c r="AT1146" s="381">
        <v>6.8899999999999994E-3</v>
      </c>
      <c r="AV1146" s="464"/>
      <c r="AW1146" s="465"/>
    </row>
    <row r="1147" spans="35:49">
      <c r="AI1147" s="464">
        <f t="shared" si="64"/>
        <v>1127</v>
      </c>
      <c r="AJ1147" s="473">
        <v>44510</v>
      </c>
      <c r="AK1147" s="474">
        <v>23433.25</v>
      </c>
      <c r="AL1147" s="475">
        <v>2.8E-3</v>
      </c>
      <c r="AM1147" s="475">
        <f t="shared" si="66"/>
        <v>2.8291866270326871E-3</v>
      </c>
      <c r="AN1147" s="464"/>
      <c r="AO1147" s="464"/>
      <c r="AR1147" s="464">
        <f t="shared" si="65"/>
        <v>1127</v>
      </c>
      <c r="AS1147" s="464" t="s">
        <v>1511</v>
      </c>
      <c r="AT1147" s="381">
        <v>7.8100000000000001E-3</v>
      </c>
      <c r="AV1147" s="464"/>
      <c r="AW1147" s="465"/>
    </row>
    <row r="1148" spans="35:49">
      <c r="AI1148" s="464">
        <f t="shared" si="64"/>
        <v>1128</v>
      </c>
      <c r="AJ1148" s="473">
        <v>44511</v>
      </c>
      <c r="AK1148" s="474">
        <v>23574.05</v>
      </c>
      <c r="AL1148" s="475">
        <v>6.0000000000000001E-3</v>
      </c>
      <c r="AM1148" s="475">
        <f t="shared" si="66"/>
        <v>6.0085562181941832E-3</v>
      </c>
      <c r="AN1148" s="464"/>
      <c r="AO1148" s="464"/>
      <c r="AR1148" s="464">
        <f t="shared" si="65"/>
        <v>1128</v>
      </c>
      <c r="AS1148" s="464" t="s">
        <v>1510</v>
      </c>
      <c r="AT1148" s="381">
        <v>7.3200000000000001E-3</v>
      </c>
      <c r="AV1148" s="464"/>
      <c r="AW1148" s="465"/>
    </row>
    <row r="1149" spans="35:49">
      <c r="AI1149" s="464">
        <f t="shared" si="64"/>
        <v>1129</v>
      </c>
      <c r="AJ1149" s="473">
        <v>44512</v>
      </c>
      <c r="AK1149" s="474">
        <v>23557.52</v>
      </c>
      <c r="AL1149" s="475">
        <v>-6.9999999999999999E-4</v>
      </c>
      <c r="AM1149" s="475">
        <f t="shared" si="66"/>
        <v>-7.0119474591756603E-4</v>
      </c>
      <c r="AN1149" s="464"/>
      <c r="AO1149" s="464"/>
      <c r="AR1149" s="464">
        <f t="shared" si="65"/>
        <v>1129</v>
      </c>
      <c r="AS1149" s="464" t="s">
        <v>1509</v>
      </c>
      <c r="AT1149" s="381">
        <v>7.5199999999999998E-3</v>
      </c>
      <c r="AV1149" s="464"/>
      <c r="AW1149" s="465"/>
    </row>
    <row r="1150" spans="35:49">
      <c r="AI1150" s="464">
        <f t="shared" si="64"/>
        <v>1130</v>
      </c>
      <c r="AJ1150" s="473">
        <v>44515</v>
      </c>
      <c r="AK1150" s="474">
        <v>23621.58</v>
      </c>
      <c r="AL1150" s="475">
        <v>2.7000000000000001E-3</v>
      </c>
      <c r="AM1150" s="475">
        <f t="shared" si="66"/>
        <v>2.7193015224014072E-3</v>
      </c>
      <c r="AN1150" s="464"/>
      <c r="AO1150" s="464"/>
      <c r="AR1150" s="464">
        <f t="shared" si="65"/>
        <v>1130</v>
      </c>
      <c r="AS1150" s="464" t="s">
        <v>1508</v>
      </c>
      <c r="AT1150" s="381">
        <v>7.5700000000000003E-3</v>
      </c>
      <c r="AV1150" s="464"/>
      <c r="AW1150" s="465"/>
    </row>
    <row r="1151" spans="35:49">
      <c r="AI1151" s="464">
        <f t="shared" si="64"/>
        <v>1131</v>
      </c>
      <c r="AJ1151" s="473">
        <v>44516</v>
      </c>
      <c r="AK1151" s="474">
        <v>23539.71</v>
      </c>
      <c r="AL1151" s="475">
        <v>-3.5000000000000001E-3</v>
      </c>
      <c r="AM1151" s="475">
        <f t="shared" si="66"/>
        <v>-3.4658985554735233E-3</v>
      </c>
      <c r="AN1151" s="464"/>
      <c r="AO1151" s="464"/>
      <c r="AR1151" s="464">
        <f t="shared" si="65"/>
        <v>1131</v>
      </c>
      <c r="AS1151" s="464" t="s">
        <v>1507</v>
      </c>
      <c r="AT1151" s="381">
        <v>7.5500000000000003E-3</v>
      </c>
      <c r="AV1151" s="464"/>
      <c r="AW1151" s="465"/>
    </row>
    <row r="1152" spans="35:49">
      <c r="AI1152" s="464">
        <f t="shared" si="64"/>
        <v>1132</v>
      </c>
      <c r="AJ1152" s="473">
        <v>44517</v>
      </c>
      <c r="AK1152" s="474">
        <v>23434.07</v>
      </c>
      <c r="AL1152" s="475">
        <v>-4.4999999999999997E-3</v>
      </c>
      <c r="AM1152" s="475">
        <f t="shared" si="66"/>
        <v>-4.4877358302204406E-3</v>
      </c>
      <c r="AN1152" s="464"/>
      <c r="AO1152" s="464"/>
      <c r="AR1152" s="464">
        <f t="shared" si="65"/>
        <v>1132</v>
      </c>
      <c r="AS1152" s="464" t="s">
        <v>1506</v>
      </c>
      <c r="AT1152" s="381">
        <v>7.2699999999999996E-3</v>
      </c>
      <c r="AV1152" s="464"/>
      <c r="AW1152" s="465"/>
    </row>
    <row r="1153" spans="35:49">
      <c r="AI1153" s="464">
        <f t="shared" si="64"/>
        <v>1133</v>
      </c>
      <c r="AJ1153" s="473">
        <v>44518</v>
      </c>
      <c r="AK1153" s="474">
        <v>23574.62</v>
      </c>
      <c r="AL1153" s="475">
        <v>6.0000000000000001E-3</v>
      </c>
      <c r="AM1153" s="475">
        <f t="shared" si="66"/>
        <v>5.9976777401449244E-3</v>
      </c>
      <c r="AN1153" s="464"/>
      <c r="AO1153" s="464"/>
      <c r="AR1153" s="464">
        <f t="shared" si="65"/>
        <v>1133</v>
      </c>
      <c r="AS1153" s="464" t="s">
        <v>1505</v>
      </c>
      <c r="AT1153" s="381">
        <v>7.1500000000000001E-3</v>
      </c>
      <c r="AV1153" s="464"/>
      <c r="AW1153" s="465"/>
    </row>
    <row r="1154" spans="35:49">
      <c r="AI1154" s="464">
        <f t="shared" si="64"/>
        <v>1134</v>
      </c>
      <c r="AJ1154" s="473">
        <v>44519</v>
      </c>
      <c r="AK1154" s="474">
        <v>23492.49</v>
      </c>
      <c r="AL1154" s="475">
        <v>-3.5000000000000001E-3</v>
      </c>
      <c r="AM1154" s="475">
        <f t="shared" si="66"/>
        <v>-3.4838313406535537E-3</v>
      </c>
      <c r="AN1154" s="464"/>
      <c r="AO1154" s="464"/>
      <c r="AR1154" s="464">
        <f t="shared" si="65"/>
        <v>1134</v>
      </c>
      <c r="AS1154" s="464" t="s">
        <v>1504</v>
      </c>
      <c r="AT1154" s="381">
        <v>7.3600000000000002E-3</v>
      </c>
      <c r="AV1154" s="464"/>
      <c r="AW1154" s="465"/>
    </row>
    <row r="1155" spans="35:49">
      <c r="AI1155" s="464">
        <f t="shared" si="64"/>
        <v>1135</v>
      </c>
      <c r="AJ1155" s="473">
        <v>44522</v>
      </c>
      <c r="AK1155" s="474">
        <v>23429.7</v>
      </c>
      <c r="AL1155" s="475">
        <v>-2.7000000000000001E-3</v>
      </c>
      <c r="AM1155" s="475">
        <f t="shared" si="66"/>
        <v>-2.6727690423621331E-3</v>
      </c>
      <c r="AN1155" s="464"/>
      <c r="AO1155" s="464"/>
      <c r="AR1155" s="464">
        <f t="shared" si="65"/>
        <v>1135</v>
      </c>
      <c r="AS1155" s="464" t="s">
        <v>1503</v>
      </c>
      <c r="AT1155" s="381">
        <v>8.2500000000000004E-3</v>
      </c>
      <c r="AV1155" s="464"/>
      <c r="AW1155" s="465"/>
    </row>
    <row r="1156" spans="35:49">
      <c r="AI1156" s="464">
        <f t="shared" si="64"/>
        <v>1136</v>
      </c>
      <c r="AJ1156" s="473">
        <v>44523</v>
      </c>
      <c r="AK1156" s="474">
        <v>23221.61</v>
      </c>
      <c r="AL1156" s="475">
        <v>-8.8999999999999999E-3</v>
      </c>
      <c r="AM1156" s="475">
        <f t="shared" si="66"/>
        <v>-8.8814624173592094E-3</v>
      </c>
      <c r="AN1156" s="464"/>
      <c r="AO1156" s="464"/>
      <c r="AR1156" s="464">
        <f t="shared" si="65"/>
        <v>1136</v>
      </c>
      <c r="AS1156" s="464" t="s">
        <v>1502</v>
      </c>
      <c r="AT1156" s="381">
        <v>8.2349999999999993E-3</v>
      </c>
      <c r="AV1156" s="464"/>
      <c r="AW1156" s="465"/>
    </row>
    <row r="1157" spans="35:49">
      <c r="AI1157" s="464">
        <f t="shared" si="64"/>
        <v>1137</v>
      </c>
      <c r="AJ1157" s="473">
        <v>44524</v>
      </c>
      <c r="AK1157" s="474">
        <v>23167.06</v>
      </c>
      <c r="AL1157" s="475">
        <v>-2.3E-3</v>
      </c>
      <c r="AM1157" s="475">
        <f t="shared" si="66"/>
        <v>-2.3491049931507746E-3</v>
      </c>
      <c r="AN1157" s="464"/>
      <c r="AO1157" s="464"/>
      <c r="AR1157" s="464">
        <f t="shared" si="65"/>
        <v>1137</v>
      </c>
      <c r="AS1157" s="464" t="s">
        <v>1501</v>
      </c>
      <c r="AT1157" s="381">
        <v>8.2349999999999993E-3</v>
      </c>
      <c r="AV1157" s="464"/>
      <c r="AW1157" s="465"/>
    </row>
    <row r="1158" spans="35:49">
      <c r="AI1158" s="464">
        <f t="shared" si="64"/>
        <v>1138</v>
      </c>
      <c r="AJ1158" s="473">
        <v>44525</v>
      </c>
      <c r="AK1158" s="474">
        <v>23279.96</v>
      </c>
      <c r="AL1158" s="475">
        <v>4.8999999999999998E-3</v>
      </c>
      <c r="AM1158" s="475">
        <f t="shared" si="66"/>
        <v>4.8732985540675955E-3</v>
      </c>
      <c r="AN1158" s="464"/>
      <c r="AO1158" s="464"/>
      <c r="AR1158" s="464">
        <f t="shared" si="65"/>
        <v>1138</v>
      </c>
      <c r="AS1158" s="464" t="s">
        <v>1500</v>
      </c>
      <c r="AT1158" s="381">
        <v>7.9900000000000006E-3</v>
      </c>
      <c r="AV1158" s="464"/>
      <c r="AW1158" s="465"/>
    </row>
    <row r="1159" spans="35:49">
      <c r="AI1159" s="464">
        <f t="shared" si="64"/>
        <v>1139</v>
      </c>
      <c r="AJ1159" s="473">
        <v>44526</v>
      </c>
      <c r="AK1159" s="474">
        <v>22537.89</v>
      </c>
      <c r="AL1159" s="475">
        <v>-3.1899999999999998E-2</v>
      </c>
      <c r="AM1159" s="475">
        <f t="shared" si="66"/>
        <v>-3.1875913876140638E-2</v>
      </c>
      <c r="AN1159" s="464"/>
      <c r="AO1159" s="464"/>
      <c r="AR1159" s="464">
        <f t="shared" si="65"/>
        <v>1139</v>
      </c>
      <c r="AS1159" s="464" t="s">
        <v>1499</v>
      </c>
      <c r="AT1159" s="381">
        <v>7.8399999999999997E-3</v>
      </c>
      <c r="AV1159" s="464"/>
      <c r="AW1159" s="465"/>
    </row>
    <row r="1160" spans="35:49">
      <c r="AI1160" s="464">
        <f t="shared" si="64"/>
        <v>1140</v>
      </c>
      <c r="AJ1160" s="473">
        <v>44529</v>
      </c>
      <c r="AK1160" s="474">
        <v>22756.33</v>
      </c>
      <c r="AL1160" s="475">
        <v>9.7000000000000003E-3</v>
      </c>
      <c r="AM1160" s="475">
        <f t="shared" si="66"/>
        <v>9.692122909465084E-3</v>
      </c>
      <c r="AN1160" s="464"/>
      <c r="AO1160" s="464"/>
      <c r="AR1160" s="464">
        <f t="shared" si="65"/>
        <v>1140</v>
      </c>
      <c r="AS1160" s="464" t="s">
        <v>1498</v>
      </c>
      <c r="AT1160" s="381">
        <v>8.3099999999999997E-3</v>
      </c>
      <c r="AV1160" s="464"/>
      <c r="AW1160" s="465"/>
    </row>
    <row r="1161" spans="35:49">
      <c r="AI1161" s="464">
        <f t="shared" si="64"/>
        <v>1141</v>
      </c>
      <c r="AJ1161" s="473">
        <v>44530</v>
      </c>
      <c r="AK1161" s="474">
        <v>22519.72</v>
      </c>
      <c r="AL1161" s="475">
        <v>-1.04E-2</v>
      </c>
      <c r="AM1161" s="475">
        <f t="shared" si="66"/>
        <v>-1.0397546528811974E-2</v>
      </c>
      <c r="AN1161" s="464"/>
      <c r="AO1161" s="464"/>
      <c r="AR1161" s="464">
        <f t="shared" si="65"/>
        <v>1141</v>
      </c>
      <c r="AS1161" s="464" t="s">
        <v>1497</v>
      </c>
      <c r="AT1161" s="381">
        <v>8.7500000000000008E-3</v>
      </c>
      <c r="AV1161" s="464"/>
      <c r="AW1161" s="465"/>
    </row>
    <row r="1162" spans="35:49">
      <c r="AI1162" s="464">
        <f t="shared" si="64"/>
        <v>1142</v>
      </c>
      <c r="AJ1162" s="473">
        <v>44531</v>
      </c>
      <c r="AK1162" s="474">
        <v>22912.73</v>
      </c>
      <c r="AL1162" s="475">
        <v>1.7500000000000002E-2</v>
      </c>
      <c r="AM1162" s="475">
        <f t="shared" si="66"/>
        <v>1.7451815564314188E-2</v>
      </c>
      <c r="AN1162" s="464"/>
      <c r="AO1162" s="464"/>
      <c r="AR1162" s="464">
        <f t="shared" si="65"/>
        <v>1142</v>
      </c>
      <c r="AS1162" s="464" t="s">
        <v>1496</v>
      </c>
      <c r="AT1162" s="381">
        <v>8.4399999999999996E-3</v>
      </c>
      <c r="AV1162" s="464"/>
      <c r="AW1162" s="465"/>
    </row>
    <row r="1163" spans="35:49">
      <c r="AI1163" s="464">
        <f t="shared" si="64"/>
        <v>1143</v>
      </c>
      <c r="AJ1163" s="473">
        <v>44532</v>
      </c>
      <c r="AK1163" s="474">
        <v>22684.84</v>
      </c>
      <c r="AL1163" s="475">
        <v>-9.9000000000000008E-3</v>
      </c>
      <c r="AM1163" s="475">
        <f t="shared" si="66"/>
        <v>-9.9459994509601968E-3</v>
      </c>
      <c r="AN1163" s="464"/>
      <c r="AO1163" s="464"/>
      <c r="AR1163" s="464">
        <f t="shared" si="65"/>
        <v>1143</v>
      </c>
      <c r="AS1163" s="464" t="s">
        <v>1495</v>
      </c>
      <c r="AT1163" s="381">
        <v>8.3800000000000003E-3</v>
      </c>
      <c r="AV1163" s="464"/>
      <c r="AW1163" s="465"/>
    </row>
    <row r="1164" spans="35:49">
      <c r="AI1164" s="464">
        <f t="shared" si="64"/>
        <v>1144</v>
      </c>
      <c r="AJ1164" s="473">
        <v>44533</v>
      </c>
      <c r="AK1164" s="474">
        <v>22646.080000000002</v>
      </c>
      <c r="AL1164" s="475">
        <v>-1.6999999999999999E-3</v>
      </c>
      <c r="AM1164" s="475">
        <f t="shared" si="66"/>
        <v>-1.7086300807057642E-3</v>
      </c>
      <c r="AN1164" s="464"/>
      <c r="AO1164" s="464"/>
      <c r="AR1164" s="464">
        <f t="shared" si="65"/>
        <v>1144</v>
      </c>
      <c r="AS1164" s="464" t="s">
        <v>1494</v>
      </c>
      <c r="AT1164" s="381">
        <v>8.1700000000000002E-3</v>
      </c>
      <c r="AV1164" s="464"/>
      <c r="AW1164" s="465"/>
    </row>
    <row r="1165" spans="35:49">
      <c r="AI1165" s="464">
        <f t="shared" si="64"/>
        <v>1145</v>
      </c>
      <c r="AJ1165" s="473">
        <v>44536</v>
      </c>
      <c r="AK1165" s="474">
        <v>22881.33</v>
      </c>
      <c r="AL1165" s="475">
        <v>1.04E-2</v>
      </c>
      <c r="AM1165" s="475">
        <f t="shared" si="66"/>
        <v>1.0388111319928228E-2</v>
      </c>
      <c r="AN1165" s="464"/>
      <c r="AO1165" s="464"/>
      <c r="AR1165" s="464">
        <f t="shared" si="65"/>
        <v>1145</v>
      </c>
      <c r="AS1165" s="464" t="s">
        <v>1493</v>
      </c>
      <c r="AT1165" s="381">
        <v>7.6300000000000005E-3</v>
      </c>
      <c r="AV1165" s="464"/>
      <c r="AW1165" s="465"/>
    </row>
    <row r="1166" spans="35:49">
      <c r="AI1166" s="464">
        <f t="shared" si="64"/>
        <v>1146</v>
      </c>
      <c r="AJ1166" s="473">
        <v>44537</v>
      </c>
      <c r="AK1166" s="474">
        <v>23238.17</v>
      </c>
      <c r="AL1166" s="475">
        <v>1.5599999999999999E-2</v>
      </c>
      <c r="AM1166" s="475">
        <f t="shared" si="66"/>
        <v>1.5595247304243109E-2</v>
      </c>
      <c r="AN1166" s="464"/>
      <c r="AO1166" s="464"/>
      <c r="AR1166" s="464">
        <f t="shared" si="65"/>
        <v>1146</v>
      </c>
      <c r="AS1166" s="464" t="s">
        <v>1492</v>
      </c>
      <c r="AT1166" s="381">
        <v>7.5799999999999999E-3</v>
      </c>
      <c r="AV1166" s="464"/>
      <c r="AW1166" s="465"/>
    </row>
    <row r="1167" spans="35:49">
      <c r="AI1167" s="464">
        <f t="shared" si="64"/>
        <v>1147</v>
      </c>
      <c r="AJ1167" s="473">
        <v>44538</v>
      </c>
      <c r="AK1167" s="474">
        <v>23230.43</v>
      </c>
      <c r="AL1167" s="475">
        <v>-2.9999999999999997E-4</v>
      </c>
      <c r="AM1167" s="475">
        <f t="shared" si="66"/>
        <v>-3.3307269892590696E-4</v>
      </c>
      <c r="AN1167" s="464"/>
      <c r="AO1167" s="464"/>
      <c r="AR1167" s="464">
        <f t="shared" si="65"/>
        <v>1147</v>
      </c>
      <c r="AS1167" s="464" t="s">
        <v>1491</v>
      </c>
      <c r="AT1167" s="381">
        <v>7.3400000000000002E-3</v>
      </c>
      <c r="AV1167" s="464"/>
      <c r="AW1167" s="465"/>
    </row>
    <row r="1168" spans="35:49">
      <c r="AI1168" s="464">
        <f t="shared" si="64"/>
        <v>1148</v>
      </c>
      <c r="AJ1168" s="473">
        <v>44539</v>
      </c>
      <c r="AK1168" s="474">
        <v>23148.04</v>
      </c>
      <c r="AL1168" s="475">
        <v>-3.5000000000000001E-3</v>
      </c>
      <c r="AM1168" s="475">
        <f t="shared" si="66"/>
        <v>-3.5466411943300136E-3</v>
      </c>
      <c r="AN1168" s="464"/>
      <c r="AO1168" s="464"/>
      <c r="AR1168" s="464">
        <f t="shared" si="65"/>
        <v>1148</v>
      </c>
      <c r="AS1168" s="464" t="s">
        <v>1490</v>
      </c>
      <c r="AT1168" s="381">
        <v>7.5700000000000003E-3</v>
      </c>
      <c r="AV1168" s="464"/>
      <c r="AW1168" s="465"/>
    </row>
    <row r="1169" spans="35:49">
      <c r="AI1169" s="464">
        <f t="shared" si="64"/>
        <v>1149</v>
      </c>
      <c r="AJ1169" s="473">
        <v>44540</v>
      </c>
      <c r="AK1169" s="474">
        <v>22927.71</v>
      </c>
      <c r="AL1169" s="475">
        <v>-9.4999999999999998E-3</v>
      </c>
      <c r="AM1169" s="475">
        <f t="shared" si="66"/>
        <v>-9.518300469499863E-3</v>
      </c>
      <c r="AN1169" s="464"/>
      <c r="AO1169" s="464"/>
      <c r="AR1169" s="464">
        <f t="shared" si="65"/>
        <v>1149</v>
      </c>
      <c r="AS1169" s="464" t="s">
        <v>1489</v>
      </c>
      <c r="AT1169" s="381">
        <v>7.5599999999999999E-3</v>
      </c>
      <c r="AV1169" s="464"/>
      <c r="AW1169" s="465"/>
    </row>
    <row r="1170" spans="35:49">
      <c r="AI1170" s="464">
        <f t="shared" si="64"/>
        <v>1150</v>
      </c>
      <c r="AJ1170" s="473">
        <v>44543</v>
      </c>
      <c r="AK1170" s="474">
        <v>22647.22</v>
      </c>
      <c r="AL1170" s="475">
        <v>-1.2200000000000001E-2</v>
      </c>
      <c r="AM1170" s="475">
        <f t="shared" si="66"/>
        <v>-1.2233668342804371E-2</v>
      </c>
      <c r="AN1170" s="464"/>
      <c r="AO1170" s="464"/>
      <c r="AR1170" s="464">
        <f t="shared" si="65"/>
        <v>1150</v>
      </c>
      <c r="AS1170" s="464" t="s">
        <v>1488</v>
      </c>
      <c r="AT1170" s="381">
        <v>7.8900000000000012E-3</v>
      </c>
      <c r="AV1170" s="464"/>
      <c r="AW1170" s="465"/>
    </row>
    <row r="1171" spans="35:49">
      <c r="AI1171" s="464">
        <f t="shared" si="64"/>
        <v>1151</v>
      </c>
      <c r="AJ1171" s="473">
        <v>44544</v>
      </c>
      <c r="AK1171" s="474">
        <v>22550.69</v>
      </c>
      <c r="AL1171" s="475">
        <v>-4.3E-3</v>
      </c>
      <c r="AM1171" s="475">
        <f t="shared" si="66"/>
        <v>-4.2623333018357856E-3</v>
      </c>
      <c r="AN1171" s="464"/>
      <c r="AO1171" s="464"/>
      <c r="AR1171" s="464">
        <f t="shared" si="65"/>
        <v>1151</v>
      </c>
      <c r="AS1171" s="464" t="s">
        <v>1487</v>
      </c>
      <c r="AT1171" s="381">
        <v>8.26E-3</v>
      </c>
      <c r="AV1171" s="464"/>
      <c r="AW1171" s="465"/>
    </row>
    <row r="1172" spans="35:49">
      <c r="AI1172" s="464">
        <f t="shared" si="64"/>
        <v>1152</v>
      </c>
      <c r="AJ1172" s="473">
        <v>44545</v>
      </c>
      <c r="AK1172" s="474">
        <v>22433.88</v>
      </c>
      <c r="AL1172" s="475">
        <v>-5.1999999999999998E-3</v>
      </c>
      <c r="AM1172" s="475">
        <f t="shared" si="66"/>
        <v>-5.1798858482821064E-3</v>
      </c>
      <c r="AN1172" s="464"/>
      <c r="AO1172" s="464"/>
      <c r="AR1172" s="464">
        <f t="shared" si="65"/>
        <v>1152</v>
      </c>
      <c r="AS1172" s="464" t="s">
        <v>1486</v>
      </c>
      <c r="AT1172" s="381">
        <v>8.4600000000000005E-3</v>
      </c>
      <c r="AV1172" s="464"/>
      <c r="AW1172" s="465"/>
    </row>
    <row r="1173" spans="35:49">
      <c r="AI1173" s="464">
        <f t="shared" ref="AI1173:AI1236" si="67">AI1172+1</f>
        <v>1153</v>
      </c>
      <c r="AJ1173" s="473">
        <v>44546</v>
      </c>
      <c r="AK1173" s="474">
        <v>22647.96</v>
      </c>
      <c r="AL1173" s="475">
        <v>9.4999999999999998E-3</v>
      </c>
      <c r="AM1173" s="475">
        <f t="shared" si="66"/>
        <v>9.542709509010372E-3</v>
      </c>
      <c r="AN1173" s="464"/>
      <c r="AO1173" s="464"/>
      <c r="AR1173" s="464">
        <f t="shared" ref="AR1173:AR1236" si="68">AR1172+1</f>
        <v>1153</v>
      </c>
      <c r="AS1173" s="464" t="s">
        <v>1485</v>
      </c>
      <c r="AT1173" s="381">
        <v>7.980000000000001E-3</v>
      </c>
      <c r="AV1173" s="464"/>
      <c r="AW1173" s="465"/>
    </row>
    <row r="1174" spans="35:49">
      <c r="AI1174" s="464">
        <f t="shared" si="67"/>
        <v>1154</v>
      </c>
      <c r="AJ1174" s="473">
        <v>44547</v>
      </c>
      <c r="AK1174" s="474">
        <v>22780.38</v>
      </c>
      <c r="AL1174" s="475">
        <v>5.7999999999999996E-3</v>
      </c>
      <c r="AM1174" s="475">
        <f t="shared" ref="AM1174:AM1237" si="69">AK1174/AK1173-1</f>
        <v>5.8468842226850892E-3</v>
      </c>
      <c r="AN1174" s="464"/>
      <c r="AO1174" s="464"/>
      <c r="AR1174" s="464">
        <f t="shared" si="68"/>
        <v>1154</v>
      </c>
      <c r="AS1174" s="464" t="s">
        <v>1484</v>
      </c>
      <c r="AT1174" s="381">
        <v>7.980000000000001E-3</v>
      </c>
      <c r="AV1174" s="464"/>
      <c r="AW1174" s="465"/>
    </row>
    <row r="1175" spans="35:49">
      <c r="AI1175" s="464">
        <f t="shared" si="67"/>
        <v>1155</v>
      </c>
      <c r="AJ1175" s="473">
        <v>44550</v>
      </c>
      <c r="AK1175" s="474">
        <v>22549.88</v>
      </c>
      <c r="AL1175" s="475">
        <v>-1.01E-2</v>
      </c>
      <c r="AM1175" s="475">
        <f t="shared" si="69"/>
        <v>-1.011835623461943E-2</v>
      </c>
      <c r="AN1175" s="464"/>
      <c r="AO1175" s="464"/>
      <c r="AR1175" s="464">
        <f t="shared" si="68"/>
        <v>1155</v>
      </c>
      <c r="AS1175" s="464" t="s">
        <v>1483</v>
      </c>
      <c r="AT1175" s="381">
        <v>7.980000000000001E-3</v>
      </c>
      <c r="AV1175" s="464"/>
      <c r="AW1175" s="465"/>
    </row>
    <row r="1176" spans="35:49">
      <c r="AI1176" s="464">
        <f t="shared" si="67"/>
        <v>1156</v>
      </c>
      <c r="AJ1176" s="473">
        <v>44551</v>
      </c>
      <c r="AK1176" s="474">
        <v>22820.3</v>
      </c>
      <c r="AL1176" s="475">
        <v>1.2E-2</v>
      </c>
      <c r="AM1176" s="475">
        <f t="shared" si="69"/>
        <v>1.1992081554314193E-2</v>
      </c>
      <c r="AN1176" s="464"/>
      <c r="AO1176" s="464"/>
      <c r="AR1176" s="464">
        <f t="shared" si="68"/>
        <v>1156</v>
      </c>
      <c r="AS1176" s="464" t="s">
        <v>1482</v>
      </c>
      <c r="AT1176" s="381">
        <v>7.7499999999999999E-3</v>
      </c>
      <c r="AV1176" s="464"/>
      <c r="AW1176" s="465"/>
    </row>
    <row r="1177" spans="35:49">
      <c r="AI1177" s="464">
        <f t="shared" si="67"/>
        <v>1157</v>
      </c>
      <c r="AJ1177" s="473">
        <v>44552</v>
      </c>
      <c r="AK1177" s="474">
        <v>23080.79</v>
      </c>
      <c r="AL1177" s="475">
        <v>1.14E-2</v>
      </c>
      <c r="AM1177" s="475">
        <f t="shared" si="69"/>
        <v>1.1414836790051064E-2</v>
      </c>
      <c r="AN1177" s="464"/>
      <c r="AO1177" s="464"/>
      <c r="AR1177" s="464">
        <f t="shared" si="68"/>
        <v>1157</v>
      </c>
      <c r="AS1177" s="464" t="s">
        <v>1481</v>
      </c>
      <c r="AT1177" s="381">
        <v>7.4999999999999997E-3</v>
      </c>
      <c r="AV1177" s="464"/>
      <c r="AW1177" s="465"/>
    </row>
    <row r="1178" spans="35:49">
      <c r="AI1178" s="464">
        <f t="shared" si="67"/>
        <v>1158</v>
      </c>
      <c r="AJ1178" s="473">
        <v>44553</v>
      </c>
      <c r="AK1178" s="474">
        <v>23266.75</v>
      </c>
      <c r="AL1178" s="475">
        <v>8.0999999999999996E-3</v>
      </c>
      <c r="AM1178" s="475">
        <f t="shared" si="69"/>
        <v>8.056916596008934E-3</v>
      </c>
      <c r="AN1178" s="464"/>
      <c r="AO1178" s="464"/>
      <c r="AR1178" s="464">
        <f t="shared" si="68"/>
        <v>1158</v>
      </c>
      <c r="AS1178" s="464" t="s">
        <v>1480</v>
      </c>
      <c r="AT1178" s="381">
        <v>7.77E-3</v>
      </c>
      <c r="AV1178" s="464"/>
      <c r="AW1178" s="465"/>
    </row>
    <row r="1179" spans="35:49">
      <c r="AI1179" s="464">
        <f t="shared" si="67"/>
        <v>1159</v>
      </c>
      <c r="AJ1179" s="473">
        <v>44554</v>
      </c>
      <c r="AK1179" s="474">
        <v>23270.43</v>
      </c>
      <c r="AL1179" s="475">
        <v>2.0000000000000001E-4</v>
      </c>
      <c r="AM1179" s="475">
        <f t="shared" si="69"/>
        <v>1.5816562261594669E-4</v>
      </c>
      <c r="AN1179" s="464"/>
      <c r="AO1179" s="464"/>
      <c r="AR1179" s="464">
        <f t="shared" si="68"/>
        <v>1159</v>
      </c>
      <c r="AS1179" s="464" t="s">
        <v>1479</v>
      </c>
      <c r="AT1179" s="381">
        <v>7.7600000000000004E-3</v>
      </c>
      <c r="AV1179" s="464"/>
      <c r="AW1179" s="465"/>
    </row>
    <row r="1180" spans="35:49">
      <c r="AI1180" s="464">
        <f t="shared" si="67"/>
        <v>1160</v>
      </c>
      <c r="AJ1180" s="473">
        <v>44559</v>
      </c>
      <c r="AK1180" s="474">
        <v>23517.27</v>
      </c>
      <c r="AL1180" s="475">
        <v>1.06E-2</v>
      </c>
      <c r="AM1180" s="475">
        <f t="shared" si="69"/>
        <v>1.0607453321661797E-2</v>
      </c>
      <c r="AN1180" s="464"/>
      <c r="AO1180" s="464"/>
      <c r="AR1180" s="464">
        <f t="shared" si="68"/>
        <v>1160</v>
      </c>
      <c r="AS1180" s="464" t="s">
        <v>1478</v>
      </c>
      <c r="AT1180" s="381">
        <v>7.8900000000000012E-3</v>
      </c>
      <c r="AV1180" s="464"/>
      <c r="AW1180" s="465"/>
    </row>
    <row r="1181" spans="35:49">
      <c r="AI1181" s="464">
        <f t="shared" si="67"/>
        <v>1161</v>
      </c>
      <c r="AJ1181" s="473">
        <v>44560</v>
      </c>
      <c r="AK1181" s="474">
        <v>23539.55</v>
      </c>
      <c r="AL1181" s="475">
        <v>8.9999999999999998E-4</v>
      </c>
      <c r="AM1181" s="475">
        <f t="shared" si="69"/>
        <v>9.4738887634493452E-4</v>
      </c>
      <c r="AN1181" s="464"/>
      <c r="AO1181" s="464"/>
      <c r="AR1181" s="464">
        <f t="shared" si="68"/>
        <v>1161</v>
      </c>
      <c r="AS1181" s="464" t="s">
        <v>1477</v>
      </c>
      <c r="AT1181" s="381">
        <v>7.8000000000000005E-3</v>
      </c>
      <c r="AV1181" s="464"/>
      <c r="AW1181" s="465"/>
    </row>
    <row r="1182" spans="35:49">
      <c r="AI1182" s="464">
        <f t="shared" si="67"/>
        <v>1162</v>
      </c>
      <c r="AJ1182" s="473">
        <v>44561</v>
      </c>
      <c r="AK1182" s="474">
        <v>23480.81</v>
      </c>
      <c r="AL1182" s="475">
        <v>-2.5000000000000001E-3</v>
      </c>
      <c r="AM1182" s="475">
        <f t="shared" si="69"/>
        <v>-2.4953748053806457E-3</v>
      </c>
      <c r="AN1182" s="464"/>
      <c r="AO1182" s="464"/>
      <c r="AR1182" s="464">
        <f t="shared" si="68"/>
        <v>1162</v>
      </c>
      <c r="AS1182" s="464" t="s">
        <v>1476</v>
      </c>
      <c r="AT1182" s="381">
        <v>8.0600000000000012E-3</v>
      </c>
      <c r="AV1182" s="464"/>
      <c r="AW1182" s="465"/>
    </row>
    <row r="1183" spans="35:49">
      <c r="AI1183" s="464">
        <f t="shared" si="67"/>
        <v>1163</v>
      </c>
      <c r="AJ1183" s="473">
        <v>44565</v>
      </c>
      <c r="AK1183" s="474">
        <v>23896.65</v>
      </c>
      <c r="AL1183" s="475">
        <v>1.77E-2</v>
      </c>
      <c r="AM1183" s="475">
        <f t="shared" si="69"/>
        <v>1.7709780880642567E-2</v>
      </c>
      <c r="AN1183" s="464"/>
      <c r="AO1183" s="464"/>
      <c r="AR1183" s="464">
        <f t="shared" si="68"/>
        <v>1163</v>
      </c>
      <c r="AS1183" s="464" t="s">
        <v>1475</v>
      </c>
      <c r="AT1183" s="381">
        <v>7.3800000000000003E-3</v>
      </c>
      <c r="AV1183" s="464"/>
      <c r="AW1183" s="465"/>
    </row>
    <row r="1184" spans="35:49">
      <c r="AI1184" s="464">
        <f t="shared" si="67"/>
        <v>1164</v>
      </c>
      <c r="AJ1184" s="473">
        <v>44566</v>
      </c>
      <c r="AK1184" s="474">
        <v>23771.18</v>
      </c>
      <c r="AL1184" s="475">
        <v>-5.3E-3</v>
      </c>
      <c r="AM1184" s="475">
        <f t="shared" si="69"/>
        <v>-5.250526747473061E-3</v>
      </c>
      <c r="AN1184" s="464"/>
      <c r="AO1184" s="464"/>
      <c r="AR1184" s="464">
        <f t="shared" si="68"/>
        <v>1164</v>
      </c>
      <c r="AS1184" s="464" t="s">
        <v>1474</v>
      </c>
      <c r="AT1184" s="381">
        <v>7.6600000000000001E-3</v>
      </c>
      <c r="AV1184" s="464"/>
      <c r="AW1184" s="465"/>
    </row>
    <row r="1185" spans="35:49">
      <c r="AI1185" s="464">
        <f t="shared" si="67"/>
        <v>1165</v>
      </c>
      <c r="AJ1185" s="473">
        <v>44567</v>
      </c>
      <c r="AK1185" s="474">
        <v>23416.92</v>
      </c>
      <c r="AL1185" s="475">
        <v>-1.49E-2</v>
      </c>
      <c r="AM1185" s="475">
        <f t="shared" si="69"/>
        <v>-1.4902920258901831E-2</v>
      </c>
      <c r="AN1185" s="464"/>
      <c r="AO1185" s="464"/>
      <c r="AR1185" s="464">
        <f t="shared" si="68"/>
        <v>1165</v>
      </c>
      <c r="AS1185" s="464" t="s">
        <v>1473</v>
      </c>
      <c r="AT1185" s="381">
        <v>7.6449999999999999E-3</v>
      </c>
      <c r="AV1185" s="464"/>
      <c r="AW1185" s="465"/>
    </row>
    <row r="1186" spans="35:49">
      <c r="AI1186" s="464">
        <f t="shared" si="67"/>
        <v>1166</v>
      </c>
      <c r="AJ1186" s="473">
        <v>44568</v>
      </c>
      <c r="AK1186" s="474">
        <v>23353.25</v>
      </c>
      <c r="AL1186" s="475">
        <v>-2.7000000000000001E-3</v>
      </c>
      <c r="AM1186" s="475">
        <f t="shared" si="69"/>
        <v>-2.7189741434825443E-3</v>
      </c>
      <c r="AN1186" s="464"/>
      <c r="AO1186" s="464"/>
      <c r="AR1186" s="464">
        <f t="shared" si="68"/>
        <v>1166</v>
      </c>
      <c r="AS1186" s="464" t="s">
        <v>1472</v>
      </c>
      <c r="AT1186" s="381">
        <v>7.5599999999999999E-3</v>
      </c>
      <c r="AV1186" s="464"/>
      <c r="AW1186" s="465"/>
    </row>
    <row r="1187" spans="35:49">
      <c r="AI1187" s="464">
        <f t="shared" si="67"/>
        <v>1167</v>
      </c>
      <c r="AJ1187" s="473">
        <v>44571</v>
      </c>
      <c r="AK1187" s="474">
        <v>23001.81</v>
      </c>
      <c r="AL1187" s="475">
        <v>-1.4999999999999999E-2</v>
      </c>
      <c r="AM1187" s="475">
        <f t="shared" si="69"/>
        <v>-1.5048869001102583E-2</v>
      </c>
      <c r="AN1187" s="464"/>
      <c r="AO1187" s="464"/>
      <c r="AR1187" s="464">
        <f t="shared" si="68"/>
        <v>1167</v>
      </c>
      <c r="AS1187" s="464" t="s">
        <v>1471</v>
      </c>
      <c r="AT1187" s="381">
        <v>7.3200000000000001E-3</v>
      </c>
      <c r="AV1187" s="464"/>
      <c r="AW1187" s="465"/>
    </row>
    <row r="1188" spans="35:49">
      <c r="AI1188" s="464">
        <f t="shared" si="67"/>
        <v>1168</v>
      </c>
      <c r="AJ1188" s="473">
        <v>44572</v>
      </c>
      <c r="AK1188" s="474">
        <v>23028.18</v>
      </c>
      <c r="AL1188" s="475">
        <v>1.1000000000000001E-3</v>
      </c>
      <c r="AM1188" s="475">
        <f t="shared" si="69"/>
        <v>1.1464315199543051E-3</v>
      </c>
      <c r="AN1188" s="464"/>
      <c r="AO1188" s="464"/>
      <c r="AR1188" s="464">
        <f t="shared" si="68"/>
        <v>1168</v>
      </c>
      <c r="AS1188" s="464" t="s">
        <v>1470</v>
      </c>
      <c r="AT1188" s="381">
        <v>7.4099999999999999E-3</v>
      </c>
      <c r="AV1188" s="464"/>
      <c r="AW1188" s="465"/>
    </row>
    <row r="1189" spans="35:49">
      <c r="AI1189" s="464">
        <f t="shared" si="67"/>
        <v>1169</v>
      </c>
      <c r="AJ1189" s="473">
        <v>44573</v>
      </c>
      <c r="AK1189" s="474">
        <v>23047.16</v>
      </c>
      <c r="AL1189" s="475">
        <v>8.0000000000000004E-4</v>
      </c>
      <c r="AM1189" s="475">
        <f t="shared" si="69"/>
        <v>8.2420755787038225E-4</v>
      </c>
      <c r="AN1189" s="464"/>
      <c r="AO1189" s="464"/>
      <c r="AR1189" s="464">
        <f t="shared" si="68"/>
        <v>1169</v>
      </c>
      <c r="AS1189" s="464" t="s">
        <v>1469</v>
      </c>
      <c r="AT1189" s="381">
        <v>7.4099999999999999E-3</v>
      </c>
      <c r="AV1189" s="464"/>
      <c r="AW1189" s="465"/>
    </row>
    <row r="1190" spans="35:49">
      <c r="AI1190" s="464">
        <f t="shared" si="67"/>
        <v>1170</v>
      </c>
      <c r="AJ1190" s="473">
        <v>44574</v>
      </c>
      <c r="AK1190" s="474">
        <v>22958.48</v>
      </c>
      <c r="AL1190" s="475">
        <v>-3.8E-3</v>
      </c>
      <c r="AM1190" s="475">
        <f t="shared" si="69"/>
        <v>-3.8477625876680577E-3</v>
      </c>
      <c r="AN1190" s="464"/>
      <c r="AO1190" s="464"/>
      <c r="AR1190" s="464">
        <f t="shared" si="68"/>
        <v>1170</v>
      </c>
      <c r="AS1190" s="464" t="s">
        <v>1468</v>
      </c>
      <c r="AT1190" s="381">
        <v>7.45E-3</v>
      </c>
      <c r="AV1190" s="464"/>
      <c r="AW1190" s="465"/>
    </row>
    <row r="1191" spans="35:49">
      <c r="AI1191" s="464">
        <f t="shared" si="67"/>
        <v>1171</v>
      </c>
      <c r="AJ1191" s="473">
        <v>44575</v>
      </c>
      <c r="AK1191" s="474">
        <v>22743.35</v>
      </c>
      <c r="AL1191" s="475">
        <v>-9.4000000000000004E-3</v>
      </c>
      <c r="AM1191" s="475">
        <f t="shared" si="69"/>
        <v>-9.3703938588269864E-3</v>
      </c>
      <c r="AN1191" s="464"/>
      <c r="AO1191" s="464"/>
      <c r="AR1191" s="464">
        <f t="shared" si="68"/>
        <v>1171</v>
      </c>
      <c r="AS1191" s="464" t="s">
        <v>1467</v>
      </c>
      <c r="AT1191" s="381">
        <v>7.5799999999999999E-3</v>
      </c>
      <c r="AV1191" s="464"/>
      <c r="AW1191" s="465"/>
    </row>
    <row r="1192" spans="35:49">
      <c r="AI1192" s="464">
        <f t="shared" si="67"/>
        <v>1172</v>
      </c>
      <c r="AJ1192" s="473">
        <v>44578</v>
      </c>
      <c r="AK1192" s="474">
        <v>22871.64</v>
      </c>
      <c r="AL1192" s="475">
        <v>5.5999999999999999E-3</v>
      </c>
      <c r="AM1192" s="475">
        <f t="shared" si="69"/>
        <v>5.6407697195004491E-3</v>
      </c>
      <c r="AN1192" s="464"/>
      <c r="AO1192" s="464"/>
      <c r="AR1192" s="464">
        <f t="shared" si="68"/>
        <v>1172</v>
      </c>
      <c r="AS1192" s="464" t="s">
        <v>1466</v>
      </c>
      <c r="AT1192" s="381">
        <v>7.7600000000000004E-3</v>
      </c>
      <c r="AV1192" s="464"/>
      <c r="AW1192" s="465"/>
    </row>
    <row r="1193" spans="35:49">
      <c r="AI1193" s="464">
        <f t="shared" si="67"/>
        <v>1173</v>
      </c>
      <c r="AJ1193" s="473">
        <v>44579</v>
      </c>
      <c r="AK1193" s="474">
        <v>22652.71</v>
      </c>
      <c r="AL1193" s="475">
        <v>-9.5999999999999992E-3</v>
      </c>
      <c r="AM1193" s="475">
        <f t="shared" si="69"/>
        <v>-9.5721163851827384E-3</v>
      </c>
      <c r="AN1193" s="464"/>
      <c r="AO1193" s="464"/>
      <c r="AR1193" s="464">
        <f t="shared" si="68"/>
        <v>1173</v>
      </c>
      <c r="AS1193" s="464" t="s">
        <v>1465</v>
      </c>
      <c r="AT1193" s="381">
        <v>7.9900000000000006E-3</v>
      </c>
      <c r="AV1193" s="464"/>
      <c r="AW1193" s="465"/>
    </row>
    <row r="1194" spans="35:49">
      <c r="AI1194" s="464">
        <f t="shared" si="67"/>
        <v>1174</v>
      </c>
      <c r="AJ1194" s="473">
        <v>44580</v>
      </c>
      <c r="AK1194" s="474">
        <v>22655.02</v>
      </c>
      <c r="AL1194" s="475">
        <v>1E-4</v>
      </c>
      <c r="AM1194" s="475">
        <f t="shared" si="69"/>
        <v>1.0197455403804234E-4</v>
      </c>
      <c r="AN1194" s="464"/>
      <c r="AO1194" s="464"/>
      <c r="AR1194" s="464">
        <f t="shared" si="68"/>
        <v>1174</v>
      </c>
      <c r="AS1194" s="464" t="s">
        <v>1464</v>
      </c>
      <c r="AT1194" s="381">
        <v>8.4399999999999996E-3</v>
      </c>
      <c r="AV1194" s="464"/>
      <c r="AW1194" s="465"/>
    </row>
    <row r="1195" spans="35:49">
      <c r="AI1195" s="464">
        <f t="shared" si="67"/>
        <v>1175</v>
      </c>
      <c r="AJ1195" s="473">
        <v>44581</v>
      </c>
      <c r="AK1195" s="474">
        <v>22714.98</v>
      </c>
      <c r="AL1195" s="475">
        <v>2.5999999999999999E-3</v>
      </c>
      <c r="AM1195" s="475">
        <f t="shared" si="69"/>
        <v>2.6466540307621411E-3</v>
      </c>
      <c r="AN1195" s="464"/>
      <c r="AO1195" s="464"/>
      <c r="AR1195" s="464">
        <f t="shared" si="68"/>
        <v>1175</v>
      </c>
      <c r="AS1195" s="464" t="s">
        <v>1463</v>
      </c>
      <c r="AT1195" s="381">
        <v>8.43E-3</v>
      </c>
      <c r="AV1195" s="464"/>
      <c r="AW1195" s="465"/>
    </row>
    <row r="1196" spans="35:49">
      <c r="AI1196" s="464">
        <f t="shared" si="67"/>
        <v>1176</v>
      </c>
      <c r="AJ1196" s="473">
        <v>44582</v>
      </c>
      <c r="AK1196" s="474">
        <v>22263.24</v>
      </c>
      <c r="AL1196" s="475">
        <v>-1.9900000000000001E-2</v>
      </c>
      <c r="AM1196" s="475">
        <f t="shared" si="69"/>
        <v>-1.9887316651830522E-2</v>
      </c>
      <c r="AN1196" s="464"/>
      <c r="AO1196" s="464"/>
      <c r="AR1196" s="464">
        <f t="shared" si="68"/>
        <v>1176</v>
      </c>
      <c r="AS1196" s="464" t="s">
        <v>1462</v>
      </c>
      <c r="AT1196" s="381">
        <v>8.3999999999999995E-3</v>
      </c>
      <c r="AV1196" s="464"/>
      <c r="AW1196" s="465"/>
    </row>
    <row r="1197" spans="35:49">
      <c r="AI1197" s="464">
        <f t="shared" si="67"/>
        <v>1177</v>
      </c>
      <c r="AJ1197" s="473">
        <v>44585</v>
      </c>
      <c r="AK1197" s="474">
        <v>21452.5</v>
      </c>
      <c r="AL1197" s="475">
        <v>-3.6400000000000002E-2</v>
      </c>
      <c r="AM1197" s="475">
        <f t="shared" si="69"/>
        <v>-3.6416083193641202E-2</v>
      </c>
      <c r="AN1197" s="464"/>
      <c r="AO1197" s="464"/>
      <c r="AR1197" s="464">
        <f t="shared" si="68"/>
        <v>1177</v>
      </c>
      <c r="AS1197" s="464" t="s">
        <v>1461</v>
      </c>
      <c r="AT1197" s="381">
        <v>8.4150000000000006E-3</v>
      </c>
      <c r="AV1197" s="464"/>
      <c r="AW1197" s="465"/>
    </row>
    <row r="1198" spans="35:49">
      <c r="AI1198" s="464">
        <f t="shared" si="67"/>
        <v>1178</v>
      </c>
      <c r="AJ1198" s="473">
        <v>44586</v>
      </c>
      <c r="AK1198" s="474">
        <v>21645.71</v>
      </c>
      <c r="AL1198" s="475">
        <v>8.9999999999999993E-3</v>
      </c>
      <c r="AM1198" s="475">
        <f t="shared" si="69"/>
        <v>9.0064095093811414E-3</v>
      </c>
      <c r="AN1198" s="464"/>
      <c r="AO1198" s="464"/>
      <c r="AR1198" s="464">
        <f t="shared" si="68"/>
        <v>1178</v>
      </c>
      <c r="AS1198" s="464" t="s">
        <v>1460</v>
      </c>
      <c r="AT1198" s="381">
        <v>8.4099999999999991E-3</v>
      </c>
      <c r="AV1198" s="464"/>
      <c r="AW1198" s="465"/>
    </row>
    <row r="1199" spans="35:49">
      <c r="AI1199" s="464">
        <f t="shared" si="67"/>
        <v>1179</v>
      </c>
      <c r="AJ1199" s="473">
        <v>44587</v>
      </c>
      <c r="AK1199" s="474">
        <v>21873.08</v>
      </c>
      <c r="AL1199" s="475">
        <v>1.0500000000000001E-2</v>
      </c>
      <c r="AM1199" s="475">
        <f t="shared" si="69"/>
        <v>1.0504159946705505E-2</v>
      </c>
      <c r="AN1199" s="464"/>
      <c r="AO1199" s="464"/>
      <c r="AR1199" s="464">
        <f t="shared" si="68"/>
        <v>1179</v>
      </c>
      <c r="AS1199" s="464" t="s">
        <v>1459</v>
      </c>
      <c r="AT1199" s="381">
        <v>7.9500000000000005E-3</v>
      </c>
      <c r="AV1199" s="464"/>
      <c r="AW1199" s="465"/>
    </row>
    <row r="1200" spans="35:49">
      <c r="AI1200" s="464">
        <f t="shared" si="67"/>
        <v>1180</v>
      </c>
      <c r="AJ1200" s="473">
        <v>44588</v>
      </c>
      <c r="AK1200" s="474">
        <v>21854.57</v>
      </c>
      <c r="AL1200" s="475">
        <v>-8.0000000000000004E-4</v>
      </c>
      <c r="AM1200" s="475">
        <f t="shared" si="69"/>
        <v>-8.4624570476599104E-4</v>
      </c>
      <c r="AN1200" s="464"/>
      <c r="AO1200" s="464"/>
      <c r="AR1200" s="464">
        <f t="shared" si="68"/>
        <v>1180</v>
      </c>
      <c r="AS1200" s="464" t="s">
        <v>1458</v>
      </c>
      <c r="AT1200" s="381">
        <v>8.1899999999999994E-3</v>
      </c>
      <c r="AV1200" s="464"/>
      <c r="AW1200" s="465"/>
    </row>
    <row r="1201" spans="35:49">
      <c r="AI1201" s="464">
        <f t="shared" si="67"/>
        <v>1181</v>
      </c>
      <c r="AJ1201" s="473">
        <v>44589</v>
      </c>
      <c r="AK1201" s="474">
        <v>21643.3</v>
      </c>
      <c r="AL1201" s="475">
        <v>-9.7000000000000003E-3</v>
      </c>
      <c r="AM1201" s="475">
        <f t="shared" si="69"/>
        <v>-9.6670856484478707E-3</v>
      </c>
      <c r="AN1201" s="464"/>
      <c r="AO1201" s="464"/>
      <c r="AR1201" s="464">
        <f t="shared" si="68"/>
        <v>1181</v>
      </c>
      <c r="AS1201" s="464" t="s">
        <v>1457</v>
      </c>
      <c r="AT1201" s="381">
        <v>7.9500000000000005E-3</v>
      </c>
      <c r="AV1201" s="464"/>
      <c r="AW1201" s="465"/>
    </row>
    <row r="1202" spans="35:49">
      <c r="AI1202" s="464">
        <f t="shared" si="67"/>
        <v>1182</v>
      </c>
      <c r="AJ1202" s="473">
        <v>44592</v>
      </c>
      <c r="AK1202" s="474">
        <v>21926.62</v>
      </c>
      <c r="AL1202" s="475">
        <v>1.3100000000000001E-2</v>
      </c>
      <c r="AM1202" s="475">
        <f t="shared" si="69"/>
        <v>1.3090425212421319E-2</v>
      </c>
      <c r="AN1202" s="464"/>
      <c r="AO1202" s="464"/>
      <c r="AR1202" s="464">
        <f t="shared" si="68"/>
        <v>1182</v>
      </c>
      <c r="AS1202" s="464" t="s">
        <v>1456</v>
      </c>
      <c r="AT1202" s="381">
        <v>7.7600000000000004E-3</v>
      </c>
      <c r="AV1202" s="464"/>
      <c r="AW1202" s="465"/>
    </row>
    <row r="1203" spans="35:49">
      <c r="AI1203" s="464">
        <f t="shared" si="67"/>
        <v>1183</v>
      </c>
      <c r="AJ1203" s="473">
        <v>44593</v>
      </c>
      <c r="AK1203" s="474">
        <v>22167.94</v>
      </c>
      <c r="AL1203" s="475">
        <v>1.0999999999999999E-2</v>
      </c>
      <c r="AM1203" s="475">
        <f t="shared" si="69"/>
        <v>1.1005800255579734E-2</v>
      </c>
      <c r="AN1203" s="464"/>
      <c r="AO1203" s="464"/>
      <c r="AR1203" s="464">
        <f t="shared" si="68"/>
        <v>1183</v>
      </c>
      <c r="AS1203" s="464" t="s">
        <v>1455</v>
      </c>
      <c r="AT1203" s="381">
        <v>7.7149999999999996E-3</v>
      </c>
      <c r="AV1203" s="464"/>
      <c r="AW1203" s="465"/>
    </row>
    <row r="1204" spans="35:49">
      <c r="AI1204" s="464">
        <f t="shared" si="67"/>
        <v>1184</v>
      </c>
      <c r="AJ1204" s="473">
        <v>44594</v>
      </c>
      <c r="AK1204" s="474">
        <v>22249.4</v>
      </c>
      <c r="AL1204" s="475">
        <v>3.7000000000000002E-3</v>
      </c>
      <c r="AM1204" s="475">
        <f t="shared" si="69"/>
        <v>3.6746761313861676E-3</v>
      </c>
      <c r="AN1204" s="464"/>
      <c r="AO1204" s="464"/>
      <c r="AR1204" s="464">
        <f t="shared" si="68"/>
        <v>1184</v>
      </c>
      <c r="AS1204" s="464" t="s">
        <v>1454</v>
      </c>
      <c r="AT1204" s="381">
        <v>7.6699999999999997E-3</v>
      </c>
      <c r="AV1204" s="464"/>
      <c r="AW1204" s="465"/>
    </row>
    <row r="1205" spans="35:49">
      <c r="AI1205" s="464">
        <f t="shared" si="67"/>
        <v>1185</v>
      </c>
      <c r="AJ1205" s="473">
        <v>44595</v>
      </c>
      <c r="AK1205" s="474">
        <v>21967.78</v>
      </c>
      <c r="AL1205" s="475">
        <v>-1.2699999999999999E-2</v>
      </c>
      <c r="AM1205" s="475">
        <f t="shared" si="69"/>
        <v>-1.2657419975370288E-2</v>
      </c>
      <c r="AN1205" s="464"/>
      <c r="AO1205" s="464"/>
      <c r="AR1205" s="464">
        <f t="shared" si="68"/>
        <v>1185</v>
      </c>
      <c r="AS1205" s="464" t="s">
        <v>1453</v>
      </c>
      <c r="AT1205" s="381">
        <v>7.9000000000000008E-3</v>
      </c>
      <c r="AV1205" s="464"/>
      <c r="AW1205" s="465"/>
    </row>
    <row r="1206" spans="35:49">
      <c r="AI1206" s="464">
        <f t="shared" si="67"/>
        <v>1186</v>
      </c>
      <c r="AJ1206" s="473">
        <v>44596</v>
      </c>
      <c r="AK1206" s="474">
        <v>21712.04</v>
      </c>
      <c r="AL1206" s="475">
        <v>-1.1599999999999999E-2</v>
      </c>
      <c r="AM1206" s="475">
        <f t="shared" si="69"/>
        <v>-1.1641595099732283E-2</v>
      </c>
      <c r="AN1206" s="464"/>
      <c r="AO1206" s="464"/>
      <c r="AR1206" s="464">
        <f t="shared" si="68"/>
        <v>1186</v>
      </c>
      <c r="AS1206" s="464" t="s">
        <v>1452</v>
      </c>
      <c r="AT1206" s="381">
        <v>8.3400000000000002E-3</v>
      </c>
      <c r="AV1206" s="464"/>
      <c r="AW1206" s="465"/>
    </row>
    <row r="1207" spans="35:49">
      <c r="AI1207" s="464">
        <f t="shared" si="67"/>
        <v>1187</v>
      </c>
      <c r="AJ1207" s="473">
        <v>44599</v>
      </c>
      <c r="AK1207" s="474">
        <v>21797.29</v>
      </c>
      <c r="AL1207" s="475">
        <v>3.8999999999999998E-3</v>
      </c>
      <c r="AM1207" s="475">
        <f t="shared" si="69"/>
        <v>3.9263929137933751E-3</v>
      </c>
      <c r="AN1207" s="464"/>
      <c r="AO1207" s="464"/>
      <c r="AR1207" s="464">
        <f t="shared" si="68"/>
        <v>1187</v>
      </c>
      <c r="AS1207" s="464" t="s">
        <v>1451</v>
      </c>
      <c r="AT1207" s="381">
        <v>8.8900000000000003E-3</v>
      </c>
      <c r="AV1207" s="464"/>
      <c r="AW1207" s="465"/>
    </row>
    <row r="1208" spans="35:49">
      <c r="AI1208" s="464">
        <f t="shared" si="67"/>
        <v>1188</v>
      </c>
      <c r="AJ1208" s="473">
        <v>44600</v>
      </c>
      <c r="AK1208" s="474">
        <v>21787.46</v>
      </c>
      <c r="AL1208" s="475">
        <v>-5.0000000000000001E-4</v>
      </c>
      <c r="AM1208" s="475">
        <f t="shared" si="69"/>
        <v>-4.5097349257650077E-4</v>
      </c>
      <c r="AN1208" s="464"/>
      <c r="AO1208" s="464"/>
      <c r="AR1208" s="464">
        <f t="shared" si="68"/>
        <v>1188</v>
      </c>
      <c r="AS1208" s="464" t="s">
        <v>1450</v>
      </c>
      <c r="AT1208" s="381">
        <v>8.9899999999999997E-3</v>
      </c>
      <c r="AV1208" s="464"/>
      <c r="AW1208" s="465"/>
    </row>
    <row r="1209" spans="35:49">
      <c r="AI1209" s="464">
        <f t="shared" si="67"/>
        <v>1189</v>
      </c>
      <c r="AJ1209" s="473">
        <v>44601</v>
      </c>
      <c r="AK1209" s="474">
        <v>22184.01</v>
      </c>
      <c r="AL1209" s="475">
        <v>1.8200000000000001E-2</v>
      </c>
      <c r="AM1209" s="475">
        <f t="shared" si="69"/>
        <v>1.820083662804195E-2</v>
      </c>
      <c r="AN1209" s="464"/>
      <c r="AO1209" s="464"/>
      <c r="AR1209" s="464">
        <f t="shared" si="68"/>
        <v>1189</v>
      </c>
      <c r="AS1209" s="464" t="s">
        <v>1449</v>
      </c>
      <c r="AT1209" s="381">
        <v>8.5799999999999991E-3</v>
      </c>
      <c r="AV1209" s="464"/>
      <c r="AW1209" s="465"/>
    </row>
    <row r="1210" spans="35:49">
      <c r="AI1210" s="464">
        <f t="shared" si="67"/>
        <v>1190</v>
      </c>
      <c r="AJ1210" s="473">
        <v>44602</v>
      </c>
      <c r="AK1210" s="474">
        <v>22207.75</v>
      </c>
      <c r="AL1210" s="475">
        <v>1.1000000000000001E-3</v>
      </c>
      <c r="AM1210" s="475">
        <f t="shared" si="69"/>
        <v>1.0701401595114568E-3</v>
      </c>
      <c r="AN1210" s="464"/>
      <c r="AO1210" s="464"/>
      <c r="AR1210" s="464">
        <f t="shared" si="68"/>
        <v>1190</v>
      </c>
      <c r="AS1210" s="464" t="s">
        <v>1448</v>
      </c>
      <c r="AT1210" s="381">
        <v>8.6049999999999998E-3</v>
      </c>
      <c r="AV1210" s="464"/>
      <c r="AW1210" s="465"/>
    </row>
    <row r="1211" spans="35:49">
      <c r="AI1211" s="464">
        <f t="shared" si="67"/>
        <v>1191</v>
      </c>
      <c r="AJ1211" s="473">
        <v>44603</v>
      </c>
      <c r="AK1211" s="474">
        <v>22048.71</v>
      </c>
      <c r="AL1211" s="475">
        <v>-7.1999999999999998E-3</v>
      </c>
      <c r="AM1211" s="475">
        <f t="shared" si="69"/>
        <v>-7.1614639033671379E-3</v>
      </c>
      <c r="AN1211" s="464"/>
      <c r="AO1211" s="464"/>
      <c r="AR1211" s="464">
        <f t="shared" si="68"/>
        <v>1191</v>
      </c>
      <c r="AS1211" s="464" t="s">
        <v>1447</v>
      </c>
      <c r="AT1211" s="381">
        <v>8.6550000000000012E-3</v>
      </c>
      <c r="AV1211" s="464"/>
      <c r="AW1211" s="465"/>
    </row>
    <row r="1212" spans="35:49">
      <c r="AI1212" s="464">
        <f t="shared" si="67"/>
        <v>1192</v>
      </c>
      <c r="AJ1212" s="473">
        <v>44606</v>
      </c>
      <c r="AK1212" s="474">
        <v>21617.89</v>
      </c>
      <c r="AL1212" s="475">
        <v>-1.95E-2</v>
      </c>
      <c r="AM1212" s="475">
        <f t="shared" si="69"/>
        <v>-1.9539465120635202E-2</v>
      </c>
      <c r="AN1212" s="464"/>
      <c r="AO1212" s="464"/>
      <c r="AR1212" s="464">
        <f t="shared" si="68"/>
        <v>1192</v>
      </c>
      <c r="AS1212" s="464" t="s">
        <v>1446</v>
      </c>
      <c r="AT1212" s="381">
        <v>8.6599999999999993E-3</v>
      </c>
      <c r="AV1212" s="464"/>
      <c r="AW1212" s="465"/>
    </row>
    <row r="1213" spans="35:49">
      <c r="AI1213" s="464">
        <f t="shared" si="67"/>
        <v>1193</v>
      </c>
      <c r="AJ1213" s="473">
        <v>44607</v>
      </c>
      <c r="AK1213" s="474">
        <v>21852.51</v>
      </c>
      <c r="AL1213" s="475">
        <v>1.09E-2</v>
      </c>
      <c r="AM1213" s="475">
        <f t="shared" si="69"/>
        <v>1.0853048100438967E-2</v>
      </c>
      <c r="AN1213" s="464"/>
      <c r="AO1213" s="464"/>
      <c r="AR1213" s="464">
        <f t="shared" si="68"/>
        <v>1193</v>
      </c>
      <c r="AS1213" s="464" t="s">
        <v>1445</v>
      </c>
      <c r="AT1213" s="381">
        <v>8.6800000000000002E-3</v>
      </c>
      <c r="AV1213" s="464"/>
      <c r="AW1213" s="465"/>
    </row>
    <row r="1214" spans="35:49">
      <c r="AI1214" s="464">
        <f t="shared" si="67"/>
        <v>1194</v>
      </c>
      <c r="AJ1214" s="473">
        <v>44608</v>
      </c>
      <c r="AK1214" s="474">
        <v>21828.94</v>
      </c>
      <c r="AL1214" s="475">
        <v>-1.1000000000000001E-3</v>
      </c>
      <c r="AM1214" s="475">
        <f t="shared" si="69"/>
        <v>-1.0785946328362161E-3</v>
      </c>
      <c r="AN1214" s="464"/>
      <c r="AO1214" s="464"/>
      <c r="AR1214" s="464">
        <f t="shared" si="68"/>
        <v>1194</v>
      </c>
      <c r="AS1214" s="464" t="s">
        <v>1444</v>
      </c>
      <c r="AT1214" s="381">
        <v>8.4899999999999993E-3</v>
      </c>
      <c r="AV1214" s="464"/>
      <c r="AW1214" s="465"/>
    </row>
    <row r="1215" spans="35:49">
      <c r="AI1215" s="464">
        <f t="shared" si="67"/>
        <v>1195</v>
      </c>
      <c r="AJ1215" s="473">
        <v>44609</v>
      </c>
      <c r="AK1215" s="474">
        <v>21557.59</v>
      </c>
      <c r="AL1215" s="475">
        <v>-1.24E-2</v>
      </c>
      <c r="AM1215" s="475">
        <f t="shared" si="69"/>
        <v>-1.2430745606520466E-2</v>
      </c>
      <c r="AN1215" s="464"/>
      <c r="AO1215" s="464"/>
      <c r="AR1215" s="464">
        <f t="shared" si="68"/>
        <v>1195</v>
      </c>
      <c r="AS1215" s="464" t="s">
        <v>1443</v>
      </c>
      <c r="AT1215" s="381">
        <v>8.3899999999999999E-3</v>
      </c>
      <c r="AV1215" s="464"/>
      <c r="AW1215" s="465"/>
    </row>
    <row r="1216" spans="35:49">
      <c r="AI1216" s="464">
        <f t="shared" si="67"/>
        <v>1196</v>
      </c>
      <c r="AJ1216" s="473">
        <v>44610</v>
      </c>
      <c r="AK1216" s="474">
        <v>21362.6</v>
      </c>
      <c r="AL1216" s="475">
        <v>-8.9999999999999993E-3</v>
      </c>
      <c r="AM1216" s="475">
        <f t="shared" si="69"/>
        <v>-9.0450741478987906E-3</v>
      </c>
      <c r="AN1216" s="464"/>
      <c r="AO1216" s="464"/>
      <c r="AR1216" s="464">
        <f t="shared" si="68"/>
        <v>1196</v>
      </c>
      <c r="AS1216" s="464" t="s">
        <v>1442</v>
      </c>
      <c r="AT1216" s="381">
        <v>8.3199999999999993E-3</v>
      </c>
      <c r="AV1216" s="464"/>
      <c r="AW1216" s="465"/>
    </row>
    <row r="1217" spans="35:49">
      <c r="AI1217" s="464">
        <f t="shared" si="67"/>
        <v>1197</v>
      </c>
      <c r="AJ1217" s="473">
        <v>44613</v>
      </c>
      <c r="AK1217" s="474">
        <v>21097.19</v>
      </c>
      <c r="AL1217" s="475">
        <v>-1.24E-2</v>
      </c>
      <c r="AM1217" s="475">
        <f t="shared" si="69"/>
        <v>-1.2424049507082424E-2</v>
      </c>
      <c r="AN1217" s="464"/>
      <c r="AO1217" s="464"/>
      <c r="AR1217" s="464">
        <f t="shared" si="68"/>
        <v>1197</v>
      </c>
      <c r="AS1217" s="464" t="s">
        <v>1441</v>
      </c>
      <c r="AT1217" s="381">
        <v>8.2799999999999992E-3</v>
      </c>
      <c r="AV1217" s="464"/>
      <c r="AW1217" s="465"/>
    </row>
    <row r="1218" spans="35:49">
      <c r="AI1218" s="464">
        <f t="shared" si="67"/>
        <v>1198</v>
      </c>
      <c r="AJ1218" s="473">
        <v>44614</v>
      </c>
      <c r="AK1218" s="474">
        <v>20993.33</v>
      </c>
      <c r="AL1218" s="475">
        <v>-4.8999999999999998E-3</v>
      </c>
      <c r="AM1218" s="475">
        <f t="shared" si="69"/>
        <v>-4.9229304945349606E-3</v>
      </c>
      <c r="AN1218" s="464"/>
      <c r="AO1218" s="464"/>
      <c r="AR1218" s="464">
        <f t="shared" si="68"/>
        <v>1198</v>
      </c>
      <c r="AS1218" s="464" t="s">
        <v>1440</v>
      </c>
      <c r="AT1218" s="381">
        <v>8.3149999999999995E-3</v>
      </c>
      <c r="AV1218" s="464"/>
      <c r="AW1218" s="465"/>
    </row>
    <row r="1219" spans="35:49">
      <c r="AI1219" s="464">
        <f t="shared" si="67"/>
        <v>1199</v>
      </c>
      <c r="AJ1219" s="473">
        <v>44615</v>
      </c>
      <c r="AK1219" s="474">
        <v>20841.52</v>
      </c>
      <c r="AL1219" s="475">
        <v>-7.1999999999999998E-3</v>
      </c>
      <c r="AM1219" s="475">
        <f t="shared" si="69"/>
        <v>-7.2313444317790854E-3</v>
      </c>
      <c r="AN1219" s="464"/>
      <c r="AO1219" s="464"/>
      <c r="AR1219" s="464">
        <f t="shared" si="68"/>
        <v>1199</v>
      </c>
      <c r="AS1219" s="464" t="s">
        <v>1439</v>
      </c>
      <c r="AT1219" s="381">
        <v>8.1200000000000005E-3</v>
      </c>
      <c r="AV1219" s="464"/>
      <c r="AW1219" s="465"/>
    </row>
    <row r="1220" spans="35:49">
      <c r="AI1220" s="464">
        <f t="shared" si="67"/>
        <v>1200</v>
      </c>
      <c r="AJ1220" s="473">
        <v>44616</v>
      </c>
      <c r="AK1220" s="474">
        <v>20251.88</v>
      </c>
      <c r="AL1220" s="475">
        <v>-2.8299999999999999E-2</v>
      </c>
      <c r="AM1220" s="475">
        <f t="shared" si="69"/>
        <v>-2.829160253186902E-2</v>
      </c>
      <c r="AN1220" s="464"/>
      <c r="AO1220" s="464"/>
      <c r="AR1220" s="464">
        <f t="shared" si="68"/>
        <v>1200</v>
      </c>
      <c r="AS1220" s="464" t="s">
        <v>1438</v>
      </c>
      <c r="AT1220" s="381">
        <v>7.9000000000000008E-3</v>
      </c>
      <c r="AV1220" s="464"/>
      <c r="AW1220" s="465"/>
    </row>
    <row r="1221" spans="35:49">
      <c r="AI1221" s="464">
        <f t="shared" si="67"/>
        <v>1201</v>
      </c>
      <c r="AJ1221" s="473">
        <v>44617</v>
      </c>
      <c r="AK1221" s="474">
        <v>20906.75</v>
      </c>
      <c r="AL1221" s="475">
        <v>3.2300000000000002E-2</v>
      </c>
      <c r="AM1221" s="475">
        <f t="shared" si="69"/>
        <v>3.2336257177111305E-2</v>
      </c>
      <c r="AN1221" s="464"/>
      <c r="AO1221" s="464"/>
      <c r="AR1221" s="464">
        <f t="shared" si="68"/>
        <v>1201</v>
      </c>
      <c r="AS1221" s="464" t="s">
        <v>1437</v>
      </c>
      <c r="AT1221" s="381">
        <v>7.5399999999999998E-3</v>
      </c>
      <c r="AV1221" s="464"/>
      <c r="AW1221" s="465"/>
    </row>
    <row r="1222" spans="35:49">
      <c r="AI1222" s="464">
        <f t="shared" si="67"/>
        <v>1202</v>
      </c>
      <c r="AJ1222" s="473">
        <v>44620</v>
      </c>
      <c r="AK1222" s="474">
        <v>21081.05</v>
      </c>
      <c r="AL1222" s="475">
        <v>8.3000000000000001E-3</v>
      </c>
      <c r="AM1222" s="475">
        <f t="shared" si="69"/>
        <v>8.3370203403205778E-3</v>
      </c>
      <c r="AN1222" s="464"/>
      <c r="AO1222" s="464"/>
      <c r="AR1222" s="464">
        <f t="shared" si="68"/>
        <v>1202</v>
      </c>
      <c r="AS1222" s="464" t="s">
        <v>1436</v>
      </c>
      <c r="AT1222" s="381">
        <v>8.1399999999999997E-3</v>
      </c>
      <c r="AV1222" s="464"/>
      <c r="AW1222" s="465"/>
    </row>
    <row r="1223" spans="35:49">
      <c r="AI1223" s="464">
        <f t="shared" si="67"/>
        <v>1203</v>
      </c>
      <c r="AJ1223" s="473">
        <v>44621</v>
      </c>
      <c r="AK1223" s="474">
        <v>20500.64</v>
      </c>
      <c r="AL1223" s="475">
        <v>-2.75E-2</v>
      </c>
      <c r="AM1223" s="475">
        <f t="shared" si="69"/>
        <v>-2.7532309823277257E-2</v>
      </c>
      <c r="AN1223" s="464"/>
      <c r="AO1223" s="464"/>
      <c r="AR1223" s="464">
        <f t="shared" si="68"/>
        <v>1203</v>
      </c>
      <c r="AS1223" s="464" t="s">
        <v>1435</v>
      </c>
      <c r="AT1223" s="381">
        <v>7.9600000000000001E-3</v>
      </c>
      <c r="AV1223" s="464"/>
      <c r="AW1223" s="465"/>
    </row>
    <row r="1224" spans="35:49">
      <c r="AI1224" s="464">
        <f t="shared" si="67"/>
        <v>1204</v>
      </c>
      <c r="AJ1224" s="473">
        <v>44622</v>
      </c>
      <c r="AK1224" s="474">
        <v>20775.82</v>
      </c>
      <c r="AL1224" s="475">
        <v>1.34E-2</v>
      </c>
      <c r="AM1224" s="475">
        <f t="shared" si="69"/>
        <v>1.3422995574772223E-2</v>
      </c>
      <c r="AN1224" s="464"/>
      <c r="AO1224" s="464"/>
      <c r="AR1224" s="464">
        <f t="shared" si="68"/>
        <v>1204</v>
      </c>
      <c r="AS1224" s="464" t="s">
        <v>1434</v>
      </c>
      <c r="AT1224" s="381">
        <v>8.0350000000000005E-3</v>
      </c>
      <c r="AV1224" s="464"/>
      <c r="AW1224" s="465"/>
    </row>
    <row r="1225" spans="35:49">
      <c r="AI1225" s="464">
        <f t="shared" si="67"/>
        <v>1205</v>
      </c>
      <c r="AJ1225" s="473">
        <v>44623</v>
      </c>
      <c r="AK1225" s="474">
        <v>20079.7</v>
      </c>
      <c r="AL1225" s="475">
        <v>-3.3500000000000002E-2</v>
      </c>
      <c r="AM1225" s="475">
        <f t="shared" si="69"/>
        <v>-3.350625871806745E-2</v>
      </c>
      <c r="AN1225" s="464"/>
      <c r="AO1225" s="464"/>
      <c r="AR1225" s="464">
        <f t="shared" si="68"/>
        <v>1205</v>
      </c>
      <c r="AS1225" s="464" t="s">
        <v>1433</v>
      </c>
      <c r="AT1225" s="381">
        <v>7.984999999999999E-3</v>
      </c>
      <c r="AV1225" s="464"/>
      <c r="AW1225" s="465"/>
    </row>
    <row r="1226" spans="35:49">
      <c r="AI1226" s="464">
        <f t="shared" si="67"/>
        <v>1206</v>
      </c>
      <c r="AJ1226" s="473">
        <v>44624</v>
      </c>
      <c r="AK1226" s="474">
        <v>19387.68</v>
      </c>
      <c r="AL1226" s="475">
        <v>-3.4500000000000003E-2</v>
      </c>
      <c r="AM1226" s="475">
        <f t="shared" si="69"/>
        <v>-3.446366230571174E-2</v>
      </c>
      <c r="AN1226" s="464"/>
      <c r="AO1226" s="464"/>
      <c r="AR1226" s="464">
        <f t="shared" si="68"/>
        <v>1206</v>
      </c>
      <c r="AS1226" s="464" t="s">
        <v>1432</v>
      </c>
      <c r="AT1226" s="381">
        <v>7.984999999999999E-3</v>
      </c>
      <c r="AV1226" s="464"/>
      <c r="AW1226" s="465"/>
    </row>
    <row r="1227" spans="35:49">
      <c r="AI1227" s="464">
        <f t="shared" si="67"/>
        <v>1207</v>
      </c>
      <c r="AJ1227" s="473">
        <v>44627</v>
      </c>
      <c r="AK1227" s="474">
        <v>19169.78</v>
      </c>
      <c r="AL1227" s="475">
        <v>-1.12E-2</v>
      </c>
      <c r="AM1227" s="475">
        <f t="shared" si="69"/>
        <v>-1.1239096168288443E-2</v>
      </c>
      <c r="AN1227" s="464"/>
      <c r="AO1227" s="464"/>
      <c r="AR1227" s="464">
        <f t="shared" si="68"/>
        <v>1207</v>
      </c>
      <c r="AS1227" s="464" t="s">
        <v>1431</v>
      </c>
      <c r="AT1227" s="381">
        <v>8.2799999999999992E-3</v>
      </c>
      <c r="AV1227" s="464"/>
      <c r="AW1227" s="465"/>
    </row>
    <row r="1228" spans="35:49">
      <c r="AI1228" s="464">
        <f t="shared" si="67"/>
        <v>1208</v>
      </c>
      <c r="AJ1228" s="473">
        <v>44628</v>
      </c>
      <c r="AK1228" s="474">
        <v>19217.62</v>
      </c>
      <c r="AL1228" s="475">
        <v>2.5000000000000001E-3</v>
      </c>
      <c r="AM1228" s="475">
        <f t="shared" si="69"/>
        <v>2.4955946286289166E-3</v>
      </c>
      <c r="AN1228" s="464"/>
      <c r="AO1228" s="464"/>
      <c r="AR1228" s="464">
        <f t="shared" si="68"/>
        <v>1208</v>
      </c>
      <c r="AS1228" s="464" t="s">
        <v>1430</v>
      </c>
      <c r="AT1228" s="381">
        <v>8.0099999999999998E-3</v>
      </c>
      <c r="AV1228" s="464"/>
      <c r="AW1228" s="465"/>
    </row>
    <row r="1229" spans="35:49">
      <c r="AI1229" s="464">
        <f t="shared" si="67"/>
        <v>1209</v>
      </c>
      <c r="AJ1229" s="473">
        <v>44629</v>
      </c>
      <c r="AK1229" s="474">
        <v>20069.2</v>
      </c>
      <c r="AL1229" s="475">
        <v>4.4299999999999999E-2</v>
      </c>
      <c r="AM1229" s="475">
        <f t="shared" si="69"/>
        <v>4.4312459087025413E-2</v>
      </c>
      <c r="AN1229" s="464"/>
      <c r="AO1229" s="464"/>
      <c r="AR1229" s="464">
        <f t="shared" si="68"/>
        <v>1209</v>
      </c>
      <c r="AS1229" s="464" t="s">
        <v>1429</v>
      </c>
      <c r="AT1229" s="381">
        <v>8.4200000000000004E-3</v>
      </c>
      <c r="AV1229" s="464"/>
      <c r="AW1229" s="465"/>
    </row>
    <row r="1230" spans="35:49">
      <c r="AI1230" s="464">
        <f t="shared" si="67"/>
        <v>1210</v>
      </c>
      <c r="AJ1230" s="473">
        <v>44630</v>
      </c>
      <c r="AK1230" s="474">
        <v>19955.55</v>
      </c>
      <c r="AL1230" s="475">
        <v>-5.7000000000000002E-3</v>
      </c>
      <c r="AM1230" s="475">
        <f t="shared" si="69"/>
        <v>-5.6629063440496452E-3</v>
      </c>
      <c r="AN1230" s="464"/>
      <c r="AO1230" s="464"/>
      <c r="AR1230" s="464">
        <f t="shared" si="68"/>
        <v>1210</v>
      </c>
      <c r="AS1230" s="464" t="s">
        <v>1428</v>
      </c>
      <c r="AT1230" s="381">
        <v>7.9299999999999995E-3</v>
      </c>
      <c r="AV1230" s="464"/>
      <c r="AW1230" s="465"/>
    </row>
    <row r="1231" spans="35:49">
      <c r="AI1231" s="464">
        <f t="shared" si="67"/>
        <v>1211</v>
      </c>
      <c r="AJ1231" s="473">
        <v>44631</v>
      </c>
      <c r="AK1231" s="474">
        <v>20206.61</v>
      </c>
      <c r="AL1231" s="475">
        <v>1.26E-2</v>
      </c>
      <c r="AM1231" s="475">
        <f t="shared" si="69"/>
        <v>1.2580961186236417E-2</v>
      </c>
      <c r="AN1231" s="464"/>
      <c r="AO1231" s="464"/>
      <c r="AR1231" s="464">
        <f t="shared" si="68"/>
        <v>1211</v>
      </c>
      <c r="AS1231" s="464" t="s">
        <v>1427</v>
      </c>
      <c r="AT1231" s="381">
        <v>7.8799999999999999E-3</v>
      </c>
      <c r="AV1231" s="464"/>
      <c r="AW1231" s="465"/>
    </row>
    <row r="1232" spans="35:49">
      <c r="AI1232" s="464">
        <f t="shared" si="67"/>
        <v>1212</v>
      </c>
      <c r="AJ1232" s="473">
        <v>44634</v>
      </c>
      <c r="AK1232" s="474">
        <v>20471.25</v>
      </c>
      <c r="AL1232" s="475">
        <v>1.3100000000000001E-2</v>
      </c>
      <c r="AM1232" s="475">
        <f t="shared" si="69"/>
        <v>1.3096704494222511E-2</v>
      </c>
      <c r="AN1232" s="464"/>
      <c r="AO1232" s="464"/>
      <c r="AR1232" s="464">
        <f t="shared" si="68"/>
        <v>1212</v>
      </c>
      <c r="AS1232" s="464" t="s">
        <v>1426</v>
      </c>
      <c r="AT1232" s="381">
        <v>7.9150000000000002E-3</v>
      </c>
      <c r="AV1232" s="464"/>
      <c r="AW1232" s="465"/>
    </row>
    <row r="1233" spans="35:49">
      <c r="AI1233" s="464">
        <f t="shared" si="67"/>
        <v>1213</v>
      </c>
      <c r="AJ1233" s="473">
        <v>44635</v>
      </c>
      <c r="AK1233" s="474">
        <v>20257.66</v>
      </c>
      <c r="AL1233" s="475">
        <v>-1.04E-2</v>
      </c>
      <c r="AM1233" s="475">
        <f t="shared" si="69"/>
        <v>-1.0433656957928861E-2</v>
      </c>
      <c r="AN1233" s="464"/>
      <c r="AO1233" s="464"/>
      <c r="AR1233" s="464">
        <f t="shared" si="68"/>
        <v>1213</v>
      </c>
      <c r="AS1233" s="464" t="s">
        <v>1425</v>
      </c>
      <c r="AT1233" s="381">
        <v>8.1000000000000013E-3</v>
      </c>
      <c r="AV1233" s="464"/>
      <c r="AW1233" s="465"/>
    </row>
    <row r="1234" spans="35:49">
      <c r="AI1234" s="464">
        <f t="shared" si="67"/>
        <v>1214</v>
      </c>
      <c r="AJ1234" s="473">
        <v>44636</v>
      </c>
      <c r="AK1234" s="474">
        <v>20905.54</v>
      </c>
      <c r="AL1234" s="475">
        <v>3.2000000000000001E-2</v>
      </c>
      <c r="AM1234" s="475">
        <f t="shared" si="69"/>
        <v>3.198197620060772E-2</v>
      </c>
      <c r="AN1234" s="464"/>
      <c r="AO1234" s="464"/>
      <c r="AR1234" s="464">
        <f t="shared" si="68"/>
        <v>1214</v>
      </c>
      <c r="AS1234" s="464" t="s">
        <v>1424</v>
      </c>
      <c r="AT1234" s="381">
        <v>7.7299999999999999E-3</v>
      </c>
      <c r="AV1234" s="464"/>
      <c r="AW1234" s="465"/>
    </row>
    <row r="1235" spans="35:49">
      <c r="AI1235" s="464">
        <f t="shared" si="67"/>
        <v>1215</v>
      </c>
      <c r="AJ1235" s="473">
        <v>44637</v>
      </c>
      <c r="AK1235" s="474">
        <v>20975.69</v>
      </c>
      <c r="AL1235" s="475">
        <v>3.3999999999999998E-3</v>
      </c>
      <c r="AM1235" s="475">
        <f t="shared" si="69"/>
        <v>3.3555698632992126E-3</v>
      </c>
      <c r="AN1235" s="464"/>
      <c r="AO1235" s="464"/>
      <c r="AR1235" s="464">
        <f t="shared" si="68"/>
        <v>1215</v>
      </c>
      <c r="AS1235" s="464" t="s">
        <v>1423</v>
      </c>
      <c r="AT1235" s="381">
        <v>7.3400000000000002E-3</v>
      </c>
      <c r="AV1235" s="464"/>
      <c r="AW1235" s="465"/>
    </row>
    <row r="1236" spans="35:49">
      <c r="AI1236" s="464">
        <f t="shared" si="67"/>
        <v>1216</v>
      </c>
      <c r="AJ1236" s="473">
        <v>44638</v>
      </c>
      <c r="AK1236" s="474">
        <v>21156.62</v>
      </c>
      <c r="AL1236" s="475">
        <v>8.6E-3</v>
      </c>
      <c r="AM1236" s="475">
        <f t="shared" si="69"/>
        <v>8.6256995598237296E-3</v>
      </c>
      <c r="AN1236" s="464"/>
      <c r="AO1236" s="464"/>
      <c r="AR1236" s="464">
        <f t="shared" si="68"/>
        <v>1216</v>
      </c>
      <c r="AS1236" s="464" t="s">
        <v>1422</v>
      </c>
      <c r="AT1236" s="381">
        <v>7.4799999999999997E-3</v>
      </c>
      <c r="AV1236" s="464"/>
      <c r="AW1236" s="465"/>
    </row>
    <row r="1237" spans="35:49">
      <c r="AI1237" s="464">
        <f t="shared" ref="AI1237:AI1285" si="70">AI1236+1</f>
        <v>1217</v>
      </c>
      <c r="AJ1237" s="473">
        <v>44641</v>
      </c>
      <c r="AK1237" s="474">
        <v>21006.560000000001</v>
      </c>
      <c r="AL1237" s="475">
        <v>-7.1000000000000004E-3</v>
      </c>
      <c r="AM1237" s="475">
        <f t="shared" si="69"/>
        <v>-7.0928153930068794E-3</v>
      </c>
      <c r="AN1237" s="464"/>
      <c r="AO1237" s="464"/>
      <c r="AR1237" s="464">
        <f t="shared" ref="AR1237:AR1300" si="71">AR1236+1</f>
        <v>1217</v>
      </c>
      <c r="AS1237" s="464" t="s">
        <v>1421</v>
      </c>
      <c r="AT1237" s="381">
        <v>7.0999999999999995E-3</v>
      </c>
      <c r="AV1237" s="464"/>
      <c r="AW1237" s="465"/>
    </row>
    <row r="1238" spans="35:49">
      <c r="AI1238" s="464">
        <f t="shared" si="70"/>
        <v>1218</v>
      </c>
      <c r="AJ1238" s="473">
        <v>44642</v>
      </c>
      <c r="AK1238" s="474">
        <v>21112.6</v>
      </c>
      <c r="AL1238" s="475">
        <v>5.0000000000000001E-3</v>
      </c>
      <c r="AM1238" s="475">
        <f t="shared" ref="AM1238:AM1286" si="72">AK1238/AK1237-1</f>
        <v>5.0479469270550137E-3</v>
      </c>
      <c r="AN1238" s="464"/>
      <c r="AO1238" s="464"/>
      <c r="AR1238" s="464">
        <f t="shared" si="71"/>
        <v>1218</v>
      </c>
      <c r="AS1238" s="464" t="s">
        <v>1420</v>
      </c>
      <c r="AT1238" s="381">
        <v>6.9950000000000003E-3</v>
      </c>
      <c r="AV1238" s="464"/>
      <c r="AW1238" s="465"/>
    </row>
    <row r="1239" spans="35:49">
      <c r="AI1239" s="464">
        <f t="shared" si="70"/>
        <v>1219</v>
      </c>
      <c r="AJ1239" s="473">
        <v>44643</v>
      </c>
      <c r="AK1239" s="474">
        <v>21001.62</v>
      </c>
      <c r="AL1239" s="475">
        <v>-5.3E-3</v>
      </c>
      <c r="AM1239" s="475">
        <f t="shared" si="72"/>
        <v>-5.2565766414368609E-3</v>
      </c>
      <c r="AN1239" s="464"/>
      <c r="AO1239" s="464"/>
      <c r="AR1239" s="464">
        <f t="shared" si="71"/>
        <v>1219</v>
      </c>
      <c r="AS1239" s="464" t="s">
        <v>1419</v>
      </c>
      <c r="AT1239" s="381">
        <v>7.0650000000000001E-3</v>
      </c>
      <c r="AV1239" s="464"/>
      <c r="AW1239" s="465"/>
    </row>
    <row r="1240" spans="35:49">
      <c r="AI1240" s="464">
        <f t="shared" si="70"/>
        <v>1220</v>
      </c>
      <c r="AJ1240" s="473">
        <v>44644</v>
      </c>
      <c r="AK1240" s="474">
        <v>20893.189999999999</v>
      </c>
      <c r="AL1240" s="475">
        <v>-5.1999999999999998E-3</v>
      </c>
      <c r="AM1240" s="475">
        <f t="shared" si="72"/>
        <v>-5.162935049772388E-3</v>
      </c>
      <c r="AN1240" s="464"/>
      <c r="AO1240" s="464"/>
      <c r="AR1240" s="464">
        <f t="shared" si="71"/>
        <v>1220</v>
      </c>
      <c r="AS1240" s="464" t="s">
        <v>1418</v>
      </c>
      <c r="AT1240" s="381">
        <v>7.43E-3</v>
      </c>
      <c r="AV1240" s="464"/>
      <c r="AW1240" s="465"/>
    </row>
    <row r="1241" spans="35:49">
      <c r="AI1241" s="464">
        <f t="shared" si="70"/>
        <v>1221</v>
      </c>
      <c r="AJ1241" s="473">
        <v>44645</v>
      </c>
      <c r="AK1241" s="474">
        <v>20956.21</v>
      </c>
      <c r="AL1241" s="475">
        <v>3.0000000000000001E-3</v>
      </c>
      <c r="AM1241" s="475">
        <f t="shared" si="72"/>
        <v>3.0162938258830874E-3</v>
      </c>
      <c r="AN1241" s="464"/>
      <c r="AO1241" s="464"/>
      <c r="AR1241" s="464">
        <f t="shared" si="71"/>
        <v>1221</v>
      </c>
      <c r="AS1241" s="464" t="s">
        <v>1417</v>
      </c>
      <c r="AT1241" s="381">
        <v>7.62E-3</v>
      </c>
      <c r="AV1241" s="464"/>
      <c r="AW1241" s="465"/>
    </row>
    <row r="1242" spans="35:49">
      <c r="AI1242" s="464">
        <f t="shared" si="70"/>
        <v>1222</v>
      </c>
      <c r="AJ1242" s="473">
        <v>44648</v>
      </c>
      <c r="AK1242" s="474">
        <v>21070.03</v>
      </c>
      <c r="AL1242" s="475">
        <v>5.4000000000000003E-3</v>
      </c>
      <c r="AM1242" s="475">
        <f t="shared" si="72"/>
        <v>5.4313256070634974E-3</v>
      </c>
      <c r="AN1242" s="464"/>
      <c r="AO1242" s="464"/>
      <c r="AR1242" s="464">
        <f t="shared" si="71"/>
        <v>1222</v>
      </c>
      <c r="AS1242" s="464" t="s">
        <v>1416</v>
      </c>
      <c r="AT1242" s="381">
        <v>7.4199999999999995E-3</v>
      </c>
      <c r="AV1242" s="464"/>
      <c r="AW1242" s="465"/>
    </row>
    <row r="1243" spans="35:49">
      <c r="AI1243" s="464">
        <f t="shared" si="70"/>
        <v>1223</v>
      </c>
      <c r="AJ1243" s="473">
        <v>44649</v>
      </c>
      <c r="AK1243" s="474">
        <v>21491.97</v>
      </c>
      <c r="AL1243" s="475">
        <v>0.02</v>
      </c>
      <c r="AM1243" s="475">
        <f t="shared" si="72"/>
        <v>2.0025600343236416E-2</v>
      </c>
      <c r="AN1243" s="464"/>
      <c r="AO1243" s="464"/>
      <c r="AR1243" s="464">
        <f t="shared" si="71"/>
        <v>1223</v>
      </c>
      <c r="AS1243" s="464" t="s">
        <v>1415</v>
      </c>
      <c r="AT1243" s="381">
        <v>7.77E-3</v>
      </c>
      <c r="AV1243" s="464"/>
      <c r="AW1243" s="465"/>
    </row>
    <row r="1244" spans="35:49">
      <c r="AI1244" s="464">
        <f t="shared" si="70"/>
        <v>1224</v>
      </c>
      <c r="AJ1244" s="473">
        <v>44650</v>
      </c>
      <c r="AK1244" s="474">
        <v>21272.47</v>
      </c>
      <c r="AL1244" s="475">
        <v>-1.0200000000000001E-2</v>
      </c>
      <c r="AM1244" s="475">
        <f t="shared" si="72"/>
        <v>-1.0213116805951272E-2</v>
      </c>
      <c r="AN1244" s="464"/>
      <c r="AO1244" s="464"/>
      <c r="AR1244" s="464">
        <f t="shared" si="71"/>
        <v>1224</v>
      </c>
      <c r="AS1244" s="464" t="s">
        <v>1414</v>
      </c>
      <c r="AT1244" s="381">
        <v>7.5199999999999998E-3</v>
      </c>
      <c r="AV1244" s="464"/>
      <c r="AW1244" s="465"/>
    </row>
    <row r="1245" spans="35:49">
      <c r="AI1245" s="464">
        <f t="shared" si="70"/>
        <v>1225</v>
      </c>
      <c r="AJ1245" s="473">
        <v>44651</v>
      </c>
      <c r="AK1245" s="474">
        <v>21160.07</v>
      </c>
      <c r="AL1245" s="475">
        <v>-5.3E-3</v>
      </c>
      <c r="AM1245" s="475">
        <f t="shared" si="72"/>
        <v>-5.2838245864256228E-3</v>
      </c>
      <c r="AN1245" s="464"/>
      <c r="AO1245" s="464"/>
      <c r="AR1245" s="464">
        <f t="shared" si="71"/>
        <v>1225</v>
      </c>
      <c r="AS1245" s="464" t="s">
        <v>1413</v>
      </c>
      <c r="AT1245" s="381">
        <v>7.5649999999999997E-3</v>
      </c>
      <c r="AV1245" s="464"/>
      <c r="AW1245" s="465"/>
    </row>
    <row r="1246" spans="35:49">
      <c r="AI1246" s="464">
        <f t="shared" si="70"/>
        <v>1226</v>
      </c>
      <c r="AJ1246" s="473">
        <v>44652</v>
      </c>
      <c r="AK1246" s="474">
        <v>21218.01</v>
      </c>
      <c r="AL1246" s="475">
        <v>2.7000000000000001E-3</v>
      </c>
      <c r="AM1246" s="475">
        <f t="shared" si="72"/>
        <v>2.7381761969595964E-3</v>
      </c>
      <c r="AN1246" s="464"/>
      <c r="AO1246" s="464"/>
      <c r="AR1246" s="464">
        <f t="shared" si="71"/>
        <v>1226</v>
      </c>
      <c r="AS1246" s="464" t="s">
        <v>1412</v>
      </c>
      <c r="AT1246" s="381">
        <v>7.5700000000000003E-3</v>
      </c>
      <c r="AV1246" s="464"/>
      <c r="AW1246" s="465"/>
    </row>
    <row r="1247" spans="35:49">
      <c r="AI1247" s="464">
        <f t="shared" si="70"/>
        <v>1227</v>
      </c>
      <c r="AJ1247" s="473">
        <v>44655</v>
      </c>
      <c r="AK1247" s="474">
        <v>21329.89</v>
      </c>
      <c r="AL1247" s="475">
        <v>5.3E-3</v>
      </c>
      <c r="AM1247" s="475">
        <f t="shared" si="72"/>
        <v>5.272879030597144E-3</v>
      </c>
      <c r="AN1247" s="464"/>
      <c r="AO1247" s="464"/>
      <c r="AR1247" s="464">
        <f t="shared" si="71"/>
        <v>1227</v>
      </c>
      <c r="AS1247" s="464" t="s">
        <v>1411</v>
      </c>
      <c r="AT1247" s="381">
        <v>7.7099999999999998E-3</v>
      </c>
      <c r="AV1247" s="464"/>
      <c r="AW1247" s="465"/>
    </row>
    <row r="1248" spans="35:49">
      <c r="AI1248" s="464">
        <f t="shared" si="70"/>
        <v>1228</v>
      </c>
      <c r="AJ1248" s="473">
        <v>44656</v>
      </c>
      <c r="AK1248" s="474">
        <v>21356.98</v>
      </c>
      <c r="AL1248" s="475">
        <v>1.2999999999999999E-3</v>
      </c>
      <c r="AM1248" s="475">
        <f t="shared" si="72"/>
        <v>1.2700487438050967E-3</v>
      </c>
      <c r="AN1248" s="464"/>
      <c r="AO1248" s="464"/>
      <c r="AR1248" s="464">
        <f t="shared" si="71"/>
        <v>1228</v>
      </c>
      <c r="AS1248" s="464" t="s">
        <v>1410</v>
      </c>
      <c r="AT1248" s="381">
        <v>7.8000000000000005E-3</v>
      </c>
      <c r="AV1248" s="464"/>
      <c r="AW1248" s="465"/>
    </row>
    <row r="1249" spans="35:49">
      <c r="AI1249" s="464">
        <f t="shared" si="70"/>
        <v>1229</v>
      </c>
      <c r="AJ1249" s="473">
        <v>44657</v>
      </c>
      <c r="AK1249" s="474">
        <v>21100.73</v>
      </c>
      <c r="AL1249" s="475">
        <v>-1.2E-2</v>
      </c>
      <c r="AM1249" s="475">
        <f t="shared" si="72"/>
        <v>-1.1998419252160164E-2</v>
      </c>
      <c r="AN1249" s="464"/>
      <c r="AO1249" s="464"/>
      <c r="AR1249" s="464">
        <f t="shared" si="71"/>
        <v>1229</v>
      </c>
      <c r="AS1249" s="464" t="s">
        <v>1409</v>
      </c>
      <c r="AT1249" s="381">
        <v>7.8100000000000001E-3</v>
      </c>
      <c r="AV1249" s="464"/>
      <c r="AW1249" s="465"/>
    </row>
    <row r="1250" spans="35:49">
      <c r="AI1250" s="464">
        <f t="shared" si="70"/>
        <v>1230</v>
      </c>
      <c r="AJ1250" s="473">
        <v>44658</v>
      </c>
      <c r="AK1250" s="474">
        <v>21037.8</v>
      </c>
      <c r="AL1250" s="475">
        <v>-3.0000000000000001E-3</v>
      </c>
      <c r="AM1250" s="475">
        <f t="shared" si="72"/>
        <v>-2.9823612737568395E-3</v>
      </c>
      <c r="AN1250" s="464"/>
      <c r="AO1250" s="464"/>
      <c r="AR1250" s="464">
        <f t="shared" si="71"/>
        <v>1230</v>
      </c>
      <c r="AS1250" s="464" t="s">
        <v>1408</v>
      </c>
      <c r="AT1250" s="381">
        <v>7.4199999999999995E-3</v>
      </c>
      <c r="AV1250" s="464"/>
      <c r="AW1250" s="465"/>
    </row>
    <row r="1251" spans="35:49">
      <c r="AI1251" s="464">
        <f t="shared" si="70"/>
        <v>1231</v>
      </c>
      <c r="AJ1251" s="473">
        <v>44659</v>
      </c>
      <c r="AK1251" s="474">
        <v>21174.32</v>
      </c>
      <c r="AL1251" s="475">
        <v>6.4999999999999997E-3</v>
      </c>
      <c r="AM1251" s="475">
        <f t="shared" si="72"/>
        <v>6.4892716919069393E-3</v>
      </c>
      <c r="AN1251" s="464"/>
      <c r="AO1251" s="464"/>
      <c r="AR1251" s="464">
        <f t="shared" si="71"/>
        <v>1231</v>
      </c>
      <c r="AS1251" s="464" t="s">
        <v>1407</v>
      </c>
      <c r="AT1251" s="381">
        <v>7.8100000000000001E-3</v>
      </c>
      <c r="AV1251" s="464"/>
      <c r="AW1251" s="465"/>
    </row>
    <row r="1252" spans="35:49">
      <c r="AI1252" s="464">
        <f t="shared" si="70"/>
        <v>1232</v>
      </c>
      <c r="AJ1252" s="473">
        <v>44662</v>
      </c>
      <c r="AK1252" s="474">
        <v>21115.08</v>
      </c>
      <c r="AL1252" s="475">
        <v>-2.8E-3</v>
      </c>
      <c r="AM1252" s="475">
        <f t="shared" si="72"/>
        <v>-2.7977285693234766E-3</v>
      </c>
      <c r="AN1252" s="464"/>
      <c r="AO1252" s="464"/>
      <c r="AR1252" s="464">
        <f t="shared" si="71"/>
        <v>1232</v>
      </c>
      <c r="AS1252" s="464" t="s">
        <v>1406</v>
      </c>
      <c r="AT1252" s="381">
        <v>7.7800000000000005E-3</v>
      </c>
      <c r="AV1252" s="464"/>
      <c r="AW1252" s="465"/>
    </row>
    <row r="1253" spans="35:49">
      <c r="AI1253" s="464">
        <f t="shared" si="70"/>
        <v>1233</v>
      </c>
      <c r="AJ1253" s="473">
        <v>44663</v>
      </c>
      <c r="AK1253" s="474">
        <v>21009.61</v>
      </c>
      <c r="AL1253" s="475">
        <v>-5.0000000000000001E-3</v>
      </c>
      <c r="AM1253" s="475">
        <f t="shared" si="72"/>
        <v>-4.9950083068593942E-3</v>
      </c>
      <c r="AN1253" s="464"/>
      <c r="AO1253" s="464"/>
      <c r="AR1253" s="464">
        <f t="shared" si="71"/>
        <v>1233</v>
      </c>
      <c r="AS1253" s="464" t="s">
        <v>1405</v>
      </c>
      <c r="AT1253" s="381">
        <v>7.7549999999999997E-3</v>
      </c>
      <c r="AV1253" s="464"/>
      <c r="AW1253" s="465"/>
    </row>
    <row r="1254" spans="35:49">
      <c r="AI1254" s="464">
        <f t="shared" si="70"/>
        <v>1234</v>
      </c>
      <c r="AJ1254" s="473">
        <v>44664</v>
      </c>
      <c r="AK1254" s="474">
        <v>20984.45</v>
      </c>
      <c r="AL1254" s="475">
        <v>-1.1999999999999999E-3</v>
      </c>
      <c r="AM1254" s="475">
        <f t="shared" si="72"/>
        <v>-1.1975472176779522E-3</v>
      </c>
      <c r="AN1254" s="464"/>
      <c r="AO1254" s="464"/>
      <c r="AR1254" s="464">
        <f t="shared" si="71"/>
        <v>1234</v>
      </c>
      <c r="AS1254" s="464" t="s">
        <v>1404</v>
      </c>
      <c r="AT1254" s="381">
        <v>7.2299999999999994E-3</v>
      </c>
      <c r="AV1254" s="464"/>
      <c r="AW1254" s="465"/>
    </row>
    <row r="1255" spans="35:49">
      <c r="AI1255" s="464">
        <f t="shared" si="70"/>
        <v>1235</v>
      </c>
      <c r="AJ1255" s="473">
        <v>44665</v>
      </c>
      <c r="AK1255" s="474">
        <v>21121.61</v>
      </c>
      <c r="AL1255" s="475">
        <v>6.4999999999999997E-3</v>
      </c>
      <c r="AM1255" s="475">
        <f t="shared" si="72"/>
        <v>6.5362685226442174E-3</v>
      </c>
      <c r="AN1255" s="464"/>
      <c r="AO1255" s="464"/>
      <c r="AR1255" s="464">
        <f t="shared" si="71"/>
        <v>1235</v>
      </c>
      <c r="AS1255" s="464" t="s">
        <v>1403</v>
      </c>
      <c r="AT1255" s="381">
        <v>7.4000000000000003E-3</v>
      </c>
      <c r="AV1255" s="464"/>
      <c r="AW1255" s="465"/>
    </row>
    <row r="1256" spans="35:49">
      <c r="AI1256" s="464">
        <f t="shared" si="70"/>
        <v>1236</v>
      </c>
      <c r="AJ1256" s="473">
        <v>44670</v>
      </c>
      <c r="AK1256" s="474">
        <v>20962.169999999998</v>
      </c>
      <c r="AL1256" s="475">
        <v>-7.4999999999999997E-3</v>
      </c>
      <c r="AM1256" s="475">
        <f t="shared" si="72"/>
        <v>-7.5486669813523699E-3</v>
      </c>
      <c r="AN1256" s="464"/>
      <c r="AO1256" s="464"/>
      <c r="AR1256" s="464">
        <f t="shared" si="71"/>
        <v>1236</v>
      </c>
      <c r="AS1256" s="464" t="s">
        <v>1402</v>
      </c>
      <c r="AT1256" s="381">
        <v>7.1799999999999998E-3</v>
      </c>
      <c r="AV1256" s="464"/>
      <c r="AW1256" s="465"/>
    </row>
    <row r="1257" spans="35:49">
      <c r="AI1257" s="464">
        <f t="shared" si="70"/>
        <v>1237</v>
      </c>
      <c r="AJ1257" s="473">
        <v>44671</v>
      </c>
      <c r="AK1257" s="474">
        <v>21084</v>
      </c>
      <c r="AL1257" s="475">
        <v>5.7999999999999996E-3</v>
      </c>
      <c r="AM1257" s="475">
        <f t="shared" si="72"/>
        <v>5.8118982910644323E-3</v>
      </c>
      <c r="AN1257" s="464"/>
      <c r="AO1257" s="464"/>
      <c r="AR1257" s="464">
        <f t="shared" si="71"/>
        <v>1237</v>
      </c>
      <c r="AS1257" s="464" t="s">
        <v>1401</v>
      </c>
      <c r="AT1257" s="381">
        <v>7.3099999999999997E-3</v>
      </c>
      <c r="AV1257" s="464"/>
      <c r="AW1257" s="465"/>
    </row>
    <row r="1258" spans="35:49">
      <c r="AI1258" s="464">
        <f t="shared" si="70"/>
        <v>1238</v>
      </c>
      <c r="AJ1258" s="473">
        <v>44672</v>
      </c>
      <c r="AK1258" s="474">
        <v>21159.68</v>
      </c>
      <c r="AL1258" s="475">
        <v>3.5999999999999999E-3</v>
      </c>
      <c r="AM1258" s="475">
        <f t="shared" si="72"/>
        <v>3.589451716941694E-3</v>
      </c>
      <c r="AN1258" s="464"/>
      <c r="AO1258" s="464"/>
      <c r="AR1258" s="464">
        <f t="shared" si="71"/>
        <v>1238</v>
      </c>
      <c r="AS1258" s="464" t="s">
        <v>1400</v>
      </c>
      <c r="AT1258" s="381">
        <v>7.0399999999999994E-3</v>
      </c>
      <c r="AV1258" s="464"/>
      <c r="AW1258" s="465"/>
    </row>
    <row r="1259" spans="35:49">
      <c r="AI1259" s="464">
        <f t="shared" si="70"/>
        <v>1239</v>
      </c>
      <c r="AJ1259" s="473">
        <v>44673</v>
      </c>
      <c r="AK1259" s="474">
        <v>20881.8</v>
      </c>
      <c r="AL1259" s="475">
        <v>-1.3100000000000001E-2</v>
      </c>
      <c r="AM1259" s="475">
        <f t="shared" si="72"/>
        <v>-1.313252374327023E-2</v>
      </c>
      <c r="AN1259" s="464"/>
      <c r="AO1259" s="464"/>
      <c r="AR1259" s="464">
        <f t="shared" si="71"/>
        <v>1239</v>
      </c>
      <c r="AS1259" s="464" t="s">
        <v>1399</v>
      </c>
      <c r="AT1259" s="381">
        <v>6.9849999999999999E-3</v>
      </c>
      <c r="AV1259" s="464"/>
      <c r="AW1259" s="465"/>
    </row>
    <row r="1260" spans="35:49">
      <c r="AI1260" s="464">
        <f t="shared" si="70"/>
        <v>1240</v>
      </c>
      <c r="AJ1260" s="473">
        <v>44676</v>
      </c>
      <c r="AK1260" s="474">
        <v>20599.22</v>
      </c>
      <c r="AL1260" s="475">
        <v>-1.35E-2</v>
      </c>
      <c r="AM1260" s="475">
        <f t="shared" si="72"/>
        <v>-1.3532358321600491E-2</v>
      </c>
      <c r="AN1260" s="464"/>
      <c r="AO1260" s="464"/>
      <c r="AR1260" s="464">
        <f t="shared" si="71"/>
        <v>1240</v>
      </c>
      <c r="AS1260" s="464" t="s">
        <v>1398</v>
      </c>
      <c r="AT1260" s="381">
        <v>7.0150000000000004E-3</v>
      </c>
      <c r="AV1260" s="464"/>
      <c r="AW1260" s="465"/>
    </row>
    <row r="1261" spans="35:49">
      <c r="AI1261" s="464">
        <f t="shared" si="70"/>
        <v>1241</v>
      </c>
      <c r="AJ1261" s="473">
        <v>44677</v>
      </c>
      <c r="AK1261" s="474">
        <v>20492.12</v>
      </c>
      <c r="AL1261" s="475">
        <v>-5.1999999999999998E-3</v>
      </c>
      <c r="AM1261" s="475">
        <f t="shared" si="72"/>
        <v>-5.1992259901103566E-3</v>
      </c>
      <c r="AN1261" s="464"/>
      <c r="AO1261" s="464"/>
      <c r="AR1261" s="464">
        <f t="shared" si="71"/>
        <v>1241</v>
      </c>
      <c r="AS1261" s="464" t="s">
        <v>1397</v>
      </c>
      <c r="AT1261" s="381">
        <v>7.1599999999999997E-3</v>
      </c>
      <c r="AV1261" s="464"/>
      <c r="AW1261" s="465"/>
    </row>
    <row r="1262" spans="35:49">
      <c r="AI1262" s="464">
        <f t="shared" si="70"/>
        <v>1242</v>
      </c>
      <c r="AJ1262" s="473">
        <v>44678</v>
      </c>
      <c r="AK1262" s="474">
        <v>20437.77</v>
      </c>
      <c r="AL1262" s="475">
        <v>-2.7000000000000001E-3</v>
      </c>
      <c r="AM1262" s="475">
        <f t="shared" si="72"/>
        <v>-2.6522390069938506E-3</v>
      </c>
      <c r="AN1262" s="464"/>
      <c r="AO1262" s="464"/>
      <c r="AR1262" s="464">
        <f t="shared" si="71"/>
        <v>1242</v>
      </c>
      <c r="AS1262" s="464" t="s">
        <v>1396</v>
      </c>
      <c r="AT1262" s="381">
        <v>6.3499999999999997E-3</v>
      </c>
      <c r="AV1262" s="464"/>
      <c r="AW1262" s="465"/>
    </row>
    <row r="1263" spans="35:49">
      <c r="AI1263" s="464">
        <f t="shared" si="70"/>
        <v>1243</v>
      </c>
      <c r="AJ1263" s="473">
        <v>44679</v>
      </c>
      <c r="AK1263" s="474">
        <v>20619.62</v>
      </c>
      <c r="AL1263" s="475">
        <v>8.8999999999999999E-3</v>
      </c>
      <c r="AM1263" s="475">
        <f t="shared" si="72"/>
        <v>8.8977417790687685E-3</v>
      </c>
      <c r="AN1263" s="464"/>
      <c r="AO1263" s="464"/>
      <c r="AR1263" s="464">
        <f t="shared" si="71"/>
        <v>1243</v>
      </c>
      <c r="AS1263" s="464" t="s">
        <v>1395</v>
      </c>
      <c r="AT1263" s="381">
        <v>6.0400000000000002E-3</v>
      </c>
      <c r="AV1263" s="464"/>
      <c r="AW1263" s="465"/>
    </row>
    <row r="1264" spans="35:49">
      <c r="AI1264" s="464">
        <f t="shared" si="70"/>
        <v>1244</v>
      </c>
      <c r="AJ1264" s="473">
        <v>44680</v>
      </c>
      <c r="AK1264" s="474">
        <v>20708.71</v>
      </c>
      <c r="AL1264" s="475">
        <v>4.3E-3</v>
      </c>
      <c r="AM1264" s="475">
        <f t="shared" si="72"/>
        <v>4.3206421844825815E-3</v>
      </c>
      <c r="AN1264" s="464"/>
      <c r="AO1264" s="464"/>
      <c r="AR1264" s="464">
        <f t="shared" si="71"/>
        <v>1244</v>
      </c>
      <c r="AS1264" s="464" t="s">
        <v>1394</v>
      </c>
      <c r="AT1264" s="381">
        <v>6.13E-3</v>
      </c>
      <c r="AV1264" s="464"/>
      <c r="AW1264" s="465"/>
    </row>
    <row r="1265" spans="35:49">
      <c r="AI1265" s="464">
        <f t="shared" si="70"/>
        <v>1245</v>
      </c>
      <c r="AJ1265" s="473">
        <v>44684</v>
      </c>
      <c r="AK1265" s="474">
        <v>20520.759999999998</v>
      </c>
      <c r="AL1265" s="475">
        <v>-9.1000000000000004E-3</v>
      </c>
      <c r="AM1265" s="475">
        <f t="shared" si="72"/>
        <v>-9.0758912554186333E-3</v>
      </c>
      <c r="AN1265" s="464"/>
      <c r="AO1265" s="464"/>
      <c r="AR1265" s="464">
        <f t="shared" si="71"/>
        <v>1245</v>
      </c>
      <c r="AS1265" s="464" t="s">
        <v>1393</v>
      </c>
      <c r="AT1265" s="381">
        <v>6.5900000000000004E-3</v>
      </c>
      <c r="AV1265" s="464"/>
      <c r="AW1265" s="465"/>
    </row>
    <row r="1266" spans="35:49">
      <c r="AI1266" s="464">
        <f t="shared" si="70"/>
        <v>1246</v>
      </c>
      <c r="AJ1266" s="473">
        <v>44685</v>
      </c>
      <c r="AK1266" s="474">
        <v>20219.48</v>
      </c>
      <c r="AL1266" s="475">
        <v>-1.47E-2</v>
      </c>
      <c r="AM1266" s="475">
        <f t="shared" si="72"/>
        <v>-1.4681717441264341E-2</v>
      </c>
      <c r="AN1266" s="464"/>
      <c r="AO1266" s="464"/>
      <c r="AR1266" s="464">
        <f t="shared" si="71"/>
        <v>1246</v>
      </c>
      <c r="AS1266" s="464" t="s">
        <v>1392</v>
      </c>
      <c r="AT1266" s="381">
        <v>6.6149999999999994E-3</v>
      </c>
      <c r="AV1266" s="464"/>
      <c r="AW1266" s="465"/>
    </row>
    <row r="1267" spans="35:49">
      <c r="AI1267" s="464">
        <f t="shared" si="70"/>
        <v>1247</v>
      </c>
      <c r="AJ1267" s="473">
        <v>44686</v>
      </c>
      <c r="AK1267" s="474">
        <v>20089.96</v>
      </c>
      <c r="AL1267" s="475">
        <v>-6.4000000000000003E-3</v>
      </c>
      <c r="AM1267" s="475">
        <f t="shared" si="72"/>
        <v>-6.4057038064282423E-3</v>
      </c>
      <c r="AN1267" s="464"/>
      <c r="AO1267" s="464"/>
      <c r="AR1267" s="464">
        <f t="shared" si="71"/>
        <v>1247</v>
      </c>
      <c r="AS1267" s="464" t="s">
        <v>1391</v>
      </c>
      <c r="AT1267" s="381">
        <v>6.6049999999999998E-3</v>
      </c>
      <c r="AV1267" s="464"/>
      <c r="AW1267" s="465"/>
    </row>
    <row r="1268" spans="35:49">
      <c r="AI1268" s="464">
        <f t="shared" si="70"/>
        <v>1248</v>
      </c>
      <c r="AJ1268" s="473">
        <v>44687</v>
      </c>
      <c r="AK1268" s="474">
        <v>19819.669999999998</v>
      </c>
      <c r="AL1268" s="475">
        <v>-1.35E-2</v>
      </c>
      <c r="AM1268" s="475">
        <f t="shared" si="72"/>
        <v>-1.3453983980057704E-2</v>
      </c>
      <c r="AN1268" s="464"/>
      <c r="AO1268" s="464"/>
      <c r="AR1268" s="464">
        <f t="shared" si="71"/>
        <v>1248</v>
      </c>
      <c r="AS1268" s="464" t="s">
        <v>1390</v>
      </c>
      <c r="AT1268" s="381">
        <v>6.5000000000000006E-3</v>
      </c>
      <c r="AV1268" s="464"/>
      <c r="AW1268" s="465"/>
    </row>
    <row r="1269" spans="35:49">
      <c r="AI1269" s="464">
        <f t="shared" si="70"/>
        <v>1249</v>
      </c>
      <c r="AJ1269" s="473">
        <v>44690</v>
      </c>
      <c r="AK1269" s="474">
        <v>19306.72</v>
      </c>
      <c r="AL1269" s="475">
        <v>-2.5899999999999999E-2</v>
      </c>
      <c r="AM1269" s="475">
        <f t="shared" si="72"/>
        <v>-2.5880854726642588E-2</v>
      </c>
      <c r="AN1269" s="464"/>
      <c r="AO1269" s="464"/>
      <c r="AR1269" s="464">
        <f t="shared" si="71"/>
        <v>1249</v>
      </c>
      <c r="AS1269" s="464" t="s">
        <v>1389</v>
      </c>
      <c r="AT1269" s="381">
        <v>6.3299999999999997E-3</v>
      </c>
      <c r="AV1269" s="464"/>
      <c r="AW1269" s="465"/>
    </row>
    <row r="1270" spans="35:49">
      <c r="AI1270" s="464">
        <f t="shared" si="70"/>
        <v>1250</v>
      </c>
      <c r="AJ1270" s="473">
        <v>44691</v>
      </c>
      <c r="AK1270" s="474">
        <v>19384.96</v>
      </c>
      <c r="AL1270" s="475">
        <v>4.1000000000000003E-3</v>
      </c>
      <c r="AM1270" s="475">
        <f t="shared" si="72"/>
        <v>4.0524749931629689E-3</v>
      </c>
      <c r="AN1270" s="464"/>
      <c r="AO1270" s="464"/>
      <c r="AR1270" s="464">
        <f t="shared" si="71"/>
        <v>1250</v>
      </c>
      <c r="AS1270" s="464" t="s">
        <v>1388</v>
      </c>
      <c r="AT1270" s="381">
        <v>6.3E-3</v>
      </c>
      <c r="AV1270" s="464"/>
      <c r="AW1270" s="465"/>
    </row>
    <row r="1271" spans="35:49">
      <c r="AI1271" s="464">
        <f t="shared" si="70"/>
        <v>1251</v>
      </c>
      <c r="AJ1271" s="473">
        <v>44692</v>
      </c>
      <c r="AK1271" s="474">
        <v>19647.150000000001</v>
      </c>
      <c r="AL1271" s="475">
        <v>1.35E-2</v>
      </c>
      <c r="AM1271" s="475">
        <f t="shared" si="72"/>
        <v>1.3525434151012039E-2</v>
      </c>
      <c r="AN1271" s="464"/>
      <c r="AO1271" s="464"/>
      <c r="AR1271" s="464">
        <f t="shared" si="71"/>
        <v>1251</v>
      </c>
      <c r="AS1271" s="464" t="s">
        <v>1387</v>
      </c>
      <c r="AT1271" s="381">
        <v>6.6400000000000001E-3</v>
      </c>
      <c r="AV1271" s="464"/>
      <c r="AW1271" s="465"/>
    </row>
    <row r="1272" spans="35:49">
      <c r="AI1272" s="464">
        <f t="shared" si="70"/>
        <v>1252</v>
      </c>
      <c r="AJ1272" s="473">
        <v>44693</v>
      </c>
      <c r="AK1272" s="474">
        <v>19480.88</v>
      </c>
      <c r="AL1272" s="475">
        <v>-8.5000000000000006E-3</v>
      </c>
      <c r="AM1272" s="475">
        <f t="shared" si="72"/>
        <v>-8.4628050378808828E-3</v>
      </c>
      <c r="AN1272" s="464"/>
      <c r="AO1272" s="464"/>
      <c r="AR1272" s="464">
        <f t="shared" si="71"/>
        <v>1252</v>
      </c>
      <c r="AS1272" s="464" t="s">
        <v>1386</v>
      </c>
      <c r="AT1272" s="381">
        <v>6.2900000000000005E-3</v>
      </c>
      <c r="AV1272" s="464"/>
      <c r="AW1272" s="465"/>
    </row>
    <row r="1273" spans="35:49">
      <c r="AI1273" s="464">
        <f t="shared" si="70"/>
        <v>1253</v>
      </c>
      <c r="AJ1273" s="473">
        <v>44694</v>
      </c>
      <c r="AK1273" s="474">
        <v>19921.89</v>
      </c>
      <c r="AL1273" s="475">
        <v>2.2599999999999999E-2</v>
      </c>
      <c r="AM1273" s="475">
        <f t="shared" si="72"/>
        <v>2.2638094377666729E-2</v>
      </c>
      <c r="AN1273" s="464"/>
      <c r="AO1273" s="464"/>
      <c r="AR1273" s="464">
        <f t="shared" si="71"/>
        <v>1253</v>
      </c>
      <c r="AS1273" s="464" t="s">
        <v>1385</v>
      </c>
      <c r="AT1273" s="381">
        <v>6.2599999999999999E-3</v>
      </c>
      <c r="AV1273" s="464"/>
      <c r="AW1273" s="465"/>
    </row>
    <row r="1274" spans="35:49">
      <c r="AI1274" s="464">
        <f t="shared" si="70"/>
        <v>1254</v>
      </c>
      <c r="AJ1274" s="473">
        <v>44697</v>
      </c>
      <c r="AK1274" s="474">
        <v>19924.11</v>
      </c>
      <c r="AL1274" s="475">
        <v>1E-4</v>
      </c>
      <c r="AM1274" s="475">
        <f t="shared" si="72"/>
        <v>1.1143521021361735E-4</v>
      </c>
      <c r="AN1274" s="464"/>
      <c r="AO1274" s="464"/>
      <c r="AR1274" s="464">
        <f t="shared" si="71"/>
        <v>1254</v>
      </c>
      <c r="AS1274" s="464" t="s">
        <v>1384</v>
      </c>
      <c r="AT1274" s="381">
        <v>6.2649999999999997E-3</v>
      </c>
      <c r="AV1274" s="464"/>
      <c r="AW1274" s="465"/>
    </row>
    <row r="1275" spans="35:49">
      <c r="AI1275" s="464">
        <f t="shared" si="70"/>
        <v>1255</v>
      </c>
      <c r="AJ1275" s="473">
        <v>44698</v>
      </c>
      <c r="AK1275" s="474">
        <v>20065.59</v>
      </c>
      <c r="AL1275" s="475">
        <v>7.1000000000000004E-3</v>
      </c>
      <c r="AM1275" s="475">
        <f t="shared" si="72"/>
        <v>7.1009445340344257E-3</v>
      </c>
      <c r="AN1275" s="464"/>
      <c r="AO1275" s="464"/>
      <c r="AR1275" s="464">
        <f t="shared" si="71"/>
        <v>1255</v>
      </c>
      <c r="AS1275" s="464" t="s">
        <v>1383</v>
      </c>
      <c r="AT1275" s="381">
        <v>5.5900000000000004E-3</v>
      </c>
      <c r="AV1275" s="464"/>
      <c r="AW1275" s="465"/>
    </row>
    <row r="1276" spans="35:49">
      <c r="AI1276" s="464">
        <f t="shared" si="70"/>
        <v>1256</v>
      </c>
      <c r="AJ1276" s="473">
        <v>44699</v>
      </c>
      <c r="AK1276" s="474">
        <v>19949.439999999999</v>
      </c>
      <c r="AL1276" s="475">
        <v>-5.7999999999999996E-3</v>
      </c>
      <c r="AM1276" s="475">
        <f t="shared" si="72"/>
        <v>-5.7885165599417254E-3</v>
      </c>
      <c r="AN1276" s="464"/>
      <c r="AO1276" s="464"/>
      <c r="AR1276" s="464">
        <f t="shared" si="71"/>
        <v>1256</v>
      </c>
      <c r="AS1276" s="464" t="s">
        <v>1382</v>
      </c>
      <c r="AT1276" s="381">
        <v>5.6599999999999992E-3</v>
      </c>
      <c r="AV1276" s="464"/>
      <c r="AW1276" s="465"/>
    </row>
    <row r="1277" spans="35:49">
      <c r="AI1277" s="464">
        <f t="shared" si="70"/>
        <v>1257</v>
      </c>
      <c r="AJ1277" s="473">
        <v>44700</v>
      </c>
      <c r="AK1277" s="474">
        <v>19689.02</v>
      </c>
      <c r="AL1277" s="475">
        <v>-1.3100000000000001E-2</v>
      </c>
      <c r="AM1277" s="475">
        <f t="shared" si="72"/>
        <v>-1.3054000513297526E-2</v>
      </c>
      <c r="AN1277" s="464"/>
      <c r="AO1277" s="464"/>
      <c r="AR1277" s="464">
        <f t="shared" si="71"/>
        <v>1257</v>
      </c>
      <c r="AS1277" s="464" t="s">
        <v>1381</v>
      </c>
      <c r="AT1277" s="381">
        <v>6.0599999999999994E-3</v>
      </c>
      <c r="AV1277" s="464"/>
      <c r="AW1277" s="465"/>
    </row>
    <row r="1278" spans="35:49">
      <c r="AI1278" s="464">
        <f t="shared" si="70"/>
        <v>1258</v>
      </c>
      <c r="AJ1278" s="473">
        <v>44701</v>
      </c>
      <c r="AK1278" s="474">
        <v>19835.95</v>
      </c>
      <c r="AL1278" s="475">
        <v>7.4999999999999997E-3</v>
      </c>
      <c r="AM1278" s="475">
        <f t="shared" si="72"/>
        <v>7.4625349560313303E-3</v>
      </c>
      <c r="AN1278" s="464"/>
      <c r="AO1278" s="464"/>
      <c r="AR1278" s="464">
        <f t="shared" si="71"/>
        <v>1258</v>
      </c>
      <c r="AS1278" s="464" t="s">
        <v>1380</v>
      </c>
      <c r="AT1278" s="381">
        <v>5.6699999999999997E-3</v>
      </c>
      <c r="AV1278" s="464"/>
      <c r="AW1278" s="465"/>
    </row>
    <row r="1279" spans="35:49">
      <c r="AI1279" s="464">
        <f t="shared" si="70"/>
        <v>1259</v>
      </c>
      <c r="AJ1279" s="473">
        <v>44704</v>
      </c>
      <c r="AK1279" s="474">
        <v>20146.18</v>
      </c>
      <c r="AL1279" s="475">
        <v>1.5599999999999999E-2</v>
      </c>
      <c r="AM1279" s="475">
        <f t="shared" si="72"/>
        <v>1.5639785339245149E-2</v>
      </c>
      <c r="AN1279" s="464"/>
      <c r="AO1279" s="464"/>
      <c r="AR1279" s="464">
        <f t="shared" si="71"/>
        <v>1259</v>
      </c>
      <c r="AS1279" s="464" t="s">
        <v>1379</v>
      </c>
      <c r="AT1279" s="381">
        <v>5.8599999999999998E-3</v>
      </c>
      <c r="AV1279" s="464"/>
      <c r="AW1279" s="465"/>
    </row>
    <row r="1280" spans="35:49">
      <c r="AI1280" s="464">
        <f t="shared" si="70"/>
        <v>1260</v>
      </c>
      <c r="AJ1280" s="473">
        <v>44705</v>
      </c>
      <c r="AK1280" s="474">
        <v>19849.82</v>
      </c>
      <c r="AL1280" s="475">
        <v>-1.47E-2</v>
      </c>
      <c r="AM1280" s="475">
        <f t="shared" si="72"/>
        <v>-1.4710481093686223E-2</v>
      </c>
      <c r="AN1280" s="464"/>
      <c r="AO1280" s="464"/>
      <c r="AR1280" s="464">
        <f t="shared" si="71"/>
        <v>1260</v>
      </c>
      <c r="AS1280" s="464" t="s">
        <v>1378</v>
      </c>
      <c r="AT1280" s="381">
        <v>5.8399999999999997E-3</v>
      </c>
      <c r="AV1280" s="464"/>
      <c r="AW1280" s="465"/>
    </row>
    <row r="1281" spans="35:49">
      <c r="AI1281" s="464">
        <f t="shared" si="70"/>
        <v>1261</v>
      </c>
      <c r="AJ1281" s="473">
        <v>44706</v>
      </c>
      <c r="AK1281" s="474">
        <v>19934.04</v>
      </c>
      <c r="AL1281" s="475">
        <v>4.1999999999999997E-3</v>
      </c>
      <c r="AM1281" s="475">
        <f t="shared" si="72"/>
        <v>4.2428596329842083E-3</v>
      </c>
      <c r="AN1281" s="464"/>
      <c r="AO1281" s="464"/>
      <c r="AR1281" s="464">
        <f t="shared" si="71"/>
        <v>1261</v>
      </c>
      <c r="AS1281" s="464" t="s">
        <v>1377</v>
      </c>
      <c r="AT1281" s="381">
        <v>5.8899999999999994E-3</v>
      </c>
      <c r="AV1281" s="464"/>
      <c r="AW1281" s="465"/>
    </row>
    <row r="1282" spans="35:49">
      <c r="AI1282" s="464">
        <f t="shared" si="70"/>
        <v>1262</v>
      </c>
      <c r="AJ1282" s="473">
        <v>44707</v>
      </c>
      <c r="AK1282" s="474">
        <v>20248.740000000002</v>
      </c>
      <c r="AL1282" s="475">
        <v>1.5800000000000002E-2</v>
      </c>
      <c r="AM1282" s="475">
        <f t="shared" si="72"/>
        <v>1.578706574281985E-2</v>
      </c>
      <c r="AN1282" s="464"/>
      <c r="AO1282" s="464"/>
      <c r="AR1282" s="464">
        <f t="shared" si="71"/>
        <v>1262</v>
      </c>
      <c r="AS1282" s="464" t="s">
        <v>1376</v>
      </c>
      <c r="AT1282" s="381">
        <v>5.7299999999999999E-3</v>
      </c>
      <c r="AV1282" s="464"/>
      <c r="AW1282" s="465"/>
    </row>
    <row r="1283" spans="35:49">
      <c r="AI1283" s="464">
        <f t="shared" si="70"/>
        <v>1263</v>
      </c>
      <c r="AJ1283" s="473">
        <v>44708</v>
      </c>
      <c r="AK1283" s="474">
        <v>20372.52</v>
      </c>
      <c r="AL1283" s="475">
        <v>6.1000000000000004E-3</v>
      </c>
      <c r="AM1283" s="475">
        <f t="shared" si="72"/>
        <v>6.1129729553541789E-3</v>
      </c>
      <c r="AN1283" s="464"/>
      <c r="AO1283" s="464"/>
      <c r="AR1283" s="464">
        <f t="shared" si="71"/>
        <v>1263</v>
      </c>
      <c r="AS1283" s="464" t="s">
        <v>1375</v>
      </c>
      <c r="AT1283" s="381">
        <v>5.5900000000000004E-3</v>
      </c>
      <c r="AV1283" s="464"/>
      <c r="AW1283" s="465"/>
    </row>
    <row r="1284" spans="35:49">
      <c r="AI1284" s="464">
        <f t="shared" si="70"/>
        <v>1264</v>
      </c>
      <c r="AJ1284" s="473">
        <v>44711</v>
      </c>
      <c r="AK1284" s="474">
        <v>20546.89</v>
      </c>
      <c r="AL1284" s="475">
        <v>8.6E-3</v>
      </c>
      <c r="AM1284" s="475">
        <f t="shared" si="72"/>
        <v>8.5590786019598131E-3</v>
      </c>
      <c r="AN1284" s="464"/>
      <c r="AO1284" s="464"/>
      <c r="AR1284" s="464">
        <f t="shared" si="71"/>
        <v>1264</v>
      </c>
      <c r="AS1284" s="464" t="s">
        <v>1374</v>
      </c>
      <c r="AT1284" s="381">
        <v>5.7599999999999995E-3</v>
      </c>
      <c r="AV1284" s="464"/>
      <c r="AW1284" s="465"/>
    </row>
    <row r="1285" spans="35:49">
      <c r="AI1285" s="464">
        <f t="shared" si="70"/>
        <v>1265</v>
      </c>
      <c r="AJ1285" s="473">
        <v>44712</v>
      </c>
      <c r="AK1285" s="474">
        <v>20417.95</v>
      </c>
      <c r="AL1285" s="475">
        <v>-6.3E-3</v>
      </c>
      <c r="AM1285" s="475">
        <f t="shared" si="72"/>
        <v>-6.2754022628241923E-3</v>
      </c>
      <c r="AN1285" s="464"/>
      <c r="AO1285" s="464"/>
      <c r="AR1285" s="464">
        <f t="shared" si="71"/>
        <v>1265</v>
      </c>
      <c r="AS1285" s="464" t="s">
        <v>1373</v>
      </c>
      <c r="AT1285" s="381">
        <v>5.7199999999999994E-3</v>
      </c>
      <c r="AV1285" s="464"/>
      <c r="AW1285" s="465"/>
    </row>
    <row r="1286" spans="35:49">
      <c r="AI1286" s="464">
        <v>1</v>
      </c>
      <c r="AJ1286" s="473">
        <v>44713</v>
      </c>
      <c r="AK1286" s="474">
        <v>20272.900000000001</v>
      </c>
      <c r="AL1286" s="475">
        <v>-7.1000000000000004E-3</v>
      </c>
      <c r="AM1286" s="475">
        <f t="shared" si="72"/>
        <v>-7.1040432560565137E-3</v>
      </c>
      <c r="AN1286" s="464"/>
      <c r="AO1286" s="464"/>
      <c r="AR1286" s="464">
        <f t="shared" si="71"/>
        <v>1266</v>
      </c>
      <c r="AS1286" s="464" t="s">
        <v>1372</v>
      </c>
      <c r="AT1286" s="381">
        <v>5.6599999999999992E-3</v>
      </c>
      <c r="AV1286" s="464"/>
      <c r="AW1286" s="465"/>
    </row>
    <row r="1287" spans="35:49">
      <c r="AI1287" s="464"/>
      <c r="AJ1287" s="464"/>
      <c r="AK1287" s="464"/>
      <c r="AL1287" s="464"/>
      <c r="AM1287" s="464"/>
      <c r="AN1287" s="464"/>
      <c r="AO1287" s="464"/>
      <c r="AR1287" s="464">
        <f t="shared" si="71"/>
        <v>1267</v>
      </c>
      <c r="AS1287" s="464" t="s">
        <v>1371</v>
      </c>
      <c r="AT1287" s="381">
        <v>5.6200000000000009E-3</v>
      </c>
      <c r="AV1287" s="464"/>
      <c r="AW1287" s="465"/>
    </row>
    <row r="1288" spans="35:49">
      <c r="AI1288" s="464"/>
      <c r="AJ1288" s="464"/>
      <c r="AK1288" s="464"/>
      <c r="AL1288" s="464"/>
      <c r="AM1288" s="464"/>
      <c r="AR1288" s="464">
        <f t="shared" si="71"/>
        <v>1268</v>
      </c>
      <c r="AS1288" s="464" t="s">
        <v>1370</v>
      </c>
      <c r="AT1288" s="381">
        <v>5.2100000000000002E-3</v>
      </c>
      <c r="AV1288" s="464"/>
      <c r="AW1288" s="465"/>
    </row>
    <row r="1289" spans="35:49">
      <c r="AR1289" s="464">
        <f t="shared" si="71"/>
        <v>1269</v>
      </c>
      <c r="AS1289" s="464" t="s">
        <v>1369</v>
      </c>
      <c r="AT1289" s="381">
        <v>5.2100000000000002E-3</v>
      </c>
      <c r="AV1289" s="464"/>
      <c r="AW1289" s="465"/>
    </row>
    <row r="1290" spans="35:49">
      <c r="AR1290" s="464">
        <f t="shared" si="71"/>
        <v>1270</v>
      </c>
      <c r="AS1290" s="464" t="s">
        <v>1368</v>
      </c>
      <c r="AT1290" s="381">
        <v>5.1800000000000006E-3</v>
      </c>
      <c r="AV1290" s="464"/>
      <c r="AW1290" s="465"/>
    </row>
    <row r="1291" spans="35:49">
      <c r="AR1291" s="464">
        <f t="shared" si="71"/>
        <v>1271</v>
      </c>
      <c r="AS1291" s="464" t="s">
        <v>1367</v>
      </c>
      <c r="AT1291" s="381">
        <v>5.2500000000000003E-3</v>
      </c>
      <c r="AV1291" s="464"/>
      <c r="AW1291" s="465"/>
    </row>
    <row r="1292" spans="35:49">
      <c r="AR1292" s="464">
        <f t="shared" si="71"/>
        <v>1272</v>
      </c>
      <c r="AS1292" s="464" t="s">
        <v>1366</v>
      </c>
      <c r="AT1292" s="381">
        <v>6.1399999999999996E-3</v>
      </c>
      <c r="AV1292" s="464"/>
      <c r="AW1292" s="465"/>
    </row>
    <row r="1293" spans="35:49">
      <c r="AR1293" s="464">
        <f t="shared" si="71"/>
        <v>1273</v>
      </c>
      <c r="AS1293" s="464" t="s">
        <v>1365</v>
      </c>
      <c r="AT1293" s="381">
        <v>6.1050000000000002E-3</v>
      </c>
      <c r="AV1293" s="464"/>
      <c r="AW1293" s="465"/>
    </row>
    <row r="1294" spans="35:49">
      <c r="AR1294" s="464">
        <f t="shared" si="71"/>
        <v>1274</v>
      </c>
      <c r="AS1294" s="464" t="s">
        <v>1364</v>
      </c>
      <c r="AT1294" s="381">
        <v>5.8399999999999997E-3</v>
      </c>
      <c r="AV1294" s="464"/>
      <c r="AW1294" s="465"/>
    </row>
    <row r="1295" spans="35:49">
      <c r="AR1295" s="464">
        <f t="shared" si="71"/>
        <v>1275</v>
      </c>
      <c r="AS1295" s="464" t="s">
        <v>1363</v>
      </c>
      <c r="AT1295" s="381">
        <v>5.9099999999999995E-3</v>
      </c>
      <c r="AV1295" s="464"/>
      <c r="AW1295" s="465"/>
    </row>
    <row r="1296" spans="35:49">
      <c r="AR1296" s="464">
        <f t="shared" si="71"/>
        <v>1276</v>
      </c>
      <c r="AS1296" s="464" t="s">
        <v>1362</v>
      </c>
      <c r="AT1296" s="381">
        <v>5.7399999999999994E-3</v>
      </c>
      <c r="AV1296" s="464"/>
      <c r="AW1296" s="465"/>
    </row>
    <row r="1297" spans="44:49">
      <c r="AR1297" s="464">
        <f t="shared" si="71"/>
        <v>1277</v>
      </c>
      <c r="AS1297" s="464" t="s">
        <v>1361</v>
      </c>
      <c r="AT1297" s="381">
        <v>6.0499999999999998E-3</v>
      </c>
      <c r="AV1297" s="464"/>
      <c r="AW1297" s="465"/>
    </row>
    <row r="1298" spans="44:49">
      <c r="AR1298" s="464">
        <f t="shared" si="71"/>
        <v>1278</v>
      </c>
      <c r="AS1298" s="464" t="s">
        <v>1360</v>
      </c>
      <c r="AT1298" s="381">
        <v>5.7499999999999999E-3</v>
      </c>
      <c r="AV1298" s="464"/>
      <c r="AW1298" s="465"/>
    </row>
    <row r="1299" spans="44:49">
      <c r="AR1299" s="464">
        <f t="shared" si="71"/>
        <v>1279</v>
      </c>
      <c r="AS1299" s="464" t="s">
        <v>1359</v>
      </c>
      <c r="AT1299" s="381">
        <v>5.7549999999999997E-3</v>
      </c>
      <c r="AV1299" s="464"/>
      <c r="AW1299" s="465"/>
    </row>
    <row r="1300" spans="44:49">
      <c r="AR1300" s="464">
        <f t="shared" si="71"/>
        <v>1280</v>
      </c>
      <c r="AS1300" s="464" t="s">
        <v>1358</v>
      </c>
      <c r="AT1300" s="381">
        <v>5.7799999999999995E-3</v>
      </c>
      <c r="AV1300" s="464"/>
      <c r="AW1300" s="465"/>
    </row>
    <row r="1301" spans="44:49">
      <c r="AR1301" s="464">
        <f t="shared" ref="AR1301:AR1364" si="73">AR1300+1</f>
        <v>1281</v>
      </c>
      <c r="AS1301" s="464" t="s">
        <v>1357</v>
      </c>
      <c r="AT1301" s="381">
        <v>5.7599999999999995E-3</v>
      </c>
      <c r="AV1301" s="464"/>
      <c r="AW1301" s="465"/>
    </row>
    <row r="1302" spans="44:49">
      <c r="AR1302" s="464">
        <f t="shared" si="73"/>
        <v>1282</v>
      </c>
      <c r="AS1302" s="464" t="s">
        <v>1356</v>
      </c>
      <c r="AT1302" s="381">
        <v>5.6200000000000009E-3</v>
      </c>
      <c r="AV1302" s="464"/>
      <c r="AW1302" s="465"/>
    </row>
    <row r="1303" spans="44:49">
      <c r="AR1303" s="464">
        <f t="shared" si="73"/>
        <v>1283</v>
      </c>
      <c r="AS1303" s="464" t="s">
        <v>1355</v>
      </c>
      <c r="AT1303" s="381">
        <v>5.6699999999999997E-3</v>
      </c>
      <c r="AV1303" s="464"/>
      <c r="AW1303" s="465"/>
    </row>
    <row r="1304" spans="44:49">
      <c r="AR1304" s="464">
        <f t="shared" si="73"/>
        <v>1284</v>
      </c>
      <c r="AS1304" s="464" t="s">
        <v>1354</v>
      </c>
      <c r="AT1304" s="381">
        <v>5.4100000000000007E-3</v>
      </c>
      <c r="AV1304" s="464"/>
      <c r="AW1304" s="465"/>
    </row>
    <row r="1305" spans="44:49">
      <c r="AR1305" s="464">
        <f t="shared" si="73"/>
        <v>1285</v>
      </c>
      <c r="AS1305" s="464" t="s">
        <v>1353</v>
      </c>
      <c r="AT1305" s="381">
        <v>5.2399999999999999E-3</v>
      </c>
      <c r="AV1305" s="464"/>
      <c r="AW1305" s="465"/>
    </row>
    <row r="1306" spans="44:49">
      <c r="AR1306" s="464">
        <f t="shared" si="73"/>
        <v>1286</v>
      </c>
      <c r="AS1306" s="464" t="s">
        <v>1352</v>
      </c>
      <c r="AT1306" s="381">
        <v>5.2649999999999997E-3</v>
      </c>
      <c r="AV1306" s="464"/>
      <c r="AW1306" s="465"/>
    </row>
    <row r="1307" spans="44:49">
      <c r="AR1307" s="464">
        <f t="shared" si="73"/>
        <v>1287</v>
      </c>
      <c r="AS1307" s="464" t="s">
        <v>1351</v>
      </c>
      <c r="AT1307" s="381">
        <v>5.2549999999999993E-3</v>
      </c>
      <c r="AV1307" s="464"/>
      <c r="AW1307" s="465"/>
    </row>
    <row r="1308" spans="44:49">
      <c r="AR1308" s="464">
        <f t="shared" si="73"/>
        <v>1288</v>
      </c>
      <c r="AS1308" s="464" t="s">
        <v>1350</v>
      </c>
      <c r="AT1308" s="381">
        <v>5.3700000000000006E-3</v>
      </c>
      <c r="AV1308" s="464"/>
      <c r="AW1308" s="465"/>
    </row>
    <row r="1309" spans="44:49">
      <c r="AR1309" s="464">
        <f t="shared" si="73"/>
        <v>1289</v>
      </c>
      <c r="AS1309" s="464" t="s">
        <v>1349</v>
      </c>
      <c r="AT1309" s="381">
        <v>5.3900000000000007E-3</v>
      </c>
      <c r="AV1309" s="464"/>
      <c r="AW1309" s="465"/>
    </row>
    <row r="1310" spans="44:49">
      <c r="AR1310" s="464">
        <f t="shared" si="73"/>
        <v>1290</v>
      </c>
      <c r="AS1310" s="464" t="s">
        <v>1348</v>
      </c>
      <c r="AT1310" s="381">
        <v>5.9899999999999997E-3</v>
      </c>
      <c r="AV1310" s="464"/>
      <c r="AW1310" s="465"/>
    </row>
    <row r="1311" spans="44:49">
      <c r="AR1311" s="464">
        <f t="shared" si="73"/>
        <v>1291</v>
      </c>
      <c r="AS1311" s="464" t="s">
        <v>1347</v>
      </c>
      <c r="AT1311" s="381">
        <v>6.0400000000000002E-3</v>
      </c>
      <c r="AV1311" s="464"/>
      <c r="AW1311" s="465"/>
    </row>
    <row r="1312" spans="44:49">
      <c r="AR1312" s="464">
        <f t="shared" si="73"/>
        <v>1292</v>
      </c>
      <c r="AS1312" s="464" t="s">
        <v>1346</v>
      </c>
      <c r="AT1312" s="381">
        <v>5.8199999999999997E-3</v>
      </c>
      <c r="AV1312" s="464"/>
      <c r="AW1312" s="465"/>
    </row>
    <row r="1313" spans="44:49">
      <c r="AR1313" s="464">
        <f t="shared" si="73"/>
        <v>1293</v>
      </c>
      <c r="AS1313" s="464" t="s">
        <v>1345</v>
      </c>
      <c r="AT1313" s="381">
        <v>5.7650000000000002E-3</v>
      </c>
      <c r="AV1313" s="464"/>
      <c r="AW1313" s="465"/>
    </row>
    <row r="1314" spans="44:49">
      <c r="AR1314" s="464">
        <f t="shared" si="73"/>
        <v>1294</v>
      </c>
      <c r="AS1314" s="464" t="s">
        <v>1344</v>
      </c>
      <c r="AT1314" s="381">
        <v>5.7949999999999998E-3</v>
      </c>
      <c r="AV1314" s="464"/>
      <c r="AW1314" s="465"/>
    </row>
    <row r="1315" spans="44:49">
      <c r="AR1315" s="464">
        <f t="shared" si="73"/>
        <v>1295</v>
      </c>
      <c r="AS1315" s="464" t="s">
        <v>1343</v>
      </c>
      <c r="AT1315" s="381">
        <v>5.7749999999999998E-3</v>
      </c>
      <c r="AV1315" s="464"/>
      <c r="AW1315" s="465"/>
    </row>
    <row r="1316" spans="44:49">
      <c r="AR1316" s="464">
        <f t="shared" si="73"/>
        <v>1296</v>
      </c>
      <c r="AS1316" s="464" t="s">
        <v>1342</v>
      </c>
      <c r="AT1316" s="381">
        <v>6.2199999999999998E-3</v>
      </c>
      <c r="AV1316" s="464"/>
      <c r="AW1316" s="465"/>
    </row>
    <row r="1317" spans="44:49">
      <c r="AR1317" s="464">
        <f t="shared" si="73"/>
        <v>1297</v>
      </c>
      <c r="AS1317" s="464" t="s">
        <v>1341</v>
      </c>
      <c r="AT1317" s="381">
        <v>6.9599999999999992E-3</v>
      </c>
      <c r="AV1317" s="464"/>
      <c r="AW1317" s="465"/>
    </row>
    <row r="1318" spans="44:49">
      <c r="AR1318" s="464">
        <f t="shared" si="73"/>
        <v>1298</v>
      </c>
      <c r="AS1318" s="464" t="s">
        <v>1340</v>
      </c>
      <c r="AT1318" s="381">
        <v>6.8200000000000005E-3</v>
      </c>
      <c r="AV1318" s="464"/>
      <c r="AW1318" s="465"/>
    </row>
    <row r="1319" spans="44:49">
      <c r="AR1319" s="464">
        <f t="shared" si="73"/>
        <v>1299</v>
      </c>
      <c r="AS1319" s="464" t="s">
        <v>1339</v>
      </c>
      <c r="AT1319" s="381">
        <v>7.1699999999999993E-3</v>
      </c>
      <c r="AV1319" s="464"/>
      <c r="AW1319" s="465"/>
    </row>
    <row r="1320" spans="44:49">
      <c r="AR1320" s="464">
        <f t="shared" si="73"/>
        <v>1300</v>
      </c>
      <c r="AS1320" s="464" t="s">
        <v>1338</v>
      </c>
      <c r="AT1320" s="381">
        <v>6.9599999999999992E-3</v>
      </c>
      <c r="AV1320" s="464"/>
      <c r="AW1320" s="465"/>
    </row>
    <row r="1321" spans="44:49">
      <c r="AR1321" s="464">
        <f t="shared" si="73"/>
        <v>1301</v>
      </c>
      <c r="AS1321" s="464" t="s">
        <v>1337</v>
      </c>
      <c r="AT1321" s="381">
        <v>7.3699999999999998E-3</v>
      </c>
      <c r="AV1321" s="464"/>
      <c r="AW1321" s="465"/>
    </row>
    <row r="1322" spans="44:49">
      <c r="AR1322" s="464">
        <f t="shared" si="73"/>
        <v>1302</v>
      </c>
      <c r="AS1322" s="464" t="s">
        <v>1336</v>
      </c>
      <c r="AT1322" s="381">
        <v>7.43E-3</v>
      </c>
      <c r="AV1322" s="464"/>
      <c r="AW1322" s="465"/>
    </row>
    <row r="1323" spans="44:49">
      <c r="AR1323" s="464">
        <f t="shared" si="73"/>
        <v>1303</v>
      </c>
      <c r="AS1323" s="464" t="s">
        <v>1335</v>
      </c>
      <c r="AT1323" s="381">
        <v>7.3800000000000003E-3</v>
      </c>
      <c r="AV1323" s="464"/>
      <c r="AW1323" s="465"/>
    </row>
    <row r="1324" spans="44:49">
      <c r="AR1324" s="464">
        <f t="shared" si="73"/>
        <v>1304</v>
      </c>
      <c r="AS1324" s="464" t="s">
        <v>1334</v>
      </c>
      <c r="AT1324" s="381">
        <v>7.6E-3</v>
      </c>
      <c r="AV1324" s="464"/>
      <c r="AW1324" s="465"/>
    </row>
    <row r="1325" spans="44:49">
      <c r="AR1325" s="464">
        <f t="shared" si="73"/>
        <v>1305</v>
      </c>
      <c r="AS1325" s="464" t="s">
        <v>1333</v>
      </c>
      <c r="AT1325" s="381">
        <v>7.5749999999999993E-3</v>
      </c>
      <c r="AV1325" s="464"/>
      <c r="AW1325" s="465"/>
    </row>
    <row r="1326" spans="44:49">
      <c r="AR1326" s="464">
        <f t="shared" si="73"/>
        <v>1306</v>
      </c>
      <c r="AS1326" s="464" t="s">
        <v>1332</v>
      </c>
      <c r="AT1326" s="381">
        <v>7.4799999999999997E-3</v>
      </c>
      <c r="AV1326" s="464"/>
      <c r="AW1326" s="465"/>
    </row>
    <row r="1327" spans="44:49">
      <c r="AR1327" s="464">
        <f t="shared" si="73"/>
        <v>1307</v>
      </c>
      <c r="AS1327" s="464" t="s">
        <v>1331</v>
      </c>
      <c r="AT1327" s="381">
        <v>7.3899999999999999E-3</v>
      </c>
      <c r="AV1327" s="464"/>
      <c r="AW1327" s="465"/>
    </row>
    <row r="1328" spans="44:49">
      <c r="AR1328" s="464">
        <f t="shared" si="73"/>
        <v>1308</v>
      </c>
      <c r="AS1328" s="464" t="s">
        <v>1330</v>
      </c>
      <c r="AT1328" s="381">
        <v>7.7800000000000005E-3</v>
      </c>
      <c r="AV1328" s="464"/>
      <c r="AW1328" s="465"/>
    </row>
    <row r="1329" spans="44:49">
      <c r="AR1329" s="464">
        <f t="shared" si="73"/>
        <v>1309</v>
      </c>
      <c r="AS1329" s="464" t="s">
        <v>1329</v>
      </c>
      <c r="AT1329" s="381">
        <v>8.199999999999999E-3</v>
      </c>
      <c r="AV1329" s="464"/>
      <c r="AW1329" s="465"/>
    </row>
    <row r="1330" spans="44:49">
      <c r="AR1330" s="464">
        <f t="shared" si="73"/>
        <v>1310</v>
      </c>
      <c r="AS1330" s="464" t="s">
        <v>1328</v>
      </c>
      <c r="AT1330" s="381">
        <v>8.4799999999999997E-3</v>
      </c>
      <c r="AV1330" s="464"/>
      <c r="AW1330" s="465"/>
    </row>
    <row r="1331" spans="44:49">
      <c r="AR1331" s="464">
        <f t="shared" si="73"/>
        <v>1311</v>
      </c>
      <c r="AS1331" s="464" t="s">
        <v>1327</v>
      </c>
      <c r="AT1331" s="381">
        <v>7.9500000000000005E-3</v>
      </c>
      <c r="AV1331" s="464"/>
      <c r="AW1331" s="465"/>
    </row>
    <row r="1332" spans="44:49">
      <c r="AR1332" s="464">
        <f t="shared" si="73"/>
        <v>1312</v>
      </c>
      <c r="AS1332" s="464" t="s">
        <v>1326</v>
      </c>
      <c r="AT1332" s="381">
        <v>8.09E-3</v>
      </c>
      <c r="AV1332" s="464"/>
      <c r="AW1332" s="465"/>
    </row>
    <row r="1333" spans="44:49">
      <c r="AR1333" s="464">
        <f t="shared" si="73"/>
        <v>1313</v>
      </c>
      <c r="AS1333" s="464" t="s">
        <v>1325</v>
      </c>
      <c r="AT1333" s="381">
        <v>7.9900000000000006E-3</v>
      </c>
      <c r="AV1333" s="464"/>
      <c r="AW1333" s="465"/>
    </row>
    <row r="1334" spans="44:49">
      <c r="AR1334" s="464">
        <f t="shared" si="73"/>
        <v>1314</v>
      </c>
      <c r="AS1334" s="464" t="s">
        <v>1324</v>
      </c>
      <c r="AT1334" s="381">
        <v>9.1199999999999996E-3</v>
      </c>
      <c r="AV1334" s="464"/>
      <c r="AW1334" s="465"/>
    </row>
    <row r="1335" spans="44:49">
      <c r="AR1335" s="464">
        <f t="shared" si="73"/>
        <v>1315</v>
      </c>
      <c r="AS1335" s="464" t="s">
        <v>1323</v>
      </c>
      <c r="AT1335" s="381">
        <v>9.2200000000000008E-3</v>
      </c>
      <c r="AV1335" s="464"/>
      <c r="AW1335" s="465"/>
    </row>
    <row r="1336" spans="44:49">
      <c r="AR1336" s="464">
        <f t="shared" si="73"/>
        <v>1316</v>
      </c>
      <c r="AS1336" s="464" t="s">
        <v>1322</v>
      </c>
      <c r="AT1336" s="381">
        <v>9.58E-3</v>
      </c>
      <c r="AV1336" s="464"/>
      <c r="AW1336" s="465"/>
    </row>
    <row r="1337" spans="44:49">
      <c r="AR1337" s="464">
        <f t="shared" si="73"/>
        <v>1317</v>
      </c>
      <c r="AS1337" s="464" t="s">
        <v>1321</v>
      </c>
      <c r="AT1337" s="381">
        <v>9.9600000000000001E-3</v>
      </c>
      <c r="AV1337" s="464"/>
      <c r="AW1337" s="465"/>
    </row>
    <row r="1338" spans="44:49">
      <c r="AR1338" s="464">
        <f t="shared" si="73"/>
        <v>1318</v>
      </c>
      <c r="AS1338" s="464" t="s">
        <v>1320</v>
      </c>
      <c r="AT1338" s="381">
        <v>9.9299999999999996E-3</v>
      </c>
      <c r="AV1338" s="464"/>
      <c r="AW1338" s="465"/>
    </row>
    <row r="1339" spans="44:49">
      <c r="AR1339" s="464">
        <f t="shared" si="73"/>
        <v>1319</v>
      </c>
      <c r="AS1339" s="464" t="s">
        <v>1319</v>
      </c>
      <c r="AT1339" s="381">
        <v>1.022E-2</v>
      </c>
      <c r="AV1339" s="464"/>
      <c r="AW1339" s="465"/>
    </row>
    <row r="1340" spans="44:49">
      <c r="AR1340" s="464">
        <f t="shared" si="73"/>
        <v>1320</v>
      </c>
      <c r="AS1340" s="464" t="s">
        <v>1318</v>
      </c>
      <c r="AT1340" s="381">
        <v>1.0029999999999999E-2</v>
      </c>
      <c r="AV1340" s="464"/>
      <c r="AW1340" s="465"/>
    </row>
    <row r="1341" spans="44:49">
      <c r="AR1341" s="464">
        <f t="shared" si="73"/>
        <v>1321</v>
      </c>
      <c r="AS1341" s="464" t="s">
        <v>1317</v>
      </c>
      <c r="AT1341" s="381">
        <v>1.0204999999999999E-2</v>
      </c>
      <c r="AV1341" s="464"/>
      <c r="AW1341" s="465"/>
    </row>
    <row r="1342" spans="44:49">
      <c r="AR1342" s="464">
        <f t="shared" si="73"/>
        <v>1322</v>
      </c>
      <c r="AS1342" s="464" t="s">
        <v>1316</v>
      </c>
      <c r="AT1342" s="381">
        <v>1.008E-2</v>
      </c>
      <c r="AV1342" s="464"/>
      <c r="AW1342" s="465"/>
    </row>
    <row r="1343" spans="44:49">
      <c r="AR1343" s="464">
        <f t="shared" si="73"/>
        <v>1323</v>
      </c>
      <c r="AS1343" s="464" t="s">
        <v>1315</v>
      </c>
      <c r="AT1343" s="381">
        <v>1.0869999999999999E-2</v>
      </c>
      <c r="AV1343" s="464"/>
      <c r="AW1343" s="465"/>
    </row>
    <row r="1344" spans="44:49">
      <c r="AR1344" s="464">
        <f t="shared" si="73"/>
        <v>1324</v>
      </c>
      <c r="AS1344" s="464" t="s">
        <v>1314</v>
      </c>
      <c r="AT1344" s="381">
        <v>1.0709999999999999E-2</v>
      </c>
      <c r="AV1344" s="464"/>
      <c r="AW1344" s="465"/>
    </row>
    <row r="1345" spans="44:49">
      <c r="AR1345" s="464">
        <f t="shared" si="73"/>
        <v>1325</v>
      </c>
      <c r="AS1345" s="464" t="s">
        <v>1313</v>
      </c>
      <c r="AT1345" s="381">
        <v>1.0800000000000001E-2</v>
      </c>
      <c r="AV1345" s="464"/>
      <c r="AW1345" s="465"/>
    </row>
    <row r="1346" spans="44:49">
      <c r="AR1346" s="464">
        <f t="shared" si="73"/>
        <v>1326</v>
      </c>
      <c r="AS1346" s="464" t="s">
        <v>1312</v>
      </c>
      <c r="AT1346" s="381">
        <v>1.1599999999999999E-2</v>
      </c>
      <c r="AV1346" s="464"/>
      <c r="AW1346" s="465"/>
    </row>
    <row r="1347" spans="44:49">
      <c r="AR1347" s="464">
        <f t="shared" si="73"/>
        <v>1327</v>
      </c>
      <c r="AS1347" s="464" t="s">
        <v>1311</v>
      </c>
      <c r="AT1347" s="381">
        <v>1.1625000000000002E-2</v>
      </c>
      <c r="AV1347" s="464"/>
      <c r="AW1347" s="465"/>
    </row>
    <row r="1348" spans="44:49">
      <c r="AR1348" s="464">
        <f t="shared" si="73"/>
        <v>1328</v>
      </c>
      <c r="AS1348" s="464" t="s">
        <v>1310</v>
      </c>
      <c r="AT1348" s="381">
        <v>1.163E-2</v>
      </c>
      <c r="AV1348" s="464"/>
      <c r="AW1348" s="465"/>
    </row>
    <row r="1349" spans="44:49">
      <c r="AR1349" s="464">
        <f t="shared" si="73"/>
        <v>1329</v>
      </c>
      <c r="AS1349" s="464" t="s">
        <v>1309</v>
      </c>
      <c r="AT1349" s="381">
        <v>1.191E-2</v>
      </c>
      <c r="AV1349" s="464"/>
      <c r="AW1349" s="465"/>
    </row>
    <row r="1350" spans="44:49">
      <c r="AR1350" s="464">
        <f t="shared" si="73"/>
        <v>1330</v>
      </c>
      <c r="AS1350" s="464" t="s">
        <v>1308</v>
      </c>
      <c r="AT1350" s="381">
        <v>1.1479999999999999E-2</v>
      </c>
      <c r="AV1350" s="464"/>
      <c r="AW1350" s="465"/>
    </row>
    <row r="1351" spans="44:49">
      <c r="AR1351" s="464">
        <f t="shared" si="73"/>
        <v>1331</v>
      </c>
      <c r="AS1351" s="464" t="s">
        <v>1307</v>
      </c>
      <c r="AT1351" s="381">
        <v>1.0920000000000001E-2</v>
      </c>
      <c r="AV1351" s="464"/>
      <c r="AW1351" s="465"/>
    </row>
    <row r="1352" spans="44:49">
      <c r="AR1352" s="464">
        <f t="shared" si="73"/>
        <v>1332</v>
      </c>
      <c r="AS1352" s="464" t="s">
        <v>1306</v>
      </c>
      <c r="AT1352" s="381">
        <v>1.042E-2</v>
      </c>
      <c r="AV1352" s="464"/>
      <c r="AW1352" s="465"/>
    </row>
    <row r="1353" spans="44:49">
      <c r="AR1353" s="464">
        <f t="shared" si="73"/>
        <v>1333</v>
      </c>
      <c r="AS1353" s="464" t="s">
        <v>1305</v>
      </c>
      <c r="AT1353" s="381">
        <v>1.107E-2</v>
      </c>
      <c r="AV1353" s="464"/>
      <c r="AW1353" s="465"/>
    </row>
    <row r="1354" spans="44:49">
      <c r="AR1354" s="464">
        <f t="shared" si="73"/>
        <v>1334</v>
      </c>
      <c r="AS1354" s="464" t="s">
        <v>1304</v>
      </c>
      <c r="AT1354" s="381">
        <v>1.103E-2</v>
      </c>
      <c r="AV1354" s="464"/>
      <c r="AW1354" s="465"/>
    </row>
    <row r="1355" spans="44:49">
      <c r="AR1355" s="464">
        <f t="shared" si="73"/>
        <v>1335</v>
      </c>
      <c r="AS1355" s="464" t="s">
        <v>1303</v>
      </c>
      <c r="AT1355" s="381">
        <v>1.0945E-2</v>
      </c>
      <c r="AV1355" s="464"/>
      <c r="AW1355" s="465"/>
    </row>
    <row r="1356" spans="44:49">
      <c r="AR1356" s="464">
        <f t="shared" si="73"/>
        <v>1336</v>
      </c>
      <c r="AS1356" s="464" t="s">
        <v>1302</v>
      </c>
      <c r="AT1356" s="381">
        <v>1.1359999999999999E-2</v>
      </c>
      <c r="AV1356" s="464"/>
      <c r="AW1356" s="465"/>
    </row>
    <row r="1357" spans="44:49">
      <c r="AR1357" s="464">
        <f t="shared" si="73"/>
        <v>1337</v>
      </c>
      <c r="AS1357" s="464" t="s">
        <v>1301</v>
      </c>
      <c r="AT1357" s="381">
        <v>1.1650000000000001E-2</v>
      </c>
      <c r="AV1357" s="464"/>
      <c r="AW1357" s="465"/>
    </row>
    <row r="1358" spans="44:49">
      <c r="AR1358" s="464">
        <f t="shared" si="73"/>
        <v>1338</v>
      </c>
      <c r="AS1358" s="464" t="s">
        <v>1300</v>
      </c>
      <c r="AT1358" s="381">
        <v>1.1479999999999999E-2</v>
      </c>
      <c r="AV1358" s="464"/>
      <c r="AW1358" s="465"/>
    </row>
    <row r="1359" spans="44:49">
      <c r="AR1359" s="464">
        <f t="shared" si="73"/>
        <v>1339</v>
      </c>
      <c r="AS1359" s="464" t="s">
        <v>1299</v>
      </c>
      <c r="AT1359" s="381">
        <v>1.201E-2</v>
      </c>
      <c r="AV1359" s="464"/>
      <c r="AW1359" s="465"/>
    </row>
    <row r="1360" spans="44:49">
      <c r="AR1360" s="464">
        <f t="shared" si="73"/>
        <v>1340</v>
      </c>
      <c r="AS1360" s="464" t="s">
        <v>1298</v>
      </c>
      <c r="AT1360" s="381">
        <v>1.154E-2</v>
      </c>
      <c r="AV1360" s="464"/>
      <c r="AW1360" s="465"/>
    </row>
    <row r="1361" spans="44:49">
      <c r="AR1361" s="464">
        <f t="shared" si="73"/>
        <v>1341</v>
      </c>
      <c r="AS1361" s="464" t="s">
        <v>1297</v>
      </c>
      <c r="AT1361" s="381">
        <v>1.1679999999999999E-2</v>
      </c>
      <c r="AV1361" s="464"/>
      <c r="AW1361" s="465"/>
    </row>
    <row r="1362" spans="44:49">
      <c r="AR1362" s="464">
        <f t="shared" si="73"/>
        <v>1342</v>
      </c>
      <c r="AS1362" s="464" t="s">
        <v>1296</v>
      </c>
      <c r="AT1362" s="381">
        <v>1.141E-2</v>
      </c>
      <c r="AV1362" s="464"/>
      <c r="AW1362" s="465"/>
    </row>
    <row r="1363" spans="44:49">
      <c r="AR1363" s="464">
        <f t="shared" si="73"/>
        <v>1343</v>
      </c>
      <c r="AS1363" s="464" t="s">
        <v>1295</v>
      </c>
      <c r="AT1363" s="381">
        <v>1.1089999999999999E-2</v>
      </c>
      <c r="AV1363" s="464"/>
      <c r="AW1363" s="465"/>
    </row>
    <row r="1364" spans="44:49">
      <c r="AR1364" s="464">
        <f t="shared" si="73"/>
        <v>1344</v>
      </c>
      <c r="AS1364" s="464" t="s">
        <v>1294</v>
      </c>
      <c r="AT1364" s="381">
        <v>9.7999999999999997E-3</v>
      </c>
      <c r="AV1364" s="464"/>
      <c r="AW1364" s="465"/>
    </row>
    <row r="1365" spans="44:49">
      <c r="AR1365" s="464">
        <f t="shared" ref="AR1365:AR1428" si="74">AR1364+1</f>
        <v>1345</v>
      </c>
      <c r="AS1365" s="464" t="s">
        <v>1293</v>
      </c>
      <c r="AT1365" s="381">
        <v>1.008E-2</v>
      </c>
      <c r="AV1365" s="464"/>
      <c r="AW1365" s="465"/>
    </row>
    <row r="1366" spans="44:49">
      <c r="AR1366" s="464">
        <f t="shared" si="74"/>
        <v>1346</v>
      </c>
      <c r="AS1366" s="464" t="s">
        <v>1292</v>
      </c>
      <c r="AT1366" s="381">
        <v>1.0320000000000001E-2</v>
      </c>
      <c r="AV1366" s="464"/>
      <c r="AW1366" s="465"/>
    </row>
    <row r="1367" spans="44:49">
      <c r="AR1367" s="464">
        <f t="shared" si="74"/>
        <v>1347</v>
      </c>
      <c r="AS1367" s="464" t="s">
        <v>1291</v>
      </c>
      <c r="AT1367" s="381">
        <v>1.0345E-2</v>
      </c>
      <c r="AV1367" s="464"/>
      <c r="AW1367" s="465"/>
    </row>
    <row r="1368" spans="44:49">
      <c r="AR1368" s="464">
        <f t="shared" si="74"/>
        <v>1348</v>
      </c>
      <c r="AS1368" s="464" t="s">
        <v>1290</v>
      </c>
      <c r="AT1368" s="381">
        <v>1.048E-2</v>
      </c>
      <c r="AV1368" s="464"/>
      <c r="AW1368" s="465"/>
    </row>
    <row r="1369" spans="44:49">
      <c r="AR1369" s="464">
        <f t="shared" si="74"/>
        <v>1349</v>
      </c>
      <c r="AS1369" s="464" t="s">
        <v>1289</v>
      </c>
      <c r="AT1369" s="381">
        <v>1.0629999999999999E-2</v>
      </c>
      <c r="AV1369" s="464"/>
      <c r="AW1369" s="465"/>
    </row>
    <row r="1370" spans="44:49">
      <c r="AR1370" s="464">
        <f t="shared" si="74"/>
        <v>1350</v>
      </c>
      <c r="AS1370" s="464" t="s">
        <v>1288</v>
      </c>
      <c r="AT1370" s="381">
        <v>1.0369999999999999E-2</v>
      </c>
      <c r="AV1370" s="464"/>
      <c r="AW1370" s="465"/>
    </row>
    <row r="1371" spans="44:49">
      <c r="AR1371" s="464">
        <f t="shared" si="74"/>
        <v>1351</v>
      </c>
      <c r="AS1371" s="464" t="s">
        <v>1287</v>
      </c>
      <c r="AT1371" s="381">
        <v>1.073E-2</v>
      </c>
      <c r="AV1371" s="464"/>
      <c r="AW1371" s="465"/>
    </row>
    <row r="1372" spans="44:49">
      <c r="AR1372" s="464">
        <f t="shared" si="74"/>
        <v>1352</v>
      </c>
      <c r="AS1372" s="464" t="s">
        <v>1286</v>
      </c>
      <c r="AT1372" s="381">
        <v>9.4299999999999991E-3</v>
      </c>
      <c r="AV1372" s="464"/>
      <c r="AW1372" s="465"/>
    </row>
    <row r="1373" spans="44:49">
      <c r="AR1373" s="464">
        <f t="shared" si="74"/>
        <v>1353</v>
      </c>
      <c r="AS1373" s="464" t="s">
        <v>1285</v>
      </c>
      <c r="AT1373" s="381">
        <v>8.4700000000000001E-3</v>
      </c>
      <c r="AV1373" s="464"/>
      <c r="AW1373" s="465"/>
    </row>
    <row r="1374" spans="44:49">
      <c r="AR1374" s="464">
        <f t="shared" si="74"/>
        <v>1354</v>
      </c>
      <c r="AS1374" s="464" t="s">
        <v>1284</v>
      </c>
      <c r="AT1374" s="381">
        <v>8.4799999999999997E-3</v>
      </c>
      <c r="AV1374" s="464"/>
      <c r="AW1374" s="465"/>
    </row>
    <row r="1375" spans="44:49">
      <c r="AR1375" s="464">
        <f t="shared" si="74"/>
        <v>1355</v>
      </c>
      <c r="AS1375" s="464" t="s">
        <v>1283</v>
      </c>
      <c r="AT1375" s="381">
        <v>8.3850000000000001E-3</v>
      </c>
      <c r="AV1375" s="464"/>
      <c r="AW1375" s="465"/>
    </row>
    <row r="1376" spans="44:49">
      <c r="AR1376" s="464">
        <f t="shared" si="74"/>
        <v>1356</v>
      </c>
      <c r="AS1376" s="464" t="s">
        <v>1282</v>
      </c>
      <c r="AT1376" s="381">
        <v>8.5699999999999995E-3</v>
      </c>
      <c r="AV1376" s="464"/>
      <c r="AW1376" s="465"/>
    </row>
    <row r="1377" spans="44:49">
      <c r="AR1377" s="464">
        <f t="shared" si="74"/>
        <v>1357</v>
      </c>
      <c r="AS1377" s="464" t="s">
        <v>1281</v>
      </c>
      <c r="AT1377" s="381">
        <v>8.2299999999999995E-3</v>
      </c>
      <c r="AV1377" s="464"/>
      <c r="AW1377" s="465"/>
    </row>
    <row r="1378" spans="44:49">
      <c r="AR1378" s="464">
        <f t="shared" si="74"/>
        <v>1358</v>
      </c>
      <c r="AS1378" s="464" t="s">
        <v>1280</v>
      </c>
      <c r="AT1378" s="381">
        <v>9.2600000000000009E-3</v>
      </c>
      <c r="AV1378" s="464"/>
      <c r="AW1378" s="465"/>
    </row>
    <row r="1379" spans="44:49">
      <c r="AR1379" s="464">
        <f t="shared" si="74"/>
        <v>1359</v>
      </c>
      <c r="AS1379" s="464" t="s">
        <v>1279</v>
      </c>
      <c r="AT1379" s="381">
        <v>9.2200000000000008E-3</v>
      </c>
      <c r="AV1379" s="464"/>
      <c r="AW1379" s="465"/>
    </row>
    <row r="1380" spans="44:49">
      <c r="AR1380" s="464">
        <f t="shared" si="74"/>
        <v>1360</v>
      </c>
      <c r="AS1380" s="464" t="s">
        <v>1278</v>
      </c>
      <c r="AT1380" s="381">
        <v>9.130000000000001E-3</v>
      </c>
      <c r="AV1380" s="464"/>
      <c r="AW1380" s="465"/>
    </row>
    <row r="1381" spans="44:49">
      <c r="AR1381" s="464">
        <f t="shared" si="74"/>
        <v>1361</v>
      </c>
      <c r="AS1381" s="464" t="s">
        <v>1277</v>
      </c>
      <c r="AT1381" s="381">
        <v>9.2200000000000008E-3</v>
      </c>
      <c r="AV1381" s="464"/>
      <c r="AW1381" s="465"/>
    </row>
    <row r="1382" spans="44:49">
      <c r="AR1382" s="464">
        <f t="shared" si="74"/>
        <v>1362</v>
      </c>
      <c r="AS1382" s="464" t="s">
        <v>1276</v>
      </c>
      <c r="AT1382" s="381">
        <v>9.1500000000000001E-3</v>
      </c>
      <c r="AV1382" s="464"/>
      <c r="AW1382" s="465"/>
    </row>
    <row r="1383" spans="44:49">
      <c r="AR1383" s="464">
        <f t="shared" si="74"/>
        <v>1363</v>
      </c>
      <c r="AS1383" s="464" t="s">
        <v>1275</v>
      </c>
      <c r="AT1383" s="381">
        <v>9.5899999999999996E-3</v>
      </c>
      <c r="AV1383" s="464"/>
      <c r="AW1383" s="465"/>
    </row>
    <row r="1384" spans="44:49">
      <c r="AR1384" s="464">
        <f t="shared" si="74"/>
        <v>1364</v>
      </c>
      <c r="AS1384" s="464" t="s">
        <v>1274</v>
      </c>
      <c r="AT1384" s="381">
        <v>9.9299999999999996E-3</v>
      </c>
      <c r="AV1384" s="464"/>
      <c r="AW1384" s="465"/>
    </row>
    <row r="1385" spans="44:49">
      <c r="AR1385" s="464">
        <f t="shared" si="74"/>
        <v>1365</v>
      </c>
      <c r="AS1385" s="464" t="s">
        <v>1273</v>
      </c>
      <c r="AT1385" s="381">
        <v>9.6399999999999993E-3</v>
      </c>
      <c r="AV1385" s="464"/>
      <c r="AW1385" s="465"/>
    </row>
    <row r="1386" spans="44:49">
      <c r="AR1386" s="464">
        <f t="shared" si="74"/>
        <v>1366</v>
      </c>
      <c r="AS1386" s="464" t="s">
        <v>1272</v>
      </c>
      <c r="AT1386" s="381">
        <v>9.2300000000000004E-3</v>
      </c>
      <c r="AV1386" s="464"/>
      <c r="AW1386" s="465"/>
    </row>
    <row r="1387" spans="44:49">
      <c r="AR1387" s="464">
        <f t="shared" si="74"/>
        <v>1367</v>
      </c>
      <c r="AS1387" s="464" t="s">
        <v>1271</v>
      </c>
      <c r="AT1387" s="381">
        <v>8.8000000000000005E-3</v>
      </c>
      <c r="AV1387" s="464"/>
      <c r="AW1387" s="465"/>
    </row>
    <row r="1388" spans="44:49">
      <c r="AR1388" s="464">
        <f t="shared" si="74"/>
        <v>1368</v>
      </c>
      <c r="AS1388" s="464" t="s">
        <v>1270</v>
      </c>
      <c r="AT1388" s="381">
        <v>8.794999999999999E-3</v>
      </c>
      <c r="AV1388" s="464"/>
      <c r="AW1388" s="465"/>
    </row>
    <row r="1389" spans="44:49">
      <c r="AR1389" s="464">
        <f t="shared" si="74"/>
        <v>1369</v>
      </c>
      <c r="AS1389" s="464" t="s">
        <v>1269</v>
      </c>
      <c r="AT1389" s="381">
        <v>8.7600000000000004E-3</v>
      </c>
      <c r="AV1389" s="464"/>
      <c r="AW1389" s="465"/>
    </row>
    <row r="1390" spans="44:49">
      <c r="AR1390" s="464">
        <f t="shared" si="74"/>
        <v>1370</v>
      </c>
      <c r="AS1390" s="464" t="s">
        <v>1268</v>
      </c>
      <c r="AT1390" s="381">
        <v>9.3299999999999998E-3</v>
      </c>
      <c r="AV1390" s="464"/>
      <c r="AW1390" s="465"/>
    </row>
    <row r="1391" spans="44:49">
      <c r="AR1391" s="464">
        <f t="shared" si="74"/>
        <v>1371</v>
      </c>
      <c r="AS1391" s="464" t="s">
        <v>1267</v>
      </c>
      <c r="AT1391" s="381">
        <v>9.9600000000000001E-3</v>
      </c>
      <c r="AV1391" s="464"/>
      <c r="AW1391" s="465"/>
    </row>
    <row r="1392" spans="44:49">
      <c r="AR1392" s="464">
        <f t="shared" si="74"/>
        <v>1372</v>
      </c>
      <c r="AS1392" s="464" t="s">
        <v>1266</v>
      </c>
      <c r="AT1392" s="381">
        <v>9.9600000000000001E-3</v>
      </c>
      <c r="AV1392" s="464"/>
      <c r="AW1392" s="465"/>
    </row>
    <row r="1393" spans="44:49">
      <c r="AR1393" s="464">
        <f t="shared" si="74"/>
        <v>1373</v>
      </c>
      <c r="AS1393" s="464" t="s">
        <v>1265</v>
      </c>
      <c r="AT1393" s="381">
        <v>9.6699999999999998E-3</v>
      </c>
      <c r="AV1393" s="464"/>
      <c r="AW1393" s="465"/>
    </row>
    <row r="1394" spans="44:49">
      <c r="AR1394" s="464">
        <f t="shared" si="74"/>
        <v>1374</v>
      </c>
      <c r="AS1394" s="464" t="s">
        <v>1264</v>
      </c>
      <c r="AT1394" s="381">
        <v>8.2699999999999996E-3</v>
      </c>
      <c r="AV1394" s="464"/>
      <c r="AW1394" s="465"/>
    </row>
    <row r="1395" spans="44:49">
      <c r="AR1395" s="464">
        <f t="shared" si="74"/>
        <v>1375</v>
      </c>
      <c r="AS1395" s="464" t="s">
        <v>1263</v>
      </c>
      <c r="AT1395" s="381">
        <v>8.2850000000000007E-3</v>
      </c>
      <c r="AV1395" s="464"/>
      <c r="AW1395" s="465"/>
    </row>
    <row r="1396" spans="44:49">
      <c r="AR1396" s="464">
        <f t="shared" si="74"/>
        <v>1376</v>
      </c>
      <c r="AS1396" s="464" t="s">
        <v>1262</v>
      </c>
      <c r="AT1396" s="381">
        <v>8.1349999999999999E-3</v>
      </c>
      <c r="AV1396" s="464"/>
      <c r="AW1396" s="465"/>
    </row>
    <row r="1397" spans="44:49">
      <c r="AR1397" s="464">
        <f t="shared" si="74"/>
        <v>1377</v>
      </c>
      <c r="AS1397" s="464" t="s">
        <v>1261</v>
      </c>
      <c r="AT1397" s="381">
        <v>8.7500000000000008E-3</v>
      </c>
      <c r="AV1397" s="464"/>
      <c r="AW1397" s="465"/>
    </row>
    <row r="1398" spans="44:49">
      <c r="AR1398" s="464">
        <f t="shared" si="74"/>
        <v>1378</v>
      </c>
      <c r="AS1398" s="464" t="s">
        <v>1260</v>
      </c>
      <c r="AT1398" s="381">
        <v>8.1100000000000009E-3</v>
      </c>
      <c r="AV1398" s="464"/>
      <c r="AW1398" s="465"/>
    </row>
    <row r="1399" spans="44:49">
      <c r="AR1399" s="464">
        <f t="shared" si="74"/>
        <v>1379</v>
      </c>
      <c r="AS1399" s="464" t="s">
        <v>1259</v>
      </c>
      <c r="AT1399" s="381">
        <v>8.2100000000000003E-3</v>
      </c>
      <c r="AV1399" s="464"/>
      <c r="AW1399" s="465"/>
    </row>
    <row r="1400" spans="44:49">
      <c r="AR1400" s="464">
        <f t="shared" si="74"/>
        <v>1380</v>
      </c>
      <c r="AS1400" s="464" t="s">
        <v>1258</v>
      </c>
      <c r="AT1400" s="381">
        <v>8.1499999999999993E-3</v>
      </c>
      <c r="AV1400" s="464"/>
      <c r="AW1400" s="465"/>
    </row>
    <row r="1401" spans="44:49">
      <c r="AR1401" s="464">
        <f t="shared" si="74"/>
        <v>1381</v>
      </c>
      <c r="AS1401" s="464" t="s">
        <v>1257</v>
      </c>
      <c r="AT1401" s="381">
        <v>7.4700000000000001E-3</v>
      </c>
      <c r="AV1401" s="464"/>
      <c r="AW1401" s="465"/>
    </row>
    <row r="1402" spans="44:49">
      <c r="AR1402" s="464">
        <f t="shared" si="74"/>
        <v>1382</v>
      </c>
      <c r="AS1402" s="464" t="s">
        <v>1256</v>
      </c>
      <c r="AT1402" s="381">
        <v>7.6800000000000002E-3</v>
      </c>
      <c r="AV1402" s="464"/>
      <c r="AW1402" s="465"/>
    </row>
    <row r="1403" spans="44:49">
      <c r="AR1403" s="464">
        <f t="shared" si="74"/>
        <v>1383</v>
      </c>
      <c r="AS1403" s="464" t="s">
        <v>1255</v>
      </c>
      <c r="AT1403" s="381">
        <v>7.3299999999999997E-3</v>
      </c>
      <c r="AV1403" s="464"/>
      <c r="AW1403" s="465"/>
    </row>
    <row r="1404" spans="44:49">
      <c r="AR1404" s="464">
        <f t="shared" si="74"/>
        <v>1384</v>
      </c>
      <c r="AS1404" s="464" t="s">
        <v>1254</v>
      </c>
      <c r="AT1404" s="381">
        <v>7.3400000000000002E-3</v>
      </c>
      <c r="AV1404" s="464"/>
      <c r="AW1404" s="465"/>
    </row>
    <row r="1405" spans="44:49">
      <c r="AR1405" s="464">
        <f t="shared" si="74"/>
        <v>1385</v>
      </c>
      <c r="AS1405" s="464" t="s">
        <v>1253</v>
      </c>
      <c r="AT1405" s="381">
        <v>7.7400000000000004E-3</v>
      </c>
      <c r="AV1405" s="464"/>
      <c r="AW1405" s="465"/>
    </row>
    <row r="1406" spans="44:49">
      <c r="AR1406" s="464">
        <f t="shared" si="74"/>
        <v>1386</v>
      </c>
      <c r="AS1406" s="464" t="s">
        <v>1252</v>
      </c>
      <c r="AT1406" s="381">
        <v>7.5599999999999999E-3</v>
      </c>
      <c r="AV1406" s="464"/>
      <c r="AW1406" s="465"/>
    </row>
    <row r="1407" spans="44:49">
      <c r="AR1407" s="464">
        <f t="shared" si="74"/>
        <v>1387</v>
      </c>
      <c r="AS1407" s="464" t="s">
        <v>1251</v>
      </c>
      <c r="AT1407" s="381">
        <v>7.4099999999999999E-3</v>
      </c>
      <c r="AV1407" s="464"/>
      <c r="AW1407" s="465"/>
    </row>
    <row r="1408" spans="44:49">
      <c r="AR1408" s="464">
        <f t="shared" si="74"/>
        <v>1388</v>
      </c>
      <c r="AS1408" s="464" t="s">
        <v>1250</v>
      </c>
      <c r="AT1408" s="381">
        <v>7.3450000000000008E-3</v>
      </c>
      <c r="AV1408" s="464"/>
      <c r="AW1408" s="465"/>
    </row>
    <row r="1409" spans="44:49">
      <c r="AR1409" s="464">
        <f t="shared" si="74"/>
        <v>1389</v>
      </c>
      <c r="AS1409" s="464" t="s">
        <v>1249</v>
      </c>
      <c r="AT1409" s="381">
        <v>6.9499999999999996E-3</v>
      </c>
      <c r="AV1409" s="464"/>
      <c r="AW1409" s="465"/>
    </row>
    <row r="1410" spans="44:49">
      <c r="AR1410" s="464">
        <f t="shared" si="74"/>
        <v>1390</v>
      </c>
      <c r="AS1410" s="464" t="s">
        <v>1248</v>
      </c>
      <c r="AT1410" s="381">
        <v>7.2399999999999999E-3</v>
      </c>
      <c r="AV1410" s="464"/>
      <c r="AW1410" s="465"/>
    </row>
    <row r="1411" spans="44:49">
      <c r="AR1411" s="464">
        <f t="shared" si="74"/>
        <v>1391</v>
      </c>
      <c r="AS1411" s="464" t="s">
        <v>1247</v>
      </c>
      <c r="AT1411" s="381">
        <v>7.3800000000000003E-3</v>
      </c>
      <c r="AV1411" s="464"/>
      <c r="AW1411" s="465"/>
    </row>
    <row r="1412" spans="44:49">
      <c r="AR1412" s="464">
        <f t="shared" si="74"/>
        <v>1392</v>
      </c>
      <c r="AS1412" s="464" t="s">
        <v>1246</v>
      </c>
      <c r="AT1412" s="381">
        <v>7.5700000000000003E-3</v>
      </c>
      <c r="AV1412" s="464"/>
      <c r="AW1412" s="465"/>
    </row>
    <row r="1413" spans="44:49">
      <c r="AR1413" s="464">
        <f t="shared" si="74"/>
        <v>1393</v>
      </c>
      <c r="AS1413" s="464" t="s">
        <v>1245</v>
      </c>
      <c r="AT1413" s="381">
        <v>7.5799999999999999E-3</v>
      </c>
      <c r="AV1413" s="464"/>
      <c r="AW1413" s="465"/>
    </row>
    <row r="1414" spans="44:49">
      <c r="AR1414" s="464">
        <f t="shared" si="74"/>
        <v>1394</v>
      </c>
      <c r="AS1414" s="464" t="s">
        <v>1244</v>
      </c>
      <c r="AT1414" s="381">
        <v>7.6349999999999994E-3</v>
      </c>
      <c r="AV1414" s="464"/>
      <c r="AW1414" s="465"/>
    </row>
    <row r="1415" spans="44:49">
      <c r="AR1415" s="464">
        <f t="shared" si="74"/>
        <v>1395</v>
      </c>
      <c r="AS1415" s="464" t="s">
        <v>1243</v>
      </c>
      <c r="AT1415" s="381">
        <v>7.6949999999999996E-3</v>
      </c>
      <c r="AV1415" s="464"/>
      <c r="AW1415" s="465"/>
    </row>
    <row r="1416" spans="44:49">
      <c r="AR1416" s="464">
        <f t="shared" si="74"/>
        <v>1396</v>
      </c>
      <c r="AS1416" s="464" t="s">
        <v>1242</v>
      </c>
      <c r="AT1416" s="381">
        <v>7.7499999999999999E-3</v>
      </c>
      <c r="AV1416" s="464"/>
      <c r="AW1416" s="465"/>
    </row>
    <row r="1417" spans="44:49">
      <c r="AR1417" s="464">
        <f t="shared" si="74"/>
        <v>1397</v>
      </c>
      <c r="AS1417" s="464" t="s">
        <v>1241</v>
      </c>
      <c r="AT1417" s="381">
        <v>8.7399999999999995E-3</v>
      </c>
      <c r="AV1417" s="464"/>
      <c r="AW1417" s="465"/>
    </row>
    <row r="1418" spans="44:49">
      <c r="AR1418" s="464">
        <f t="shared" si="74"/>
        <v>1398</v>
      </c>
      <c r="AS1418" s="464" t="s">
        <v>1240</v>
      </c>
      <c r="AT1418" s="381">
        <v>8.8800000000000007E-3</v>
      </c>
      <c r="AV1418" s="464"/>
      <c r="AW1418" s="465"/>
    </row>
    <row r="1419" spans="44:49">
      <c r="AR1419" s="464">
        <f t="shared" si="74"/>
        <v>1399</v>
      </c>
      <c r="AS1419" s="464" t="s">
        <v>1239</v>
      </c>
      <c r="AT1419" s="381">
        <v>9.2300000000000004E-3</v>
      </c>
      <c r="AV1419" s="464"/>
      <c r="AW1419" s="465"/>
    </row>
    <row r="1420" spans="44:49">
      <c r="AR1420" s="464">
        <f t="shared" si="74"/>
        <v>1400</v>
      </c>
      <c r="AS1420" s="464" t="s">
        <v>1238</v>
      </c>
      <c r="AT1420" s="381">
        <v>9.2200000000000008E-3</v>
      </c>
      <c r="AV1420" s="464"/>
      <c r="AW1420" s="465"/>
    </row>
    <row r="1421" spans="44:49">
      <c r="AR1421" s="464">
        <f t="shared" si="74"/>
        <v>1401</v>
      </c>
      <c r="AS1421" s="464" t="s">
        <v>1237</v>
      </c>
      <c r="AT1421" s="381">
        <v>9.2149999999999992E-3</v>
      </c>
      <c r="AV1421" s="464"/>
      <c r="AW1421" s="465"/>
    </row>
    <row r="1422" spans="44:49">
      <c r="AR1422" s="464">
        <f t="shared" si="74"/>
        <v>1402</v>
      </c>
      <c r="AS1422" s="464" t="s">
        <v>1236</v>
      </c>
      <c r="AT1422" s="381">
        <v>9.2899999999999996E-3</v>
      </c>
      <c r="AV1422" s="464"/>
      <c r="AW1422" s="465"/>
    </row>
    <row r="1423" spans="44:49">
      <c r="AR1423" s="464">
        <f t="shared" si="74"/>
        <v>1403</v>
      </c>
      <c r="AS1423" s="464" t="s">
        <v>1235</v>
      </c>
      <c r="AT1423" s="381">
        <v>9.2250000000000006E-3</v>
      </c>
      <c r="AV1423" s="464"/>
      <c r="AW1423" s="465"/>
    </row>
    <row r="1424" spans="44:49">
      <c r="AR1424" s="464">
        <f t="shared" si="74"/>
        <v>1404</v>
      </c>
      <c r="AS1424" s="464" t="s">
        <v>1234</v>
      </c>
      <c r="AT1424" s="381">
        <v>1.014E-2</v>
      </c>
      <c r="AV1424" s="464"/>
      <c r="AW1424" s="465"/>
    </row>
    <row r="1425" spans="44:49">
      <c r="AR1425" s="464">
        <f t="shared" si="74"/>
        <v>1405</v>
      </c>
      <c r="AS1425" s="464" t="s">
        <v>1233</v>
      </c>
      <c r="AT1425" s="381">
        <v>9.7699999999999992E-3</v>
      </c>
      <c r="AV1425" s="464"/>
      <c r="AW1425" s="465"/>
    </row>
    <row r="1426" spans="44:49">
      <c r="AR1426" s="464">
        <f t="shared" si="74"/>
        <v>1406</v>
      </c>
      <c r="AS1426" s="464" t="s">
        <v>1232</v>
      </c>
      <c r="AT1426" s="381">
        <v>9.7199999999999995E-3</v>
      </c>
      <c r="AV1426" s="464"/>
      <c r="AW1426" s="465"/>
    </row>
    <row r="1427" spans="44:49">
      <c r="AR1427" s="464">
        <f t="shared" si="74"/>
        <v>1407</v>
      </c>
      <c r="AS1427" s="464" t="s">
        <v>1231</v>
      </c>
      <c r="AT1427" s="381">
        <v>9.6950000000000005E-3</v>
      </c>
      <c r="AV1427" s="464"/>
      <c r="AW1427" s="465"/>
    </row>
    <row r="1428" spans="44:49">
      <c r="AR1428" s="464">
        <f t="shared" si="74"/>
        <v>1408</v>
      </c>
      <c r="AS1428" s="464" t="s">
        <v>1230</v>
      </c>
      <c r="AT1428" s="381">
        <v>9.7299999999999991E-3</v>
      </c>
      <c r="AV1428" s="464"/>
      <c r="AW1428" s="465"/>
    </row>
    <row r="1429" spans="44:49">
      <c r="AR1429" s="464">
        <f t="shared" ref="AR1429:AR1492" si="75">AR1428+1</f>
        <v>1409</v>
      </c>
      <c r="AS1429" s="464" t="s">
        <v>1229</v>
      </c>
      <c r="AT1429" s="381">
        <v>9.7199999999999995E-3</v>
      </c>
      <c r="AV1429" s="464"/>
      <c r="AW1429" s="465"/>
    </row>
    <row r="1430" spans="44:49">
      <c r="AR1430" s="464">
        <f t="shared" si="75"/>
        <v>1410</v>
      </c>
      <c r="AS1430" s="464" t="s">
        <v>1228</v>
      </c>
      <c r="AT1430" s="381">
        <v>1.0880000000000001E-2</v>
      </c>
      <c r="AV1430" s="464"/>
      <c r="AW1430" s="465"/>
    </row>
    <row r="1431" spans="44:49">
      <c r="AR1431" s="464">
        <f t="shared" si="75"/>
        <v>1411</v>
      </c>
      <c r="AS1431" s="464" t="s">
        <v>1227</v>
      </c>
      <c r="AT1431" s="381">
        <v>1.0880000000000001E-2</v>
      </c>
      <c r="AV1431" s="464"/>
      <c r="AW1431" s="465"/>
    </row>
    <row r="1432" spans="44:49">
      <c r="AR1432" s="464">
        <f t="shared" si="75"/>
        <v>1412</v>
      </c>
      <c r="AS1432" s="464" t="s">
        <v>1226</v>
      </c>
      <c r="AT1432" s="381">
        <v>1.158E-2</v>
      </c>
      <c r="AV1432" s="464"/>
      <c r="AW1432" s="465"/>
    </row>
    <row r="1433" spans="44:49">
      <c r="AR1433" s="464">
        <f t="shared" si="75"/>
        <v>1413</v>
      </c>
      <c r="AS1433" s="464" t="s">
        <v>1225</v>
      </c>
      <c r="AT1433" s="381">
        <v>1.18E-2</v>
      </c>
      <c r="AV1433" s="464"/>
      <c r="AW1433" s="465"/>
    </row>
    <row r="1434" spans="44:49">
      <c r="AR1434" s="464">
        <f t="shared" si="75"/>
        <v>1414</v>
      </c>
      <c r="AS1434" s="464" t="s">
        <v>1224</v>
      </c>
      <c r="AT1434" s="381">
        <v>1.1739999999999999E-2</v>
      </c>
      <c r="AV1434" s="464"/>
      <c r="AW1434" s="465"/>
    </row>
    <row r="1435" spans="44:49">
      <c r="AR1435" s="464">
        <f t="shared" si="75"/>
        <v>1415</v>
      </c>
      <c r="AS1435" s="464" t="s">
        <v>1223</v>
      </c>
      <c r="AT1435" s="381">
        <v>1.1779999999999999E-2</v>
      </c>
      <c r="AV1435" s="464"/>
      <c r="AW1435" s="465"/>
    </row>
    <row r="1436" spans="44:49">
      <c r="AR1436" s="464">
        <f t="shared" si="75"/>
        <v>1416</v>
      </c>
      <c r="AS1436" s="464" t="s">
        <v>1222</v>
      </c>
      <c r="AT1436" s="381">
        <v>1.1899999999999999E-2</v>
      </c>
      <c r="AV1436" s="464"/>
      <c r="AW1436" s="465"/>
    </row>
    <row r="1437" spans="44:49">
      <c r="AR1437" s="464">
        <f t="shared" si="75"/>
        <v>1417</v>
      </c>
      <c r="AS1437" s="464" t="s">
        <v>1221</v>
      </c>
      <c r="AT1437" s="381">
        <v>1.172E-2</v>
      </c>
      <c r="AV1437" s="464"/>
      <c r="AW1437" s="465"/>
    </row>
    <row r="1438" spans="44:49">
      <c r="AR1438" s="464">
        <f t="shared" si="75"/>
        <v>1418</v>
      </c>
      <c r="AS1438" s="464" t="s">
        <v>1220</v>
      </c>
      <c r="AT1438" s="381">
        <v>1.1390000000000001E-2</v>
      </c>
      <c r="AV1438" s="464"/>
      <c r="AW1438" s="465"/>
    </row>
    <row r="1439" spans="44:49">
      <c r="AR1439" s="464">
        <f t="shared" si="75"/>
        <v>1419</v>
      </c>
      <c r="AS1439" s="464" t="s">
        <v>1219</v>
      </c>
      <c r="AT1439" s="381">
        <v>1.106E-2</v>
      </c>
      <c r="AV1439" s="464"/>
      <c r="AW1439" s="465"/>
    </row>
    <row r="1440" spans="44:49">
      <c r="AR1440" s="464">
        <f t="shared" si="75"/>
        <v>1420</v>
      </c>
      <c r="AS1440" s="464" t="s">
        <v>1218</v>
      </c>
      <c r="AT1440" s="381">
        <v>1.1509999999999999E-2</v>
      </c>
      <c r="AV1440" s="464"/>
      <c r="AW1440" s="465"/>
    </row>
    <row r="1441" spans="44:49">
      <c r="AR1441" s="464">
        <f t="shared" si="75"/>
        <v>1421</v>
      </c>
      <c r="AS1441" s="464" t="s">
        <v>1217</v>
      </c>
      <c r="AT1441" s="381">
        <v>1.1610000000000001E-2</v>
      </c>
      <c r="AV1441" s="464"/>
      <c r="AW1441" s="465"/>
    </row>
    <row r="1442" spans="44:49">
      <c r="AR1442" s="464">
        <f t="shared" si="75"/>
        <v>1422</v>
      </c>
      <c r="AS1442" s="464" t="s">
        <v>1216</v>
      </c>
      <c r="AT1442" s="381">
        <v>1.146E-2</v>
      </c>
      <c r="AV1442" s="464"/>
      <c r="AW1442" s="465"/>
    </row>
    <row r="1443" spans="44:49">
      <c r="AR1443" s="464">
        <f t="shared" si="75"/>
        <v>1423</v>
      </c>
      <c r="AS1443" s="464" t="s">
        <v>1215</v>
      </c>
      <c r="AT1443" s="381">
        <v>1.191E-2</v>
      </c>
      <c r="AV1443" s="464"/>
      <c r="AW1443" s="465"/>
    </row>
    <row r="1444" spans="44:49">
      <c r="AR1444" s="464">
        <f t="shared" si="75"/>
        <v>1424</v>
      </c>
      <c r="AS1444" s="464" t="s">
        <v>1214</v>
      </c>
      <c r="AT1444" s="381">
        <v>1.2190000000000001E-2</v>
      </c>
      <c r="AV1444" s="464"/>
      <c r="AW1444" s="465"/>
    </row>
    <row r="1445" spans="44:49">
      <c r="AR1445" s="464">
        <f t="shared" si="75"/>
        <v>1425</v>
      </c>
      <c r="AS1445" s="464" t="s">
        <v>1213</v>
      </c>
      <c r="AT1445" s="381">
        <v>1.257E-2</v>
      </c>
      <c r="AV1445" s="464"/>
      <c r="AW1445" s="465"/>
    </row>
    <row r="1446" spans="44:49">
      <c r="AR1446" s="464">
        <f t="shared" si="75"/>
        <v>1426</v>
      </c>
      <c r="AS1446" s="464" t="s">
        <v>1212</v>
      </c>
      <c r="AT1446" s="381">
        <v>1.2270000000000001E-2</v>
      </c>
      <c r="AV1446" s="464"/>
      <c r="AW1446" s="465"/>
    </row>
    <row r="1447" spans="44:49">
      <c r="AR1447" s="464">
        <f t="shared" si="75"/>
        <v>1427</v>
      </c>
      <c r="AS1447" s="464" t="s">
        <v>1211</v>
      </c>
      <c r="AT1447" s="381">
        <v>1.1699999999999999E-2</v>
      </c>
      <c r="AV1447" s="464"/>
      <c r="AW1447" s="465"/>
    </row>
    <row r="1448" spans="44:49">
      <c r="AR1448" s="464">
        <f t="shared" si="75"/>
        <v>1428</v>
      </c>
      <c r="AS1448" s="464" t="s">
        <v>1210</v>
      </c>
      <c r="AT1448" s="381">
        <v>1.167E-2</v>
      </c>
      <c r="AV1448" s="464"/>
      <c r="AW1448" s="465"/>
    </row>
    <row r="1449" spans="44:49">
      <c r="AR1449" s="464">
        <f t="shared" si="75"/>
        <v>1429</v>
      </c>
      <c r="AS1449" s="464" t="s">
        <v>1209</v>
      </c>
      <c r="AT1449" s="381">
        <v>1.1705E-2</v>
      </c>
      <c r="AV1449" s="464"/>
      <c r="AW1449" s="465"/>
    </row>
    <row r="1450" spans="44:49">
      <c r="AR1450" s="464">
        <f t="shared" si="75"/>
        <v>1430</v>
      </c>
      <c r="AS1450" s="464" t="s">
        <v>1208</v>
      </c>
      <c r="AT1450" s="381">
        <v>1.1319999999999998E-2</v>
      </c>
      <c r="AV1450" s="464"/>
      <c r="AW1450" s="465"/>
    </row>
    <row r="1451" spans="44:49">
      <c r="AR1451" s="464">
        <f t="shared" si="75"/>
        <v>1431</v>
      </c>
      <c r="AS1451" s="464" t="s">
        <v>1207</v>
      </c>
      <c r="AT1451" s="381">
        <v>1.1679999999999999E-2</v>
      </c>
      <c r="AV1451" s="464"/>
      <c r="AW1451" s="465"/>
    </row>
    <row r="1452" spans="44:49">
      <c r="AR1452" s="464">
        <f t="shared" si="75"/>
        <v>1432</v>
      </c>
      <c r="AS1452" s="464" t="s">
        <v>1206</v>
      </c>
      <c r="AT1452" s="381">
        <v>1.2E-2</v>
      </c>
      <c r="AV1452" s="464"/>
      <c r="AW1452" s="465"/>
    </row>
    <row r="1453" spans="44:49">
      <c r="AR1453" s="464">
        <f t="shared" si="75"/>
        <v>1433</v>
      </c>
      <c r="AS1453" s="464" t="s">
        <v>1205</v>
      </c>
      <c r="AT1453" s="381">
        <v>1.2290000000000001E-2</v>
      </c>
      <c r="AV1453" s="464"/>
      <c r="AW1453" s="465"/>
    </row>
    <row r="1454" spans="44:49">
      <c r="AR1454" s="464">
        <f t="shared" si="75"/>
        <v>1434</v>
      </c>
      <c r="AS1454" s="464" t="s">
        <v>1204</v>
      </c>
      <c r="AT1454" s="381">
        <v>1.244E-2</v>
      </c>
      <c r="AV1454" s="464"/>
      <c r="AW1454" s="465"/>
    </row>
    <row r="1455" spans="44:49">
      <c r="AR1455" s="464">
        <f t="shared" si="75"/>
        <v>1435</v>
      </c>
      <c r="AS1455" s="464" t="s">
        <v>1203</v>
      </c>
      <c r="AT1455" s="381">
        <v>1.2430000000000002E-2</v>
      </c>
      <c r="AV1455" s="464"/>
      <c r="AW1455" s="465"/>
    </row>
    <row r="1456" spans="44:49">
      <c r="AR1456" s="464">
        <f t="shared" si="75"/>
        <v>1436</v>
      </c>
      <c r="AS1456" s="464" t="s">
        <v>1202</v>
      </c>
      <c r="AT1456" s="381">
        <v>1.2450000000000001E-2</v>
      </c>
      <c r="AV1456" s="464"/>
      <c r="AW1456" s="465"/>
    </row>
    <row r="1457" spans="44:49">
      <c r="AR1457" s="464">
        <f t="shared" si="75"/>
        <v>1437</v>
      </c>
      <c r="AS1457" s="464" t="s">
        <v>1201</v>
      </c>
      <c r="AT1457" s="381">
        <v>1.3089999999999999E-2</v>
      </c>
      <c r="AV1457" s="464"/>
      <c r="AW1457" s="465"/>
    </row>
    <row r="1458" spans="44:49">
      <c r="AR1458" s="464">
        <f t="shared" si="75"/>
        <v>1438</v>
      </c>
      <c r="AS1458" s="464" t="s">
        <v>1200</v>
      </c>
      <c r="AT1458" s="381">
        <v>1.3000000000000001E-2</v>
      </c>
      <c r="AV1458" s="464"/>
      <c r="AW1458" s="465"/>
    </row>
    <row r="1459" spans="44:49">
      <c r="AR1459" s="464">
        <f t="shared" si="75"/>
        <v>1439</v>
      </c>
      <c r="AS1459" s="464" t="s">
        <v>1199</v>
      </c>
      <c r="AT1459" s="381">
        <v>1.2549999999999999E-2</v>
      </c>
      <c r="AV1459" s="464"/>
      <c r="AW1459" s="465"/>
    </row>
    <row r="1460" spans="44:49">
      <c r="AR1460" s="464">
        <f t="shared" si="75"/>
        <v>1440</v>
      </c>
      <c r="AS1460" s="464" t="s">
        <v>1198</v>
      </c>
      <c r="AT1460" s="381">
        <v>1.3769999999999999E-2</v>
      </c>
      <c r="AV1460" s="464"/>
      <c r="AW1460" s="465"/>
    </row>
    <row r="1461" spans="44:49">
      <c r="AR1461" s="464">
        <f t="shared" si="75"/>
        <v>1441</v>
      </c>
      <c r="AS1461" s="464" t="s">
        <v>1197</v>
      </c>
      <c r="AT1461" s="381">
        <v>1.4150000000000001E-2</v>
      </c>
      <c r="AV1461" s="464"/>
      <c r="AW1461" s="465"/>
    </row>
    <row r="1462" spans="44:49">
      <c r="AR1462" s="464">
        <f t="shared" si="75"/>
        <v>1442</v>
      </c>
      <c r="AS1462" s="464" t="s">
        <v>1196</v>
      </c>
      <c r="AT1462" s="381">
        <v>1.4125E-2</v>
      </c>
      <c r="AV1462" s="464"/>
      <c r="AW1462" s="465"/>
    </row>
    <row r="1463" spans="44:49">
      <c r="AR1463" s="464">
        <f t="shared" si="75"/>
        <v>1443</v>
      </c>
      <c r="AS1463" s="464" t="s">
        <v>1195</v>
      </c>
      <c r="AT1463" s="381">
        <v>1.418E-2</v>
      </c>
      <c r="AV1463" s="464"/>
      <c r="AW1463" s="465"/>
    </row>
    <row r="1464" spans="44:49">
      <c r="AR1464" s="464">
        <f t="shared" si="75"/>
        <v>1444</v>
      </c>
      <c r="AS1464" s="464" t="s">
        <v>1194</v>
      </c>
      <c r="AT1464" s="381">
        <v>1.414E-2</v>
      </c>
      <c r="AV1464" s="464"/>
      <c r="AW1464" s="465"/>
    </row>
    <row r="1465" spans="44:49">
      <c r="AR1465" s="464">
        <f t="shared" si="75"/>
        <v>1445</v>
      </c>
      <c r="AS1465" s="464" t="s">
        <v>1193</v>
      </c>
      <c r="AT1465" s="381">
        <v>1.4910000000000001E-2</v>
      </c>
      <c r="AV1465" s="464"/>
      <c r="AW1465" s="465"/>
    </row>
    <row r="1466" spans="44:49">
      <c r="AR1466" s="464">
        <f t="shared" si="75"/>
        <v>1446</v>
      </c>
      <c r="AS1466" s="464" t="s">
        <v>1192</v>
      </c>
      <c r="AT1466" s="381">
        <v>1.4319999999999999E-2</v>
      </c>
      <c r="AV1466" s="464"/>
      <c r="AW1466" s="465"/>
    </row>
    <row r="1467" spans="44:49">
      <c r="AR1467" s="464">
        <f t="shared" si="75"/>
        <v>1447</v>
      </c>
      <c r="AS1467" s="464" t="s">
        <v>1191</v>
      </c>
      <c r="AT1467" s="381">
        <v>1.533E-2</v>
      </c>
      <c r="AV1467" s="464"/>
      <c r="AW1467" s="465"/>
    </row>
    <row r="1468" spans="44:49">
      <c r="AR1468" s="464">
        <f t="shared" si="75"/>
        <v>1448</v>
      </c>
      <c r="AS1468" s="464" t="s">
        <v>1190</v>
      </c>
      <c r="AT1468" s="381">
        <v>1.5480000000000001E-2</v>
      </c>
      <c r="AV1468" s="464"/>
      <c r="AW1468" s="465"/>
    </row>
    <row r="1469" spans="44:49">
      <c r="AR1469" s="464">
        <f t="shared" si="75"/>
        <v>1449</v>
      </c>
      <c r="AS1469" s="464" t="s">
        <v>1189</v>
      </c>
      <c r="AT1469" s="381">
        <v>1.5859999999999999E-2</v>
      </c>
      <c r="AV1469" s="464"/>
      <c r="AW1469" s="465"/>
    </row>
    <row r="1470" spans="44:49">
      <c r="AR1470" s="464">
        <f t="shared" si="75"/>
        <v>1450</v>
      </c>
      <c r="AS1470" s="464" t="s">
        <v>1188</v>
      </c>
      <c r="AT1470" s="381">
        <v>1.5820000000000001E-2</v>
      </c>
      <c r="AV1470" s="464"/>
      <c r="AW1470" s="465"/>
    </row>
    <row r="1471" spans="44:49">
      <c r="AR1471" s="464">
        <f t="shared" si="75"/>
        <v>1451</v>
      </c>
      <c r="AS1471" s="464" t="s">
        <v>1187</v>
      </c>
      <c r="AT1471" s="381">
        <v>1.525E-2</v>
      </c>
      <c r="AV1471" s="464"/>
      <c r="AW1471" s="465"/>
    </row>
    <row r="1472" spans="44:49">
      <c r="AR1472" s="464">
        <f t="shared" si="75"/>
        <v>1452</v>
      </c>
      <c r="AS1472" s="464" t="s">
        <v>1186</v>
      </c>
      <c r="AT1472" s="381">
        <v>1.4579999999999999E-2</v>
      </c>
      <c r="AV1472" s="464"/>
      <c r="AW1472" s="465"/>
    </row>
    <row r="1473" spans="44:49">
      <c r="AR1473" s="464">
        <f t="shared" si="75"/>
        <v>1453</v>
      </c>
      <c r="AS1473" s="464" t="s">
        <v>1185</v>
      </c>
      <c r="AT1473" s="381">
        <v>1.3809999999999999E-2</v>
      </c>
      <c r="AV1473" s="464"/>
      <c r="AW1473" s="465"/>
    </row>
    <row r="1474" spans="44:49">
      <c r="AR1474" s="464">
        <f t="shared" si="75"/>
        <v>1454</v>
      </c>
      <c r="AS1474" s="464" t="s">
        <v>1184</v>
      </c>
      <c r="AT1474" s="381">
        <v>1.3785E-2</v>
      </c>
      <c r="AV1474" s="464"/>
      <c r="AW1474" s="465"/>
    </row>
    <row r="1475" spans="44:49">
      <c r="AR1475" s="464">
        <f t="shared" si="75"/>
        <v>1455</v>
      </c>
      <c r="AS1475" s="464" t="s">
        <v>1183</v>
      </c>
      <c r="AT1475" s="381">
        <v>1.387E-2</v>
      </c>
      <c r="AV1475" s="464"/>
      <c r="AW1475" s="465"/>
    </row>
    <row r="1476" spans="44:49">
      <c r="AR1476" s="464">
        <f t="shared" si="75"/>
        <v>1456</v>
      </c>
      <c r="AS1476" s="464" t="s">
        <v>1182</v>
      </c>
      <c r="AT1476" s="381">
        <v>1.405E-2</v>
      </c>
      <c r="AV1476" s="464"/>
      <c r="AW1476" s="465"/>
    </row>
    <row r="1477" spans="44:49">
      <c r="AR1477" s="464">
        <f t="shared" si="75"/>
        <v>1457</v>
      </c>
      <c r="AS1477" s="464" t="s">
        <v>1181</v>
      </c>
      <c r="AT1477" s="381">
        <v>1.474E-2</v>
      </c>
      <c r="AV1477" s="464"/>
      <c r="AW1477" s="465"/>
    </row>
    <row r="1478" spans="44:49">
      <c r="AR1478" s="464">
        <f t="shared" si="75"/>
        <v>1458</v>
      </c>
      <c r="AS1478" s="464" t="s">
        <v>1180</v>
      </c>
      <c r="AT1478" s="381">
        <v>1.4760000000000001E-2</v>
      </c>
      <c r="AV1478" s="464"/>
      <c r="AW1478" s="465"/>
    </row>
    <row r="1479" spans="44:49">
      <c r="AR1479" s="464">
        <f t="shared" si="75"/>
        <v>1459</v>
      </c>
      <c r="AS1479" s="464" t="s">
        <v>1179</v>
      </c>
      <c r="AT1479" s="381">
        <v>1.4459999999999999E-2</v>
      </c>
      <c r="AV1479" s="464"/>
      <c r="AW1479" s="465"/>
    </row>
    <row r="1480" spans="44:49">
      <c r="AR1480" s="464">
        <f t="shared" si="75"/>
        <v>1460</v>
      </c>
      <c r="AS1480" s="464" t="s">
        <v>1178</v>
      </c>
      <c r="AT1480" s="381">
        <v>1.4590000000000001E-2</v>
      </c>
      <c r="AV1480" s="464"/>
      <c r="AW1480" s="465"/>
    </row>
    <row r="1481" spans="44:49">
      <c r="AR1481" s="464">
        <f t="shared" si="75"/>
        <v>1461</v>
      </c>
      <c r="AS1481" s="464" t="s">
        <v>1177</v>
      </c>
      <c r="AT1481" s="381">
        <v>1.4924999999999999E-2</v>
      </c>
      <c r="AV1481" s="464"/>
      <c r="AW1481" s="465"/>
    </row>
    <row r="1482" spans="44:49">
      <c r="AR1482" s="464">
        <f t="shared" si="75"/>
        <v>1462</v>
      </c>
      <c r="AS1482" s="464" t="s">
        <v>1176</v>
      </c>
      <c r="AT1482" s="381">
        <v>1.4870000000000001E-2</v>
      </c>
      <c r="AV1482" s="464"/>
      <c r="AW1482" s="465"/>
    </row>
    <row r="1483" spans="44:49">
      <c r="AR1483" s="464">
        <f t="shared" si="75"/>
        <v>1463</v>
      </c>
      <c r="AS1483" s="464" t="s">
        <v>1175</v>
      </c>
      <c r="AT1483" s="381">
        <v>1.4150000000000001E-2</v>
      </c>
      <c r="AV1483" s="464"/>
      <c r="AW1483" s="465"/>
    </row>
    <row r="1484" spans="44:49">
      <c r="AR1484" s="464">
        <f t="shared" si="75"/>
        <v>1464</v>
      </c>
      <c r="AS1484" s="464" t="s">
        <v>1174</v>
      </c>
      <c r="AT1484" s="381">
        <v>1.1089999999999999E-2</v>
      </c>
      <c r="AV1484" s="464"/>
      <c r="AW1484" s="465"/>
    </row>
    <row r="1485" spans="44:49">
      <c r="AR1485" s="464">
        <f t="shared" si="75"/>
        <v>1465</v>
      </c>
      <c r="AS1485" s="464" t="s">
        <v>1173</v>
      </c>
      <c r="AT1485" s="381">
        <v>1.264E-2</v>
      </c>
      <c r="AV1485" s="464"/>
      <c r="AW1485" s="465"/>
    </row>
    <row r="1486" spans="44:49">
      <c r="AR1486" s="464">
        <f t="shared" si="75"/>
        <v>1466</v>
      </c>
      <c r="AS1486" s="464" t="s">
        <v>1172</v>
      </c>
      <c r="AT1486" s="381">
        <v>1.299E-2</v>
      </c>
      <c r="AV1486" s="464"/>
      <c r="AW1486" s="465"/>
    </row>
    <row r="1487" spans="44:49">
      <c r="AR1487" s="464">
        <f t="shared" si="75"/>
        <v>1467</v>
      </c>
      <c r="AS1487" s="464" t="s">
        <v>1171</v>
      </c>
      <c r="AT1487" s="381">
        <v>1.2119999999999999E-2</v>
      </c>
      <c r="AV1487" s="464"/>
      <c r="AW1487" s="465"/>
    </row>
    <row r="1488" spans="44:49">
      <c r="AR1488" s="464">
        <f t="shared" si="75"/>
        <v>1468</v>
      </c>
      <c r="AS1488" s="464" t="s">
        <v>1170</v>
      </c>
      <c r="AT1488" s="381">
        <v>1.2324999999999999E-2</v>
      </c>
      <c r="AV1488" s="464"/>
      <c r="AW1488" s="465"/>
    </row>
    <row r="1489" spans="44:49">
      <c r="AR1489" s="464">
        <f t="shared" si="75"/>
        <v>1469</v>
      </c>
      <c r="AS1489" s="464" t="s">
        <v>1169</v>
      </c>
      <c r="AT1489" s="381">
        <v>1.303E-2</v>
      </c>
      <c r="AV1489" s="464"/>
      <c r="AW1489" s="465"/>
    </row>
    <row r="1490" spans="44:49">
      <c r="AR1490" s="464">
        <f t="shared" si="75"/>
        <v>1470</v>
      </c>
      <c r="AS1490" s="464" t="s">
        <v>1168</v>
      </c>
      <c r="AT1490" s="381">
        <v>1.447E-2</v>
      </c>
      <c r="AV1490" s="464"/>
      <c r="AW1490" s="465"/>
    </row>
    <row r="1491" spans="44:49">
      <c r="AR1491" s="464">
        <f t="shared" si="75"/>
        <v>1471</v>
      </c>
      <c r="AS1491" s="464" t="s">
        <v>1167</v>
      </c>
      <c r="AT1491" s="381">
        <v>1.5220000000000001E-2</v>
      </c>
      <c r="AV1491" s="464"/>
      <c r="AW1491" s="465"/>
    </row>
    <row r="1492" spans="44:49">
      <c r="AR1492" s="464">
        <f t="shared" si="75"/>
        <v>1472</v>
      </c>
      <c r="AS1492" s="464" t="s">
        <v>1166</v>
      </c>
      <c r="AT1492" s="381">
        <v>1.5229999999999999E-2</v>
      </c>
      <c r="AV1492" s="464"/>
      <c r="AW1492" s="465"/>
    </row>
    <row r="1493" spans="44:49">
      <c r="AR1493" s="464">
        <f t="shared" ref="AR1493:AR1556" si="76">AR1492+1</f>
        <v>1473</v>
      </c>
      <c r="AS1493" s="464" t="s">
        <v>1165</v>
      </c>
      <c r="AT1493" s="381">
        <v>1.494E-2</v>
      </c>
      <c r="AV1493" s="464"/>
      <c r="AW1493" s="465"/>
    </row>
    <row r="1494" spans="44:49">
      <c r="AR1494" s="464">
        <f t="shared" si="76"/>
        <v>1474</v>
      </c>
      <c r="AS1494" s="464" t="s">
        <v>1164</v>
      </c>
      <c r="AT1494" s="381">
        <v>1.4975E-2</v>
      </c>
      <c r="AV1494" s="464"/>
      <c r="AW1494" s="465"/>
    </row>
    <row r="1495" spans="44:49">
      <c r="AR1495" s="464">
        <f t="shared" si="76"/>
        <v>1475</v>
      </c>
      <c r="AS1495" s="464" t="s">
        <v>1163</v>
      </c>
      <c r="AT1495" s="381">
        <v>1.5129999999999999E-2</v>
      </c>
      <c r="AV1495" s="464"/>
      <c r="AW1495" s="465"/>
    </row>
    <row r="1496" spans="44:49">
      <c r="AR1496" s="464">
        <f t="shared" si="76"/>
        <v>1476</v>
      </c>
      <c r="AS1496" s="464" t="s">
        <v>1162</v>
      </c>
      <c r="AT1496" s="381">
        <v>1.5980000000000001E-2</v>
      </c>
      <c r="AV1496" s="464"/>
      <c r="AW1496" s="465"/>
    </row>
    <row r="1497" spans="44:49">
      <c r="AR1497" s="464">
        <f t="shared" si="76"/>
        <v>1477</v>
      </c>
      <c r="AS1497" s="464" t="s">
        <v>1161</v>
      </c>
      <c r="AT1497" s="381">
        <v>1.5780000000000002E-2</v>
      </c>
      <c r="AV1497" s="464"/>
      <c r="AW1497" s="465"/>
    </row>
    <row r="1498" spans="44:49">
      <c r="AR1498" s="464">
        <f t="shared" si="76"/>
        <v>1478</v>
      </c>
      <c r="AS1498" s="464" t="s">
        <v>1160</v>
      </c>
      <c r="AT1498" s="381">
        <v>1.6289999999999999E-2</v>
      </c>
      <c r="AV1498" s="464"/>
      <c r="AW1498" s="465"/>
    </row>
    <row r="1499" spans="44:49">
      <c r="AR1499" s="464">
        <f t="shared" si="76"/>
        <v>1479</v>
      </c>
      <c r="AS1499" s="464" t="s">
        <v>1159</v>
      </c>
      <c r="AT1499" s="381">
        <v>1.567E-2</v>
      </c>
      <c r="AV1499" s="464"/>
      <c r="AW1499" s="465"/>
    </row>
    <row r="1500" spans="44:49">
      <c r="AR1500" s="464">
        <f t="shared" si="76"/>
        <v>1480</v>
      </c>
      <c r="AS1500" s="464" t="s">
        <v>1158</v>
      </c>
      <c r="AT1500" s="381">
        <v>1.4970000000000001E-2</v>
      </c>
      <c r="AV1500" s="464"/>
      <c r="AW1500" s="465"/>
    </row>
    <row r="1501" spans="44:49">
      <c r="AR1501" s="464">
        <f t="shared" si="76"/>
        <v>1481</v>
      </c>
      <c r="AS1501" s="464" t="s">
        <v>1157</v>
      </c>
      <c r="AT1501" s="381">
        <v>1.5105E-2</v>
      </c>
      <c r="AV1501" s="464"/>
      <c r="AW1501" s="465"/>
    </row>
    <row r="1502" spans="44:49">
      <c r="AR1502" s="464">
        <f t="shared" si="76"/>
        <v>1482</v>
      </c>
      <c r="AS1502" s="464" t="s">
        <v>1156</v>
      </c>
      <c r="AT1502" s="381">
        <v>1.502E-2</v>
      </c>
      <c r="AV1502" s="464"/>
      <c r="AW1502" s="465"/>
    </row>
    <row r="1503" spans="44:49">
      <c r="AR1503" s="464">
        <f t="shared" si="76"/>
        <v>1483</v>
      </c>
      <c r="AS1503" s="464" t="s">
        <v>1155</v>
      </c>
      <c r="AT1503" s="381">
        <v>1.6379999999999999E-2</v>
      </c>
      <c r="AV1503" s="464"/>
      <c r="AW1503" s="465"/>
    </row>
    <row r="1504" spans="44:49">
      <c r="AR1504" s="464">
        <f t="shared" si="76"/>
        <v>1484</v>
      </c>
      <c r="AS1504" s="464" t="s">
        <v>1154</v>
      </c>
      <c r="AT1504" s="381">
        <v>1.7100000000000001E-2</v>
      </c>
      <c r="AV1504" s="464"/>
      <c r="AW1504" s="465"/>
    </row>
    <row r="1505" spans="44:49">
      <c r="AR1505" s="464">
        <f t="shared" si="76"/>
        <v>1485</v>
      </c>
      <c r="AS1505" s="464" t="s">
        <v>1153</v>
      </c>
      <c r="AT1505" s="381">
        <v>1.627E-2</v>
      </c>
      <c r="AV1505" s="464"/>
      <c r="AW1505" s="465"/>
    </row>
    <row r="1506" spans="44:49">
      <c r="AR1506" s="464">
        <f t="shared" si="76"/>
        <v>1486</v>
      </c>
      <c r="AS1506" s="464" t="s">
        <v>1152</v>
      </c>
      <c r="AT1506" s="381">
        <v>1.6479999999999998E-2</v>
      </c>
      <c r="AV1506" s="464"/>
      <c r="AW1506" s="465"/>
    </row>
    <row r="1507" spans="44:49">
      <c r="AR1507" s="464">
        <f t="shared" si="76"/>
        <v>1487</v>
      </c>
      <c r="AS1507" s="464" t="s">
        <v>1151</v>
      </c>
      <c r="AT1507" s="381">
        <v>1.6990000000000002E-2</v>
      </c>
      <c r="AV1507" s="464"/>
      <c r="AW1507" s="465"/>
    </row>
    <row r="1508" spans="44:49">
      <c r="AR1508" s="464">
        <f t="shared" si="76"/>
        <v>1488</v>
      </c>
      <c r="AS1508" s="464" t="s">
        <v>1150</v>
      </c>
      <c r="AT1508" s="381">
        <v>1.7010000000000001E-2</v>
      </c>
      <c r="AV1508" s="464"/>
      <c r="AW1508" s="465"/>
    </row>
    <row r="1509" spans="44:49">
      <c r="AR1509" s="464">
        <f t="shared" si="76"/>
        <v>1489</v>
      </c>
      <c r="AS1509" s="464" t="s">
        <v>1149</v>
      </c>
      <c r="AT1509" s="381">
        <v>1.6884999999999997E-2</v>
      </c>
      <c r="AV1509" s="464"/>
      <c r="AW1509" s="465"/>
    </row>
    <row r="1510" spans="44:49">
      <c r="AR1510" s="464">
        <f t="shared" si="76"/>
        <v>1490</v>
      </c>
      <c r="AS1510" s="464" t="s">
        <v>1148</v>
      </c>
      <c r="AT1510" s="381">
        <v>1.618E-2</v>
      </c>
      <c r="AV1510" s="464"/>
      <c r="AW1510" s="465"/>
    </row>
    <row r="1511" spans="44:49">
      <c r="AR1511" s="464">
        <f t="shared" si="76"/>
        <v>1491</v>
      </c>
      <c r="AS1511" s="464" t="s">
        <v>1147</v>
      </c>
      <c r="AT1511" s="381">
        <v>1.652E-2</v>
      </c>
      <c r="AV1511" s="464"/>
      <c r="AW1511" s="465"/>
    </row>
    <row r="1512" spans="44:49">
      <c r="AR1512" s="464">
        <f t="shared" si="76"/>
        <v>1492</v>
      </c>
      <c r="AS1512" s="464" t="s">
        <v>1146</v>
      </c>
      <c r="AT1512" s="381">
        <v>1.6659999999999998E-2</v>
      </c>
      <c r="AV1512" s="464"/>
      <c r="AW1512" s="465"/>
    </row>
    <row r="1513" spans="44:49">
      <c r="AR1513" s="464">
        <f t="shared" si="76"/>
        <v>1493</v>
      </c>
      <c r="AS1513" s="464" t="s">
        <v>1145</v>
      </c>
      <c r="AT1513" s="381">
        <v>1.6070000000000001E-2</v>
      </c>
      <c r="AV1513" s="464"/>
      <c r="AW1513" s="465"/>
    </row>
    <row r="1514" spans="44:49">
      <c r="AR1514" s="464">
        <f t="shared" si="76"/>
        <v>1494</v>
      </c>
      <c r="AS1514" s="464" t="s">
        <v>1144</v>
      </c>
      <c r="AT1514" s="381">
        <v>1.6109999999999999E-2</v>
      </c>
      <c r="AV1514" s="464"/>
      <c r="AW1514" s="465"/>
    </row>
    <row r="1515" spans="44:49">
      <c r="AR1515" s="464">
        <f t="shared" si="76"/>
        <v>1495</v>
      </c>
      <c r="AS1515" s="464" t="s">
        <v>1143</v>
      </c>
      <c r="AT1515" s="381">
        <v>1.6215E-2</v>
      </c>
      <c r="AV1515" s="464"/>
      <c r="AW1515" s="465"/>
    </row>
    <row r="1516" spans="44:49">
      <c r="AR1516" s="464">
        <f t="shared" si="76"/>
        <v>1496</v>
      </c>
      <c r="AS1516" s="464" t="s">
        <v>1142</v>
      </c>
      <c r="AT1516" s="381">
        <v>1.546E-2</v>
      </c>
      <c r="AV1516" s="464"/>
      <c r="AW1516" s="465"/>
    </row>
    <row r="1517" spans="44:49">
      <c r="AR1517" s="464">
        <f t="shared" si="76"/>
        <v>1497</v>
      </c>
      <c r="AS1517" s="464" t="s">
        <v>1141</v>
      </c>
      <c r="AT1517" s="381">
        <v>1.6549999999999999E-2</v>
      </c>
      <c r="AV1517" s="464"/>
      <c r="AW1517" s="465"/>
    </row>
    <row r="1518" spans="44:49">
      <c r="AR1518" s="464">
        <f t="shared" si="76"/>
        <v>1498</v>
      </c>
      <c r="AS1518" s="464" t="s">
        <v>1140</v>
      </c>
      <c r="AT1518" s="381">
        <v>1.704E-2</v>
      </c>
      <c r="AV1518" s="464"/>
      <c r="AW1518" s="465"/>
    </row>
    <row r="1519" spans="44:49">
      <c r="AR1519" s="464">
        <f t="shared" si="76"/>
        <v>1499</v>
      </c>
      <c r="AS1519" s="464" t="s">
        <v>1139</v>
      </c>
      <c r="AT1519" s="381">
        <v>1.729E-2</v>
      </c>
      <c r="AV1519" s="464"/>
      <c r="AW1519" s="465"/>
    </row>
    <row r="1520" spans="44:49">
      <c r="AR1520" s="464">
        <f t="shared" si="76"/>
        <v>1500</v>
      </c>
      <c r="AS1520" s="464" t="s">
        <v>1138</v>
      </c>
      <c r="AT1520" s="381">
        <v>1.753E-2</v>
      </c>
      <c r="AV1520" s="464"/>
      <c r="AW1520" s="465"/>
    </row>
    <row r="1521" spans="44:49">
      <c r="AR1521" s="464">
        <f t="shared" si="76"/>
        <v>1501</v>
      </c>
      <c r="AS1521" s="464" t="s">
        <v>1137</v>
      </c>
      <c r="AT1521" s="381">
        <v>1.7639999999999999E-2</v>
      </c>
      <c r="AV1521" s="464"/>
      <c r="AW1521" s="465"/>
    </row>
    <row r="1522" spans="44:49">
      <c r="AR1522" s="464">
        <f t="shared" si="76"/>
        <v>1502</v>
      </c>
      <c r="AS1522" s="464" t="s">
        <v>1136</v>
      </c>
      <c r="AT1522" s="381">
        <v>1.7635000000000001E-2</v>
      </c>
      <c r="AV1522" s="464"/>
      <c r="AW1522" s="465"/>
    </row>
    <row r="1523" spans="44:49">
      <c r="AR1523" s="464">
        <f t="shared" si="76"/>
        <v>1503</v>
      </c>
      <c r="AS1523" s="464" t="s">
        <v>1135</v>
      </c>
      <c r="AT1523" s="381">
        <v>1.848E-2</v>
      </c>
      <c r="AV1523" s="464"/>
      <c r="AW1523" s="465"/>
    </row>
    <row r="1524" spans="44:49">
      <c r="AR1524" s="464">
        <f t="shared" si="76"/>
        <v>1504</v>
      </c>
      <c r="AS1524" s="464" t="s">
        <v>1134</v>
      </c>
      <c r="AT1524" s="381">
        <v>1.804E-2</v>
      </c>
      <c r="AV1524" s="464"/>
      <c r="AW1524" s="465"/>
    </row>
    <row r="1525" spans="44:49">
      <c r="AR1525" s="464">
        <f t="shared" si="76"/>
        <v>1505</v>
      </c>
      <c r="AS1525" s="464" t="s">
        <v>1133</v>
      </c>
      <c r="AT1525" s="381">
        <v>1.805E-2</v>
      </c>
      <c r="AV1525" s="464"/>
      <c r="AW1525" s="465"/>
    </row>
    <row r="1526" spans="44:49">
      <c r="AR1526" s="464">
        <f t="shared" si="76"/>
        <v>1506</v>
      </c>
      <c r="AS1526" s="464" t="s">
        <v>1132</v>
      </c>
      <c r="AT1526" s="381">
        <v>1.89E-2</v>
      </c>
      <c r="AV1526" s="464"/>
      <c r="AW1526" s="465"/>
    </row>
    <row r="1527" spans="44:49">
      <c r="AR1527" s="464">
        <f t="shared" si="76"/>
        <v>1507</v>
      </c>
      <c r="AS1527" s="464" t="s">
        <v>1131</v>
      </c>
      <c r="AT1527" s="381">
        <v>1.8959999999999998E-2</v>
      </c>
      <c r="AV1527" s="464"/>
      <c r="AW1527" s="465"/>
    </row>
    <row r="1528" spans="44:49">
      <c r="AR1528" s="464">
        <f t="shared" si="76"/>
        <v>1508</v>
      </c>
      <c r="AS1528" s="464" t="s">
        <v>1130</v>
      </c>
      <c r="AT1528" s="381">
        <v>1.8985000000000002E-2</v>
      </c>
      <c r="AV1528" s="464"/>
      <c r="AW1528" s="465"/>
    </row>
    <row r="1529" spans="44:49">
      <c r="AR1529" s="464">
        <f t="shared" si="76"/>
        <v>1509</v>
      </c>
      <c r="AS1529" s="464" t="s">
        <v>1129</v>
      </c>
      <c r="AT1529" s="381">
        <v>1.8894999999999999E-2</v>
      </c>
      <c r="AV1529" s="464"/>
      <c r="AW1529" s="465"/>
    </row>
    <row r="1530" spans="44:49">
      <c r="AR1530" s="464">
        <f t="shared" si="76"/>
        <v>1510</v>
      </c>
      <c r="AS1530" s="464" t="s">
        <v>1128</v>
      </c>
      <c r="AT1530" s="381">
        <v>1.89E-2</v>
      </c>
      <c r="AV1530" s="464"/>
      <c r="AW1530" s="465"/>
    </row>
    <row r="1531" spans="44:49">
      <c r="AR1531" s="464">
        <f t="shared" si="76"/>
        <v>1511</v>
      </c>
      <c r="AS1531" s="464" t="s">
        <v>1127</v>
      </c>
      <c r="AT1531" s="381">
        <v>1.968E-2</v>
      </c>
      <c r="AV1531" s="464"/>
      <c r="AW1531" s="465"/>
    </row>
    <row r="1532" spans="44:49">
      <c r="AR1532" s="464">
        <f t="shared" si="76"/>
        <v>1512</v>
      </c>
      <c r="AS1532" s="464" t="s">
        <v>1126</v>
      </c>
      <c r="AT1532" s="381">
        <v>1.916E-2</v>
      </c>
      <c r="AV1532" s="464"/>
      <c r="AW1532" s="465"/>
    </row>
    <row r="1533" spans="44:49">
      <c r="AR1533" s="464">
        <f t="shared" si="76"/>
        <v>1513</v>
      </c>
      <c r="AS1533" s="464" t="s">
        <v>1125</v>
      </c>
      <c r="AT1533" s="381">
        <v>2.0150000000000001E-2</v>
      </c>
      <c r="AV1533" s="464"/>
      <c r="AW1533" s="465"/>
    </row>
    <row r="1534" spans="44:49">
      <c r="AR1534" s="464">
        <f t="shared" si="76"/>
        <v>1514</v>
      </c>
      <c r="AS1534" s="464" t="s">
        <v>1124</v>
      </c>
      <c r="AT1534" s="381">
        <v>1.966E-2</v>
      </c>
      <c r="AV1534" s="464"/>
      <c r="AW1534" s="465"/>
    </row>
    <row r="1535" spans="44:49">
      <c r="AR1535" s="464">
        <f t="shared" si="76"/>
        <v>1515</v>
      </c>
      <c r="AS1535" s="464" t="s">
        <v>1123</v>
      </c>
      <c r="AT1535" s="381">
        <v>1.9775000000000001E-2</v>
      </c>
      <c r="AV1535" s="464"/>
      <c r="AW1535" s="465"/>
    </row>
    <row r="1536" spans="44:49">
      <c r="AR1536" s="464">
        <f t="shared" si="76"/>
        <v>1516</v>
      </c>
      <c r="AS1536" s="464" t="s">
        <v>1122</v>
      </c>
      <c r="AT1536" s="381">
        <v>1.9705E-2</v>
      </c>
      <c r="AV1536" s="464"/>
      <c r="AW1536" s="465"/>
    </row>
    <row r="1537" spans="44:49">
      <c r="AR1537" s="464">
        <f t="shared" si="76"/>
        <v>1517</v>
      </c>
      <c r="AS1537" s="464" t="s">
        <v>1121</v>
      </c>
      <c r="AT1537" s="381">
        <v>1.8370000000000001E-2</v>
      </c>
      <c r="AV1537" s="464"/>
      <c r="AW1537" s="465"/>
    </row>
    <row r="1538" spans="44:49">
      <c r="AR1538" s="464">
        <f t="shared" si="76"/>
        <v>1518</v>
      </c>
      <c r="AS1538" s="464" t="s">
        <v>1120</v>
      </c>
      <c r="AT1538" s="381">
        <v>1.7989999999999999E-2</v>
      </c>
      <c r="AV1538" s="464"/>
      <c r="AW1538" s="465"/>
    </row>
    <row r="1539" spans="44:49">
      <c r="AR1539" s="464">
        <f t="shared" si="76"/>
        <v>1519</v>
      </c>
      <c r="AS1539" s="464" t="s">
        <v>1119</v>
      </c>
      <c r="AT1539" s="381">
        <v>1.8149999999999999E-2</v>
      </c>
      <c r="AV1539" s="464"/>
      <c r="AW1539" s="465"/>
    </row>
    <row r="1540" spans="44:49">
      <c r="AR1540" s="464">
        <f t="shared" si="76"/>
        <v>1520</v>
      </c>
      <c r="AS1540" s="464" t="s">
        <v>1118</v>
      </c>
      <c r="AT1540" s="381">
        <v>1.8779999999999998E-2</v>
      </c>
      <c r="AV1540" s="464"/>
      <c r="AW1540" s="465"/>
    </row>
    <row r="1541" spans="44:49">
      <c r="AR1541" s="464">
        <f t="shared" si="76"/>
        <v>1521</v>
      </c>
      <c r="AS1541" s="464" t="s">
        <v>1117</v>
      </c>
      <c r="AT1541" s="381">
        <v>1.9089999999999999E-2</v>
      </c>
      <c r="AV1541" s="464"/>
      <c r="AW1541" s="465"/>
    </row>
    <row r="1542" spans="44:49">
      <c r="AR1542" s="464">
        <f t="shared" si="76"/>
        <v>1522</v>
      </c>
      <c r="AS1542" s="464" t="s">
        <v>1116</v>
      </c>
      <c r="AT1542" s="381">
        <v>1.9175000000000001E-2</v>
      </c>
      <c r="AV1542" s="464"/>
      <c r="AW1542" s="465"/>
    </row>
    <row r="1543" spans="44:49">
      <c r="AR1543" s="464">
        <f t="shared" si="76"/>
        <v>1523</v>
      </c>
      <c r="AS1543" s="464" t="s">
        <v>1115</v>
      </c>
      <c r="AT1543" s="381">
        <v>1.9195E-2</v>
      </c>
      <c r="AV1543" s="464"/>
      <c r="AW1543" s="465"/>
    </row>
    <row r="1544" spans="44:49">
      <c r="AR1544" s="464">
        <f t="shared" si="76"/>
        <v>1524</v>
      </c>
      <c r="AS1544" s="464" t="s">
        <v>1114</v>
      </c>
      <c r="AT1544" s="381">
        <v>1.9050000000000001E-2</v>
      </c>
      <c r="AV1544" s="464"/>
      <c r="AW1544" s="465"/>
    </row>
    <row r="1545" spans="44:49">
      <c r="AR1545" s="464">
        <f t="shared" si="76"/>
        <v>1525</v>
      </c>
      <c r="AS1545" s="464" t="s">
        <v>1113</v>
      </c>
      <c r="AT1545" s="381">
        <v>1.959E-2</v>
      </c>
      <c r="AV1545" s="464"/>
      <c r="AW1545" s="465"/>
    </row>
    <row r="1546" spans="44:49">
      <c r="AR1546" s="464">
        <f t="shared" si="76"/>
        <v>1526</v>
      </c>
      <c r="AS1546" s="464" t="s">
        <v>1112</v>
      </c>
      <c r="AT1546" s="381">
        <v>1.968E-2</v>
      </c>
      <c r="AV1546" s="464"/>
      <c r="AW1546" s="465"/>
    </row>
    <row r="1547" spans="44:49">
      <c r="AR1547" s="464">
        <f t="shared" si="76"/>
        <v>1527</v>
      </c>
      <c r="AS1547" s="464" t="s">
        <v>1111</v>
      </c>
      <c r="AT1547" s="381">
        <v>1.966E-2</v>
      </c>
      <c r="AV1547" s="464"/>
      <c r="AW1547" s="465"/>
    </row>
    <row r="1548" spans="44:49">
      <c r="AR1548" s="464">
        <f t="shared" si="76"/>
        <v>1528</v>
      </c>
      <c r="AS1548" s="464" t="s">
        <v>1110</v>
      </c>
      <c r="AT1548" s="381">
        <v>1.9950000000000002E-2</v>
      </c>
      <c r="AV1548" s="464"/>
      <c r="AW1548" s="465"/>
    </row>
    <row r="1549" spans="44:49">
      <c r="AR1549" s="464">
        <f t="shared" si="76"/>
        <v>1529</v>
      </c>
      <c r="AS1549" s="464" t="s">
        <v>1109</v>
      </c>
      <c r="AT1549" s="381">
        <v>2.0160000000000001E-2</v>
      </c>
      <c r="AV1549" s="464"/>
      <c r="AW1549" s="465"/>
    </row>
    <row r="1550" spans="44:49">
      <c r="AR1550" s="464">
        <f t="shared" si="76"/>
        <v>1530</v>
      </c>
      <c r="AS1550" s="464" t="s">
        <v>1108</v>
      </c>
      <c r="AT1550" s="381">
        <v>2.0145E-2</v>
      </c>
      <c r="AV1550" s="464"/>
      <c r="AW1550" s="465"/>
    </row>
    <row r="1551" spans="44:49">
      <c r="AR1551" s="464">
        <f t="shared" si="76"/>
        <v>1531</v>
      </c>
      <c r="AS1551" s="464" t="s">
        <v>1107</v>
      </c>
      <c r="AT1551" s="381">
        <v>1.959E-2</v>
      </c>
      <c r="AV1551" s="464"/>
      <c r="AW1551" s="465"/>
    </row>
    <row r="1552" spans="44:49">
      <c r="AR1552" s="464">
        <f t="shared" si="76"/>
        <v>1532</v>
      </c>
      <c r="AS1552" s="464" t="s">
        <v>1106</v>
      </c>
      <c r="AT1552" s="381">
        <v>1.848E-2</v>
      </c>
      <c r="AV1552" s="464"/>
      <c r="AW1552" s="465"/>
    </row>
    <row r="1553" spans="44:49">
      <c r="AR1553" s="464">
        <f t="shared" si="76"/>
        <v>1533</v>
      </c>
      <c r="AS1553" s="464" t="s">
        <v>1105</v>
      </c>
      <c r="AT1553" s="381">
        <v>1.831E-2</v>
      </c>
      <c r="AV1553" s="464"/>
      <c r="AW1553" s="465"/>
    </row>
    <row r="1554" spans="44:49">
      <c r="AR1554" s="464">
        <f t="shared" si="76"/>
        <v>1534</v>
      </c>
      <c r="AS1554" s="464" t="s">
        <v>1104</v>
      </c>
      <c r="AT1554" s="381">
        <v>1.67E-2</v>
      </c>
      <c r="AV1554" s="464"/>
      <c r="AW1554" s="465"/>
    </row>
    <row r="1555" spans="44:49">
      <c r="AR1555" s="464">
        <f t="shared" si="76"/>
        <v>1535</v>
      </c>
      <c r="AS1555" s="464" t="s">
        <v>1103</v>
      </c>
      <c r="AT1555" s="381">
        <v>1.7430000000000001E-2</v>
      </c>
      <c r="AV1555" s="464"/>
      <c r="AW1555" s="465"/>
    </row>
    <row r="1556" spans="44:49">
      <c r="AR1556" s="464">
        <f t="shared" si="76"/>
        <v>1536</v>
      </c>
      <c r="AS1556" s="464" t="s">
        <v>1102</v>
      </c>
      <c r="AT1556" s="381">
        <v>1.753E-2</v>
      </c>
      <c r="AV1556" s="464"/>
      <c r="AW1556" s="465"/>
    </row>
    <row r="1557" spans="44:49">
      <c r="AR1557" s="464">
        <f t="shared" ref="AR1557:AR1572" si="77">AR1556+1</f>
        <v>1537</v>
      </c>
      <c r="AS1557" s="464" t="s">
        <v>1101</v>
      </c>
      <c r="AT1557" s="381">
        <v>1.7505E-2</v>
      </c>
      <c r="AV1557" s="464"/>
      <c r="AW1557" s="465"/>
    </row>
    <row r="1558" spans="44:49">
      <c r="AR1558" s="464">
        <f t="shared" si="77"/>
        <v>1538</v>
      </c>
      <c r="AS1558" s="464" t="s">
        <v>1100</v>
      </c>
      <c r="AT1558" s="381">
        <v>1.7310000000000002E-2</v>
      </c>
      <c r="AV1558" s="464"/>
      <c r="AW1558" s="465"/>
    </row>
    <row r="1559" spans="44:49">
      <c r="AR1559" s="464">
        <f t="shared" si="77"/>
        <v>1539</v>
      </c>
      <c r="AS1559" s="464" t="s">
        <v>1099</v>
      </c>
      <c r="AT1559" s="381">
        <v>1.883E-2</v>
      </c>
      <c r="AV1559" s="464"/>
      <c r="AW1559" s="465"/>
    </row>
    <row r="1560" spans="44:49">
      <c r="AR1560" s="464">
        <f t="shared" si="77"/>
        <v>1540</v>
      </c>
      <c r="AS1560" s="464" t="s">
        <v>1098</v>
      </c>
      <c r="AT1560" s="381">
        <v>1.8669999999999999E-2</v>
      </c>
      <c r="AV1560" s="464"/>
      <c r="AW1560" s="465"/>
    </row>
    <row r="1561" spans="44:49">
      <c r="AR1561" s="464">
        <f t="shared" si="77"/>
        <v>1541</v>
      </c>
      <c r="AS1561" s="464" t="s">
        <v>1097</v>
      </c>
      <c r="AT1561" s="381">
        <v>1.8689999999999998E-2</v>
      </c>
      <c r="AV1561" s="464"/>
      <c r="AW1561" s="465"/>
    </row>
    <row r="1562" spans="44:49">
      <c r="AR1562" s="464">
        <f t="shared" si="77"/>
        <v>1542</v>
      </c>
      <c r="AS1562" s="464" t="s">
        <v>1096</v>
      </c>
      <c r="AT1562" s="381">
        <v>1.89E-2</v>
      </c>
      <c r="AV1562" s="464"/>
      <c r="AW1562" s="465"/>
    </row>
    <row r="1563" spans="44:49">
      <c r="AR1563" s="464">
        <f t="shared" si="77"/>
        <v>1543</v>
      </c>
      <c r="AS1563" s="464" t="s">
        <v>1095</v>
      </c>
      <c r="AT1563" s="381">
        <v>1.8775E-2</v>
      </c>
      <c r="AV1563" s="464"/>
      <c r="AW1563" s="465"/>
    </row>
    <row r="1564" spans="44:49">
      <c r="AR1564" s="464">
        <f t="shared" si="77"/>
        <v>1544</v>
      </c>
      <c r="AS1564" s="464" t="s">
        <v>1094</v>
      </c>
      <c r="AT1564" s="381">
        <v>1.8825000000000001E-2</v>
      </c>
      <c r="AV1564" s="464"/>
      <c r="AW1564" s="465"/>
    </row>
    <row r="1565" spans="44:49">
      <c r="AR1565" s="464">
        <f t="shared" si="77"/>
        <v>1545</v>
      </c>
      <c r="AS1565" s="464" t="s">
        <v>1093</v>
      </c>
      <c r="AT1565" s="381">
        <v>1.9710000000000002E-2</v>
      </c>
      <c r="AV1565" s="464"/>
      <c r="AW1565" s="465"/>
    </row>
    <row r="1566" spans="44:49">
      <c r="AR1566" s="464">
        <f t="shared" si="77"/>
        <v>1546</v>
      </c>
      <c r="AS1566" s="464" t="s">
        <v>1092</v>
      </c>
      <c r="AT1566" s="381">
        <v>1.8890000000000001E-2</v>
      </c>
      <c r="AV1566" s="464"/>
      <c r="AW1566" s="465"/>
    </row>
    <row r="1567" spans="44:49">
      <c r="AR1567" s="464">
        <f t="shared" si="77"/>
        <v>1547</v>
      </c>
      <c r="AS1567" s="464" t="s">
        <v>1091</v>
      </c>
      <c r="AT1567" s="381">
        <v>1.9099999999999999E-2</v>
      </c>
      <c r="AV1567" s="464"/>
      <c r="AW1567" s="465"/>
    </row>
    <row r="1568" spans="44:49">
      <c r="AR1568" s="464">
        <f t="shared" si="77"/>
        <v>1548</v>
      </c>
      <c r="AS1568" s="464" t="s">
        <v>1090</v>
      </c>
      <c r="AT1568" s="381">
        <v>1.968E-2</v>
      </c>
      <c r="AV1568" s="464"/>
      <c r="AW1568" s="465"/>
    </row>
    <row r="1569" spans="44:49">
      <c r="AR1569" s="464">
        <f t="shared" si="77"/>
        <v>1549</v>
      </c>
      <c r="AS1569" s="464" t="s">
        <v>1089</v>
      </c>
      <c r="AT1569" s="381">
        <v>1.916E-2</v>
      </c>
      <c r="AV1569" s="464"/>
      <c r="AW1569" s="465"/>
    </row>
    <row r="1570" spans="44:49">
      <c r="AR1570" s="464">
        <f t="shared" si="77"/>
        <v>1550</v>
      </c>
      <c r="AS1570" s="464" t="s">
        <v>1088</v>
      </c>
      <c r="AT1570" s="381">
        <v>1.9245000000000002E-2</v>
      </c>
      <c r="AV1570" s="464"/>
      <c r="AW1570" s="465"/>
    </row>
    <row r="1571" spans="44:49">
      <c r="AR1571" s="464">
        <f t="shared" si="77"/>
        <v>1551</v>
      </c>
      <c r="AS1571" s="464" t="s">
        <v>1087</v>
      </c>
      <c r="AT1571" s="381">
        <v>1.9890000000000001E-2</v>
      </c>
      <c r="AV1571" s="464"/>
      <c r="AW1571" s="465"/>
    </row>
    <row r="1572" spans="44:49">
      <c r="AR1572" s="464">
        <f t="shared" si="77"/>
        <v>1552</v>
      </c>
      <c r="AS1572" s="464" t="s">
        <v>1086</v>
      </c>
      <c r="AT1572" s="381">
        <v>2.1000000000000001E-2</v>
      </c>
      <c r="AV1572" s="464"/>
      <c r="AW1572" s="465"/>
    </row>
    <row r="1573" spans="44:49">
      <c r="AR1573" s="464">
        <f>1</f>
        <v>1</v>
      </c>
      <c r="AS1573" s="464" t="s">
        <v>1085</v>
      </c>
      <c r="AT1573" s="381">
        <v>2.1520000000000001E-2</v>
      </c>
      <c r="AV1573" s="464"/>
      <c r="AW1573" s="465"/>
    </row>
    <row r="1574" spans="44:49">
      <c r="AR1574" s="464"/>
      <c r="AS1574" s="464"/>
      <c r="AT1574" s="464"/>
      <c r="AU1574" s="464"/>
      <c r="AV1574" s="464"/>
      <c r="AW1574" s="464"/>
    </row>
    <row r="1575" spans="44:49">
      <c r="AR1575" s="464"/>
      <c r="AS1575" s="464"/>
      <c r="AT1575" s="464"/>
      <c r="AU1575" s="464"/>
      <c r="AV1575" s="464"/>
      <c r="AW1575" s="464"/>
    </row>
  </sheetData>
  <dataValidations count="1">
    <dataValidation type="list" allowBlank="1" showInputMessage="1" showErrorMessage="1" sqref="AC38" xr:uid="{7018D01F-AD61-FD48-BA1A-F7EBCF280E61}">
      <formula1>"Historical Approach: Annual,Historical Approach: Monthly"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F154-B065-44F9-8AD7-F7BC0ADE9CEF}">
  <dimension ref="A4:Z190"/>
  <sheetViews>
    <sheetView showGridLines="0" workbookViewId="0">
      <selection activeCell="M12" sqref="M12"/>
    </sheetView>
  </sheetViews>
  <sheetFormatPr baseColWidth="10" defaultColWidth="8.83203125" defaultRowHeight="14"/>
  <cols>
    <col min="1" max="1" width="8.1640625" style="387" customWidth="1"/>
    <col min="2" max="2" width="6.5" style="387" customWidth="1"/>
    <col min="3" max="3" width="10.1640625" style="387" customWidth="1"/>
    <col min="4" max="8" width="13.83203125" style="387" customWidth="1"/>
    <col min="9" max="9" width="8.83203125" style="387" customWidth="1"/>
    <col min="10" max="11" width="8.83203125" style="387"/>
    <col min="12" max="12" width="10.83203125" style="387" customWidth="1"/>
    <col min="13" max="13" width="8.83203125" style="387"/>
    <col min="14" max="14" width="23.6640625" style="387" bestFit="1" customWidth="1"/>
    <col min="15" max="15" width="9.5" style="387" bestFit="1" customWidth="1"/>
    <col min="16" max="16384" width="8.83203125" style="387"/>
  </cols>
  <sheetData>
    <row r="4" spans="2:18" ht="15" thickBot="1">
      <c r="B4" s="522" t="s">
        <v>2657</v>
      </c>
      <c r="C4" s="522"/>
    </row>
    <row r="5" spans="2:18">
      <c r="B5" s="387" t="s">
        <v>767</v>
      </c>
      <c r="C5" s="682">
        <f>'Cost of Capital'!C14</f>
        <v>4.8113303782401431E-2</v>
      </c>
    </row>
    <row r="6" spans="2:18">
      <c r="B6" s="387" t="s">
        <v>810</v>
      </c>
      <c r="C6" s="508">
        <v>3.4000000000000002E-2</v>
      </c>
    </row>
    <row r="7" spans="2:18">
      <c r="B7" s="387" t="s">
        <v>1050</v>
      </c>
      <c r="C7" s="390">
        <f>(AVERAGE('IS normalized'!C103:Q103))*(1+Assumptions!R4)</f>
        <v>7.1305537771517463E-2</v>
      </c>
    </row>
    <row r="8" spans="2:18">
      <c r="B8" s="387" t="s">
        <v>809</v>
      </c>
      <c r="C8" s="508">
        <f>'IS normalized'!Q86</f>
        <v>0.25</v>
      </c>
    </row>
    <row r="9" spans="2:18">
      <c r="B9" s="387" t="s">
        <v>811</v>
      </c>
      <c r="C9" s="387">
        <f>'Raw Data'!G32</f>
        <v>310.89999999999998</v>
      </c>
    </row>
    <row r="11" spans="2:18">
      <c r="O11" s="518"/>
      <c r="P11" s="518"/>
      <c r="Q11" s="518"/>
      <c r="R11" s="518"/>
    </row>
    <row r="12" spans="2:18">
      <c r="O12" s="518">
        <f>XNPV(6.25%,22000,4)</f>
        <v>22000</v>
      </c>
      <c r="P12" s="518"/>
      <c r="Q12" s="518">
        <f>1/(1.0625)^4</f>
        <v>0.78466493456735431</v>
      </c>
      <c r="R12" s="518"/>
    </row>
    <row r="13" spans="2:18">
      <c r="O13" s="518"/>
      <c r="P13" s="518"/>
      <c r="Q13" s="518">
        <f>Q12*O12</f>
        <v>17262.628560481793</v>
      </c>
      <c r="R13" s="518"/>
    </row>
    <row r="14" spans="2:18">
      <c r="O14" s="518"/>
      <c r="P14" s="518"/>
      <c r="Q14" s="518"/>
      <c r="R14" s="518"/>
    </row>
    <row r="15" spans="2:18">
      <c r="O15" s="518"/>
      <c r="P15" s="518"/>
      <c r="Q15" s="518"/>
      <c r="R15" s="518"/>
    </row>
    <row r="16" spans="2:18">
      <c r="B16" s="523" t="s">
        <v>1045</v>
      </c>
      <c r="C16" s="523"/>
      <c r="D16" s="523"/>
      <c r="E16" s="523"/>
      <c r="F16" s="523"/>
      <c r="G16" s="523"/>
      <c r="H16" s="523"/>
    </row>
    <row r="17" spans="1:12" ht="15" thickBot="1">
      <c r="A17" s="536" t="s">
        <v>2665</v>
      </c>
      <c r="B17" s="533" t="s">
        <v>697</v>
      </c>
      <c r="C17" s="391"/>
      <c r="D17" s="391" t="s">
        <v>1046</v>
      </c>
      <c r="E17" s="391"/>
      <c r="F17" s="391" t="s">
        <v>1047</v>
      </c>
      <c r="G17" s="391"/>
      <c r="H17" s="391" t="s">
        <v>1048</v>
      </c>
    </row>
    <row r="18" spans="1:12">
      <c r="A18" s="536"/>
      <c r="B18" s="546"/>
      <c r="C18" s="389"/>
      <c r="D18" s="547" t="str">
        <f>'Decomposed SFP'!H65</f>
        <v>£'M</v>
      </c>
      <c r="E18" s="389"/>
      <c r="F18" s="389"/>
      <c r="G18" s="389"/>
      <c r="H18" s="547" t="str">
        <f>D18</f>
        <v>£'M</v>
      </c>
    </row>
    <row r="19" spans="1:12">
      <c r="A19" s="387">
        <v>1</v>
      </c>
      <c r="B19" s="534">
        <f>CF!N$3</f>
        <v>2023</v>
      </c>
      <c r="D19" s="388">
        <f>CF!N24</f>
        <v>-25.934494934812307</v>
      </c>
      <c r="F19" s="515">
        <f>1/(1+$C$5)^$A19</f>
        <v>0.95409532193821833</v>
      </c>
      <c r="H19" s="515">
        <f>D19*F19</f>
        <v>-24.74398029413484</v>
      </c>
    </row>
    <row r="20" spans="1:12">
      <c r="A20" s="387">
        <f>A19+1</f>
        <v>2</v>
      </c>
      <c r="B20" s="534">
        <f>B19+1</f>
        <v>2024</v>
      </c>
      <c r="D20" s="388">
        <f>CF!O24</f>
        <v>38.549746803037323</v>
      </c>
      <c r="F20" s="515">
        <f t="shared" ref="F20:F28" si="0">1/(1+$C$5)^$A20</f>
        <v>0.91029788334439254</v>
      </c>
      <c r="H20" s="515">
        <f t="shared" ref="H20:H29" si="1">D20*F20</f>
        <v>35.09175291826714</v>
      </c>
    </row>
    <row r="21" spans="1:12">
      <c r="A21" s="387">
        <f t="shared" ref="A21:A29" si="2">A20+1</f>
        <v>3</v>
      </c>
      <c r="B21" s="534">
        <f t="shared" ref="B21:B28" si="3">B20+1</f>
        <v>2025</v>
      </c>
      <c r="D21" s="388">
        <f>CF!P24</f>
        <v>41.895254103264165</v>
      </c>
      <c r="F21" s="515">
        <f t="shared" si="0"/>
        <v>0.86851095206914675</v>
      </c>
      <c r="H21" s="515">
        <f t="shared" si="1"/>
        <v>36.386487028404787</v>
      </c>
    </row>
    <row r="22" spans="1:12">
      <c r="A22" s="387">
        <f t="shared" si="2"/>
        <v>4</v>
      </c>
      <c r="B22" s="534">
        <f t="shared" si="3"/>
        <v>2026</v>
      </c>
      <c r="D22" s="388">
        <f>CF!Q24</f>
        <v>45.510667455299107</v>
      </c>
      <c r="F22" s="515">
        <f t="shared" si="0"/>
        <v>0.82864223642128132</v>
      </c>
      <c r="H22" s="515">
        <f t="shared" si="1"/>
        <v>37.712061261184274</v>
      </c>
      <c r="L22" s="515"/>
    </row>
    <row r="23" spans="1:12">
      <c r="A23" s="387">
        <f t="shared" si="2"/>
        <v>5</v>
      </c>
      <c r="B23" s="534">
        <f t="shared" si="3"/>
        <v>2027</v>
      </c>
      <c r="D23" s="388">
        <f>CF!R24</f>
        <v>49.504902013539272</v>
      </c>
      <c r="F23" s="515">
        <f t="shared" si="0"/>
        <v>0.7906036813299675</v>
      </c>
      <c r="H23" s="515">
        <f t="shared" si="1"/>
        <v>39.138757775783468</v>
      </c>
      <c r="L23" s="515"/>
    </row>
    <row r="24" spans="1:12">
      <c r="A24" s="387">
        <f t="shared" si="2"/>
        <v>6</v>
      </c>
      <c r="B24" s="534">
        <f t="shared" si="3"/>
        <v>2028</v>
      </c>
      <c r="D24" s="388">
        <f>CF!S24</f>
        <v>53.729244729913439</v>
      </c>
      <c r="F24" s="515">
        <f t="shared" si="0"/>
        <v>0.75431127386405605</v>
      </c>
      <c r="H24" s="515">
        <f t="shared" si="1"/>
        <v>40.528575035974626</v>
      </c>
    </row>
    <row r="25" spans="1:12">
      <c r="A25" s="387">
        <f t="shared" si="2"/>
        <v>7</v>
      </c>
      <c r="B25" s="534">
        <f t="shared" si="3"/>
        <v>2029</v>
      </c>
      <c r="D25" s="388">
        <f>CF!T24</f>
        <v>58.52079909479896</v>
      </c>
      <c r="F25" s="515">
        <f t="shared" si="0"/>
        <v>0.71968485767895407</v>
      </c>
      <c r="H25" s="515">
        <f t="shared" si="1"/>
        <v>42.116532967799053</v>
      </c>
    </row>
    <row r="26" spans="1:12">
      <c r="A26" s="387">
        <f t="shared" si="2"/>
        <v>8</v>
      </c>
      <c r="B26" s="534">
        <f t="shared" si="3"/>
        <v>2030</v>
      </c>
      <c r="D26" s="388">
        <f>CF!U24</f>
        <v>63.459239195139439</v>
      </c>
      <c r="F26" s="515">
        <f t="shared" si="0"/>
        <v>0.6866479559812626</v>
      </c>
      <c r="H26" s="515">
        <f t="shared" si="1"/>
        <v>43.574156881468518</v>
      </c>
      <c r="K26" s="548"/>
    </row>
    <row r="27" spans="1:12">
      <c r="A27" s="387">
        <f t="shared" si="2"/>
        <v>9</v>
      </c>
      <c r="B27" s="534">
        <f t="shared" si="3"/>
        <v>2031</v>
      </c>
      <c r="D27" s="388">
        <f>CF!V24</f>
        <v>68.794715681359463</v>
      </c>
      <c r="F27" s="515">
        <f t="shared" si="0"/>
        <v>0.65512760262016234</v>
      </c>
      <c r="H27" s="515">
        <f t="shared" si="1"/>
        <v>45.069317157264713</v>
      </c>
      <c r="J27" s="518"/>
      <c r="K27" s="721"/>
    </row>
    <row r="28" spans="1:12">
      <c r="A28" s="387">
        <f t="shared" si="2"/>
        <v>10</v>
      </c>
      <c r="B28" s="534">
        <f t="shared" si="3"/>
        <v>2032</v>
      </c>
      <c r="D28" s="388">
        <f>CF!W24</f>
        <v>74.559030687886192</v>
      </c>
      <c r="F28" s="515">
        <f t="shared" si="0"/>
        <v>0.62505418093249698</v>
      </c>
      <c r="H28" s="515">
        <f t="shared" si="1"/>
        <v>46.603433857737613</v>
      </c>
      <c r="J28" s="722">
        <f>SUM(H19:H28)</f>
        <v>341.47709458974936</v>
      </c>
      <c r="K28" s="518"/>
    </row>
    <row r="29" spans="1:12">
      <c r="A29" s="387">
        <f t="shared" si="2"/>
        <v>11</v>
      </c>
      <c r="B29" s="387" t="s">
        <v>1049</v>
      </c>
      <c r="D29" s="388">
        <f>(('IS normalized'!Q101*(1+Assumptions!R4))*(1-(Valution!C6/Valution!C7)))/(Valution!C5-Valution!C6)</f>
        <v>1887.2177777859981</v>
      </c>
      <c r="F29" s="515">
        <f>(1+C5)^(-A29+1)</f>
        <v>0.62505418093249698</v>
      </c>
      <c r="H29" s="515">
        <f t="shared" si="1"/>
        <v>1179.6133623352741</v>
      </c>
      <c r="J29" s="518"/>
      <c r="K29" s="518"/>
    </row>
    <row r="30" spans="1:12" ht="15" thickBot="1">
      <c r="H30" s="515"/>
    </row>
    <row r="31" spans="1:12">
      <c r="B31" s="387" t="s">
        <v>1051</v>
      </c>
      <c r="H31" s="753">
        <f>SUM(H19:H29)</f>
        <v>1521.0904569250235</v>
      </c>
    </row>
    <row r="32" spans="1:12">
      <c r="H32" s="515"/>
    </row>
    <row r="33" spans="2:8">
      <c r="B33" s="387" t="s">
        <v>1052</v>
      </c>
      <c r="H33" s="515">
        <f>(1+C5)^0.5</f>
        <v>1.0237740491839016</v>
      </c>
    </row>
    <row r="34" spans="2:8" ht="15" thickBot="1">
      <c r="H34" s="515"/>
    </row>
    <row r="35" spans="2:8">
      <c r="B35" s="387" t="s">
        <v>1051</v>
      </c>
      <c r="H35" s="753">
        <f>H31*H33</f>
        <v>1557.2529362611224</v>
      </c>
    </row>
    <row r="38" spans="2:8">
      <c r="B38" s="387" t="s">
        <v>1053</v>
      </c>
      <c r="H38" s="387">
        <f>'Decomposed SFP'!G123</f>
        <v>0.5</v>
      </c>
    </row>
    <row r="39" spans="2:8">
      <c r="B39" s="387" t="s">
        <v>146</v>
      </c>
      <c r="H39" s="387">
        <f>'Decomposed SFP'!G126</f>
        <v>73.2</v>
      </c>
    </row>
    <row r="42" spans="2:8" ht="15" thickBot="1"/>
    <row r="43" spans="2:8">
      <c r="B43" s="509" t="s">
        <v>1054</v>
      </c>
      <c r="C43" s="514"/>
      <c r="D43" s="514"/>
      <c r="E43" s="514"/>
      <c r="F43" s="514"/>
      <c r="G43" s="514"/>
      <c r="H43" s="752">
        <f>SUM(H35:H42)</f>
        <v>1630.9529362611224</v>
      </c>
    </row>
    <row r="46" spans="2:8">
      <c r="B46" s="387" t="s">
        <v>152</v>
      </c>
      <c r="H46" s="387">
        <f>-'Decomposed SFP'!G131</f>
        <v>-158.19999999999999</v>
      </c>
    </row>
    <row r="47" spans="2:8">
      <c r="B47" s="387" t="str">
        <f>'Decomposed SFP'!A133</f>
        <v>Deferred Tax Liabilities</v>
      </c>
      <c r="H47" s="387">
        <f>-'Decomposed SFP'!G133</f>
        <v>-1.6</v>
      </c>
    </row>
    <row r="49" spans="2:26" ht="15" thickBot="1">
      <c r="B49" s="512" t="s">
        <v>1055</v>
      </c>
      <c r="C49" s="511"/>
      <c r="D49" s="511"/>
      <c r="E49" s="511"/>
      <c r="F49" s="511"/>
      <c r="G49" s="511"/>
      <c r="H49" s="751">
        <f>SUM(H43:H48)</f>
        <v>1471.1529362611225</v>
      </c>
    </row>
    <row r="53" spans="2:26" ht="16">
      <c r="B53" s="551" t="s">
        <v>2680</v>
      </c>
      <c r="C53" s="551"/>
      <c r="D53" s="553" t="s">
        <v>2683</v>
      </c>
    </row>
    <row r="54" spans="2:26">
      <c r="B54" s="387" t="s">
        <v>2681</v>
      </c>
      <c r="D54" s="550">
        <f>H49</f>
        <v>1471.1529362611225</v>
      </c>
    </row>
    <row r="55" spans="2:26">
      <c r="B55" s="387" t="s">
        <v>2682</v>
      </c>
      <c r="D55" s="549">
        <f>'Raw Data'!G32</f>
        <v>310.89999999999998</v>
      </c>
    </row>
    <row r="56" spans="2:26" ht="15" thickBot="1">
      <c r="B56" s="511" t="s">
        <v>2680</v>
      </c>
      <c r="C56" s="511"/>
      <c r="D56" s="552">
        <f>D54/D55</f>
        <v>4.7319168101033213</v>
      </c>
    </row>
    <row r="60" spans="2:26">
      <c r="B60" s="523" t="s">
        <v>1056</v>
      </c>
      <c r="C60" s="523"/>
      <c r="D60" s="523"/>
      <c r="E60" s="523"/>
      <c r="F60" s="523"/>
      <c r="G60" s="523"/>
      <c r="H60" s="523"/>
      <c r="I60" s="523"/>
      <c r="J60" s="523"/>
      <c r="K60" s="523"/>
      <c r="L60" s="523"/>
      <c r="M60" s="523"/>
    </row>
    <row r="61" spans="2:26">
      <c r="B61" s="523" t="s">
        <v>1057</v>
      </c>
      <c r="C61" s="523"/>
      <c r="D61" s="523"/>
      <c r="E61" s="523"/>
      <c r="F61" s="523"/>
      <c r="G61" s="523"/>
      <c r="H61" s="523"/>
      <c r="I61" s="523"/>
      <c r="J61" s="523"/>
      <c r="K61" s="523"/>
      <c r="L61" s="523"/>
      <c r="M61" s="523"/>
      <c r="Q61" s="517">
        <f>'IS normalized'!H103</f>
        <v>5.2806490496933076E-2</v>
      </c>
      <c r="R61" s="517">
        <f>'IS normalized'!I103</f>
        <v>5.4975162710989713E-2</v>
      </c>
      <c r="S61" s="517">
        <f>'IS normalized'!J103</f>
        <v>5.7867829971156144E-2</v>
      </c>
      <c r="T61" s="517">
        <f>'IS normalized'!K103</f>
        <v>6.0848630221646514E-2</v>
      </c>
      <c r="U61" s="517">
        <f>'IS normalized'!L103</f>
        <v>6.3919620344544792E-2</v>
      </c>
      <c r="V61" s="517">
        <f>'IS normalized'!M103</f>
        <v>6.7077016034616313E-2</v>
      </c>
      <c r="W61" s="517">
        <f>'IS normalized'!N103</f>
        <v>7.0325792577694959E-2</v>
      </c>
      <c r="X61" s="517">
        <f>'IS normalized'!O103</f>
        <v>7.3661476093693057E-2</v>
      </c>
      <c r="Y61" s="517">
        <f>'IS normalized'!P103</f>
        <v>7.7063090181980307E-2</v>
      </c>
      <c r="Z61" s="517">
        <f>'IS normalized'!Q103</f>
        <v>8.0523838474312145E-2</v>
      </c>
    </row>
    <row r="62" spans="2:26" ht="15" thickBot="1">
      <c r="B62" s="391"/>
      <c r="C62" s="392">
        <f>'IS normalized'!H83</f>
        <v>2023</v>
      </c>
      <c r="D62" s="392">
        <f>'IS normalized'!I83</f>
        <v>2024</v>
      </c>
      <c r="E62" s="392">
        <f>'IS normalized'!J83</f>
        <v>2025</v>
      </c>
      <c r="F62" s="392">
        <f>'IS normalized'!K83</f>
        <v>2026</v>
      </c>
      <c r="G62" s="392">
        <f>'IS normalized'!L83</f>
        <v>2027</v>
      </c>
      <c r="H62" s="392">
        <f>'IS normalized'!M83</f>
        <v>2028</v>
      </c>
      <c r="I62" s="392">
        <f>'IS normalized'!N83</f>
        <v>2029</v>
      </c>
      <c r="J62" s="392">
        <f>'IS normalized'!O83</f>
        <v>2030</v>
      </c>
      <c r="K62" s="392">
        <f>'IS normalized'!P83</f>
        <v>2031</v>
      </c>
      <c r="L62" s="392">
        <f>'IS normalized'!Q83</f>
        <v>2032</v>
      </c>
      <c r="M62" s="392"/>
      <c r="Q62" s="517">
        <f>$C$5</f>
        <v>4.8113303782401431E-2</v>
      </c>
      <c r="R62" s="517">
        <f t="shared" ref="R62:Z62" si="4">$C$5</f>
        <v>4.8113303782401431E-2</v>
      </c>
      <c r="S62" s="517">
        <f t="shared" si="4"/>
        <v>4.8113303782401431E-2</v>
      </c>
      <c r="T62" s="517">
        <f t="shared" si="4"/>
        <v>4.8113303782401431E-2</v>
      </c>
      <c r="U62" s="517">
        <f t="shared" si="4"/>
        <v>4.8113303782401431E-2</v>
      </c>
      <c r="V62" s="517">
        <f t="shared" si="4"/>
        <v>4.8113303782401431E-2</v>
      </c>
      <c r="W62" s="517">
        <f t="shared" si="4"/>
        <v>4.8113303782401431E-2</v>
      </c>
      <c r="X62" s="517">
        <f t="shared" si="4"/>
        <v>4.8113303782401431E-2</v>
      </c>
      <c r="Y62" s="517">
        <f t="shared" si="4"/>
        <v>4.8113303782401431E-2</v>
      </c>
      <c r="Z62" s="517">
        <f t="shared" si="4"/>
        <v>4.8113303782401431E-2</v>
      </c>
    </row>
    <row r="63" spans="2:26">
      <c r="B63" s="387" t="s">
        <v>163</v>
      </c>
      <c r="C63" s="393">
        <f>'IS normalized'!H77</f>
        <v>24.038277903556384</v>
      </c>
      <c r="D63" s="393">
        <f>'IS normalized'!I77</f>
        <v>25.467532201431482</v>
      </c>
      <c r="E63" s="393">
        <f>'IS normalized'!J77</f>
        <v>27.504934777546019</v>
      </c>
      <c r="F63" s="393">
        <f>'IS normalized'!K77</f>
        <v>29.705329559749696</v>
      </c>
      <c r="G63" s="393">
        <f>'IS normalized'!L77</f>
        <v>32.081755924529688</v>
      </c>
      <c r="H63" s="393">
        <f>'IS normalized'!M77</f>
        <v>34.648296398492022</v>
      </c>
      <c r="I63" s="393">
        <f>'IS normalized'!N77</f>
        <v>37.420160110371413</v>
      </c>
      <c r="J63" s="393">
        <f>'IS normalized'!O77</f>
        <v>40.413772919201122</v>
      </c>
      <c r="K63" s="393">
        <f>'IS normalized'!P77</f>
        <v>43.646874752737219</v>
      </c>
      <c r="L63" s="393">
        <f>'IS normalized'!Q77</f>
        <v>47.138624732956195</v>
      </c>
      <c r="M63" s="394">
        <f>L63*(1+Assumptions!R4)</f>
        <v>50.909714711592692</v>
      </c>
      <c r="Q63" s="517">
        <f>Q61-Q62</f>
        <v>4.6931867145316442E-3</v>
      </c>
      <c r="R63" s="517">
        <f t="shared" ref="R63:Z63" si="5">R61-R62</f>
        <v>6.8618589285882811E-3</v>
      </c>
      <c r="S63" s="517">
        <f t="shared" si="5"/>
        <v>9.7545261887547127E-3</v>
      </c>
      <c r="T63" s="517">
        <f t="shared" si="5"/>
        <v>1.2735326439245083E-2</v>
      </c>
      <c r="U63" s="517">
        <f t="shared" si="5"/>
        <v>1.580631656214336E-2</v>
      </c>
      <c r="V63" s="517">
        <f t="shared" si="5"/>
        <v>1.8963712252214882E-2</v>
      </c>
      <c r="W63" s="517">
        <f t="shared" si="5"/>
        <v>2.2212488795293528E-2</v>
      </c>
      <c r="X63" s="517">
        <f t="shared" si="5"/>
        <v>2.5548172311291625E-2</v>
      </c>
      <c r="Y63" s="517">
        <f t="shared" si="5"/>
        <v>2.8949786399578875E-2</v>
      </c>
      <c r="Z63" s="517">
        <f t="shared" si="5"/>
        <v>3.2410534691910714E-2</v>
      </c>
    </row>
    <row r="64" spans="2:26">
      <c r="C64" s="395"/>
      <c r="D64" s="395"/>
      <c r="E64" s="395"/>
      <c r="F64" s="395"/>
      <c r="G64" s="395"/>
      <c r="H64" s="395"/>
      <c r="Q64" s="518"/>
      <c r="R64" s="518"/>
      <c r="S64" s="518"/>
      <c r="T64" s="518"/>
      <c r="U64" s="518"/>
      <c r="V64" s="518"/>
      <c r="W64" s="518"/>
      <c r="X64" s="518"/>
      <c r="Y64" s="518"/>
      <c r="Z64" s="518"/>
    </row>
    <row r="65" spans="1:26" ht="18">
      <c r="B65" s="387" t="s">
        <v>1062</v>
      </c>
      <c r="C65" s="393">
        <f>'Decomposed SFP'!G88</f>
        <v>453</v>
      </c>
      <c r="D65" s="393">
        <f>'Decomposed SFP'!H88</f>
        <v>457.42891422418961</v>
      </c>
      <c r="E65" s="393">
        <f>'Decomposed SFP'!I88</f>
        <v>469.08156598364582</v>
      </c>
      <c r="F65" s="393">
        <f>'Decomposed SFP'!J88</f>
        <v>481.53070999959687</v>
      </c>
      <c r="G65" s="393">
        <f>'Decomposed SFP'!K88</f>
        <v>494.83735125487721</v>
      </c>
      <c r="H65" s="393">
        <f>'Decomposed SFP'!L88</f>
        <v>508.97824563383926</v>
      </c>
      <c r="I65" s="393">
        <f>'Decomposed SFP'!M88</f>
        <v>524.11172904872979</v>
      </c>
      <c r="J65" s="393">
        <f>'Decomposed SFP'!N88</f>
        <v>540.08275035312386</v>
      </c>
      <c r="K65" s="393">
        <f>'Decomposed SFP'!O88</f>
        <v>557.20106915104088</v>
      </c>
      <c r="L65" s="393">
        <f>'Decomposed SFP'!P88</f>
        <v>575.55586155774563</v>
      </c>
      <c r="M65" s="393">
        <f>'Decomposed SFP'!Q88</f>
        <v>595.24338562404023</v>
      </c>
      <c r="Q65" s="519">
        <f>D65*Q63</f>
        <v>2.1467993030796015</v>
      </c>
      <c r="R65" s="519">
        <f t="shared" ref="R65:Z65" si="6">E65*R63</f>
        <v>3.2187715317810528</v>
      </c>
      <c r="S65" s="519">
        <f t="shared" si="6"/>
        <v>4.6971039213807186</v>
      </c>
      <c r="T65" s="519">
        <f t="shared" si="6"/>
        <v>6.3019152025622436</v>
      </c>
      <c r="U65" s="519">
        <f t="shared" si="6"/>
        <v>8.0450712737328249</v>
      </c>
      <c r="V65" s="519">
        <f t="shared" si="6"/>
        <v>9.9391040176909229</v>
      </c>
      <c r="W65" s="519">
        <f t="shared" si="6"/>
        <v>11.996582040750075</v>
      </c>
      <c r="X65" s="519">
        <f t="shared" si="6"/>
        <v>14.235468926706712</v>
      </c>
      <c r="Y65" s="519">
        <f t="shared" si="6"/>
        <v>16.662219253122327</v>
      </c>
      <c r="Z65" s="519">
        <f t="shared" si="6"/>
        <v>19.292156399898342</v>
      </c>
    </row>
    <row r="66" spans="1:26">
      <c r="B66" s="396" t="s">
        <v>1058</v>
      </c>
      <c r="C66" s="397">
        <f>$C$5</f>
        <v>4.8113303782401431E-2</v>
      </c>
      <c r="D66" s="397">
        <f t="shared" ref="D66:M66" si="7">$C$5</f>
        <v>4.8113303782401431E-2</v>
      </c>
      <c r="E66" s="397">
        <f t="shared" si="7"/>
        <v>4.8113303782401431E-2</v>
      </c>
      <c r="F66" s="397">
        <f t="shared" si="7"/>
        <v>4.8113303782401431E-2</v>
      </c>
      <c r="G66" s="397">
        <f t="shared" si="7"/>
        <v>4.8113303782401431E-2</v>
      </c>
      <c r="H66" s="397">
        <f t="shared" si="7"/>
        <v>4.8113303782401431E-2</v>
      </c>
      <c r="I66" s="397">
        <f t="shared" si="7"/>
        <v>4.8113303782401431E-2</v>
      </c>
      <c r="J66" s="397">
        <f t="shared" si="7"/>
        <v>4.8113303782401431E-2</v>
      </c>
      <c r="K66" s="397">
        <f t="shared" si="7"/>
        <v>4.8113303782401431E-2</v>
      </c>
      <c r="L66" s="397">
        <f t="shared" si="7"/>
        <v>4.8113303782401431E-2</v>
      </c>
      <c r="M66" s="397">
        <f t="shared" si="7"/>
        <v>4.8113303782401431E-2</v>
      </c>
      <c r="Q66" s="518"/>
      <c r="R66" s="518"/>
      <c r="S66" s="518"/>
      <c r="T66" s="518"/>
      <c r="U66" s="518"/>
      <c r="V66" s="518"/>
      <c r="W66" s="518"/>
      <c r="X66" s="518"/>
      <c r="Y66" s="518"/>
      <c r="Z66" s="518"/>
    </row>
    <row r="67" spans="1:26">
      <c r="B67" s="387" t="s">
        <v>1059</v>
      </c>
      <c r="C67" s="393">
        <f>C65*C66</f>
        <v>21.79532661342785</v>
      </c>
      <c r="D67" s="393">
        <f t="shared" ref="D67:M67" si="8">D65*D66</f>
        <v>22.008416308922481</v>
      </c>
      <c r="E67" s="393">
        <f t="shared" si="8"/>
        <v>22.569063882895733</v>
      </c>
      <c r="F67" s="393">
        <f t="shared" si="8"/>
        <v>23.16803333076605</v>
      </c>
      <c r="G67" s="393">
        <f t="shared" si="8"/>
        <v>23.808259803804788</v>
      </c>
      <c r="H67" s="393">
        <f t="shared" si="8"/>
        <v>24.488624950814643</v>
      </c>
      <c r="I67" s="393">
        <f t="shared" si="8"/>
        <v>25.216746835641207</v>
      </c>
      <c r="J67" s="393">
        <f t="shared" si="8"/>
        <v>25.985165435374721</v>
      </c>
      <c r="K67" s="393">
        <f t="shared" si="8"/>
        <v>26.808784307942897</v>
      </c>
      <c r="L67" s="393">
        <f t="shared" si="8"/>
        <v>27.691894010869596</v>
      </c>
      <c r="M67" s="393">
        <f t="shared" si="8"/>
        <v>28.63912583699457</v>
      </c>
      <c r="Q67" s="518"/>
      <c r="R67" s="518"/>
      <c r="S67" s="518"/>
      <c r="T67" s="518"/>
      <c r="U67" s="518"/>
      <c r="V67" s="518"/>
      <c r="W67" s="518"/>
      <c r="X67" s="518"/>
      <c r="Y67" s="518"/>
      <c r="Z67" s="518"/>
    </row>
    <row r="68" spans="1:26">
      <c r="C68" s="393"/>
      <c r="D68" s="393"/>
      <c r="E68" s="393"/>
      <c r="F68" s="393"/>
      <c r="G68" s="393"/>
      <c r="H68" s="393"/>
    </row>
    <row r="69" spans="1:26">
      <c r="B69" s="389" t="s">
        <v>1056</v>
      </c>
      <c r="C69" s="398">
        <f>C63-C67</f>
        <v>2.2429512901285342</v>
      </c>
      <c r="D69" s="398">
        <f t="shared" ref="D69:L69" si="9">D63-D67</f>
        <v>3.4591158925090006</v>
      </c>
      <c r="E69" s="398">
        <f t="shared" si="9"/>
        <v>4.9358708946502858</v>
      </c>
      <c r="F69" s="398">
        <f t="shared" si="9"/>
        <v>6.5372962289836458</v>
      </c>
      <c r="G69" s="398">
        <f t="shared" si="9"/>
        <v>8.2734961207249</v>
      </c>
      <c r="H69" s="398">
        <f t="shared" si="9"/>
        <v>10.159671447677379</v>
      </c>
      <c r="I69" s="398">
        <f t="shared" si="9"/>
        <v>12.203413274730206</v>
      </c>
      <c r="J69" s="398">
        <f t="shared" si="9"/>
        <v>14.428607483826401</v>
      </c>
      <c r="K69" s="398">
        <f t="shared" si="9"/>
        <v>16.838090444794322</v>
      </c>
      <c r="L69" s="398">
        <f t="shared" si="9"/>
        <v>19.446730722086599</v>
      </c>
      <c r="M69" s="398">
        <f t="shared" ref="M69" si="10">M63-M67</f>
        <v>22.270588874598122</v>
      </c>
    </row>
    <row r="78" spans="1:26" ht="15" thickBot="1">
      <c r="A78" s="535" t="str">
        <f>A17</f>
        <v xml:space="preserve">S/N </v>
      </c>
      <c r="B78" s="537" t="s">
        <v>697</v>
      </c>
      <c r="C78" s="522" t="s">
        <v>1060</v>
      </c>
      <c r="D78" s="522" t="s">
        <v>2658</v>
      </c>
      <c r="E78" s="522" t="s">
        <v>1061</v>
      </c>
    </row>
    <row r="79" spans="1:26">
      <c r="A79" s="387">
        <f>1</f>
        <v>1</v>
      </c>
      <c r="B79" s="534">
        <f t="shared" ref="B79:B89" si="11">B19</f>
        <v>2023</v>
      </c>
      <c r="C79" s="395">
        <f>C$69</f>
        <v>2.2429512901285342</v>
      </c>
      <c r="D79" s="515">
        <f t="shared" ref="D79:D88" si="12">1/(1+$C$5)^A79</f>
        <v>0.95409532193821833</v>
      </c>
      <c r="E79" s="394">
        <f>C79*D79</f>
        <v>2.139989333246926</v>
      </c>
      <c r="L79" s="399"/>
    </row>
    <row r="80" spans="1:26">
      <c r="A80" s="387">
        <f>A79+1</f>
        <v>2</v>
      </c>
      <c r="B80" s="534">
        <f t="shared" si="11"/>
        <v>2024</v>
      </c>
      <c r="C80" s="395">
        <f>D69</f>
        <v>3.4591158925090006</v>
      </c>
      <c r="D80" s="515">
        <f t="shared" si="12"/>
        <v>0.91029788334439254</v>
      </c>
      <c r="E80" s="394">
        <f t="shared" ref="E80:E89" si="13">C80*D80</f>
        <v>3.1488258751938925</v>
      </c>
    </row>
    <row r="81" spans="1:15">
      <c r="A81" s="387">
        <f t="shared" ref="A81:A89" si="14">A80+1</f>
        <v>3</v>
      </c>
      <c r="B81" s="534">
        <f t="shared" si="11"/>
        <v>2025</v>
      </c>
      <c r="C81" s="395">
        <f>E69</f>
        <v>4.9358708946502858</v>
      </c>
      <c r="D81" s="515">
        <f t="shared" si="12"/>
        <v>0.86851095206914675</v>
      </c>
      <c r="E81" s="394">
        <f t="shared" si="13"/>
        <v>4.2868579300031104</v>
      </c>
    </row>
    <row r="82" spans="1:15">
      <c r="A82" s="387">
        <f t="shared" si="14"/>
        <v>4</v>
      </c>
      <c r="B82" s="534">
        <f t="shared" si="11"/>
        <v>2026</v>
      </c>
      <c r="C82" s="395">
        <f>F69</f>
        <v>6.5372962289836458</v>
      </c>
      <c r="D82" s="515">
        <f t="shared" si="12"/>
        <v>0.82864223642128132</v>
      </c>
      <c r="E82" s="394">
        <f t="shared" si="13"/>
        <v>5.4170797673334175</v>
      </c>
    </row>
    <row r="83" spans="1:15">
      <c r="A83" s="387">
        <f t="shared" si="14"/>
        <v>5</v>
      </c>
      <c r="B83" s="534">
        <f t="shared" si="11"/>
        <v>2027</v>
      </c>
      <c r="C83" s="395">
        <f>G69</f>
        <v>8.2734961207249</v>
      </c>
      <c r="D83" s="515">
        <f t="shared" si="12"/>
        <v>0.7906036813299675</v>
      </c>
      <c r="E83" s="394">
        <f t="shared" si="13"/>
        <v>6.5410564905143112</v>
      </c>
      <c r="N83" s="387" t="s">
        <v>2659</v>
      </c>
      <c r="O83" s="394">
        <f>(M69/C5)+(O91/(C5-C6))</f>
        <v>1291.9743921619579</v>
      </c>
    </row>
    <row r="84" spans="1:15">
      <c r="A84" s="387">
        <f t="shared" si="14"/>
        <v>6</v>
      </c>
      <c r="B84" s="534">
        <f t="shared" si="11"/>
        <v>2028</v>
      </c>
      <c r="C84" s="395">
        <f>H69</f>
        <v>10.159671447677379</v>
      </c>
      <c r="D84" s="515">
        <f t="shared" si="12"/>
        <v>0.75431127386405605</v>
      </c>
      <c r="E84" s="394">
        <f t="shared" si="13"/>
        <v>7.6635547117378024</v>
      </c>
    </row>
    <row r="85" spans="1:15">
      <c r="A85" s="387">
        <f t="shared" si="14"/>
        <v>7</v>
      </c>
      <c r="B85" s="534">
        <f t="shared" si="11"/>
        <v>2029</v>
      </c>
      <c r="C85" s="395">
        <f>I69</f>
        <v>12.203413274730206</v>
      </c>
      <c r="D85" s="515">
        <f t="shared" si="12"/>
        <v>0.71968485767895407</v>
      </c>
      <c r="E85" s="394">
        <f t="shared" si="13"/>
        <v>8.7826117458216668</v>
      </c>
    </row>
    <row r="86" spans="1:15">
      <c r="A86" s="387">
        <f t="shared" si="14"/>
        <v>8</v>
      </c>
      <c r="B86" s="534">
        <f t="shared" si="11"/>
        <v>2030</v>
      </c>
      <c r="C86" s="395">
        <f>J69</f>
        <v>14.428607483826401</v>
      </c>
      <c r="D86" s="515">
        <f t="shared" si="12"/>
        <v>0.6866479559812626</v>
      </c>
      <c r="E86" s="394">
        <f t="shared" si="13"/>
        <v>9.9073738364253465</v>
      </c>
    </row>
    <row r="87" spans="1:15">
      <c r="A87" s="387">
        <f t="shared" si="14"/>
        <v>9</v>
      </c>
      <c r="B87" s="534">
        <f t="shared" si="11"/>
        <v>2031</v>
      </c>
      <c r="C87" s="395">
        <f>K69</f>
        <v>16.838090444794322</v>
      </c>
      <c r="D87" s="515">
        <f t="shared" si="12"/>
        <v>0.65512760262016234</v>
      </c>
      <c r="E87" s="394">
        <f t="shared" si="13"/>
        <v>11.031097825799566</v>
      </c>
    </row>
    <row r="88" spans="1:15">
      <c r="A88" s="387">
        <f t="shared" si="14"/>
        <v>10</v>
      </c>
      <c r="B88" s="534">
        <f t="shared" si="11"/>
        <v>2032</v>
      </c>
      <c r="C88" s="395">
        <f>L69</f>
        <v>19.446730722086599</v>
      </c>
      <c r="D88" s="515">
        <f t="shared" si="12"/>
        <v>0.62505418093249698</v>
      </c>
      <c r="E88" s="394">
        <f t="shared" si="13"/>
        <v>12.155260343308665</v>
      </c>
    </row>
    <row r="89" spans="1:15">
      <c r="A89" s="387">
        <f t="shared" si="14"/>
        <v>11</v>
      </c>
      <c r="B89" s="387" t="str">
        <f t="shared" si="11"/>
        <v>Continuing Value</v>
      </c>
      <c r="C89" s="516">
        <f>O83</f>
        <v>1291.9743921619579</v>
      </c>
      <c r="D89" s="515">
        <f>(1+C5)^(-A89+1)</f>
        <v>0.62505418093249698</v>
      </c>
      <c r="E89" s="394">
        <f t="shared" si="13"/>
        <v>807.55399547855325</v>
      </c>
    </row>
    <row r="91" spans="1:15" ht="18">
      <c r="B91" s="400" t="s">
        <v>1063</v>
      </c>
      <c r="E91" s="388">
        <f>'Decomposed SFP'!G88</f>
        <v>453</v>
      </c>
      <c r="N91" s="387" t="s">
        <v>2660</v>
      </c>
      <c r="O91" s="395">
        <f>((M63)*(C6/C7)*(C7-C5))/C5</f>
        <v>11.70128952719649</v>
      </c>
    </row>
    <row r="92" spans="1:15">
      <c r="E92" s="401">
        <f>SUM(E79:E91)</f>
        <v>1331.6277033379379</v>
      </c>
    </row>
    <row r="94" spans="1:15">
      <c r="B94" s="387" t="s">
        <v>1052</v>
      </c>
      <c r="E94" s="387">
        <f>(1+C5)^0.5</f>
        <v>1.0237740491839016</v>
      </c>
    </row>
    <row r="97" spans="2:9">
      <c r="B97" s="387" t="s">
        <v>1051</v>
      </c>
      <c r="E97" s="401">
        <f>E92*E94</f>
        <v>1363.28588585174</v>
      </c>
    </row>
    <row r="100" spans="2:9">
      <c r="B100" s="387" t="str">
        <f>B38</f>
        <v>PV of nonoperating assets</v>
      </c>
      <c r="E100" s="387">
        <f>H38</f>
        <v>0.5</v>
      </c>
    </row>
    <row r="101" spans="2:9">
      <c r="B101" s="387" t="str">
        <f>B39</f>
        <v>Excess Cash</v>
      </c>
      <c r="E101" s="387">
        <f>H39</f>
        <v>73.2</v>
      </c>
    </row>
    <row r="104" spans="2:9" ht="15" thickBot="1"/>
    <row r="105" spans="2:9">
      <c r="B105" s="509" t="str">
        <f t="shared" ref="B105:B109" si="15">B43</f>
        <v>Enterprise value</v>
      </c>
      <c r="C105" s="509"/>
      <c r="D105" s="509"/>
      <c r="E105" s="510">
        <f>SUM(E97:E104)</f>
        <v>1436.98588585174</v>
      </c>
    </row>
    <row r="108" spans="2:9">
      <c r="B108" s="387" t="str">
        <f t="shared" si="15"/>
        <v>Debt</v>
      </c>
      <c r="E108" s="387">
        <f t="shared" ref="E108:E109" si="16">H46</f>
        <v>-158.19999999999999</v>
      </c>
    </row>
    <row r="109" spans="2:9">
      <c r="B109" s="387" t="str">
        <f t="shared" si="15"/>
        <v>Deferred Tax Liabilities</v>
      </c>
      <c r="E109" s="387">
        <f t="shared" si="16"/>
        <v>-1.6</v>
      </c>
      <c r="I109" s="723">
        <f>E111-H49</f>
        <v>-193.96705040938241</v>
      </c>
    </row>
    <row r="111" spans="2:9" ht="15" thickBot="1">
      <c r="B111" s="512" t="str">
        <f t="shared" ref="B111" si="17">B49</f>
        <v>Equity value</v>
      </c>
      <c r="C111" s="512"/>
      <c r="D111" s="512"/>
      <c r="E111" s="513">
        <f>SUM(E105:E110)</f>
        <v>1277.1858858517401</v>
      </c>
    </row>
    <row r="120" spans="2:21" ht="19" thickBot="1">
      <c r="B120" s="693" t="s">
        <v>2697</v>
      </c>
      <c r="C120" s="694"/>
      <c r="D120" s="695"/>
      <c r="E120" s="696"/>
      <c r="F120" s="697"/>
      <c r="G120" s="697"/>
      <c r="H120" s="697"/>
      <c r="I120" s="697"/>
      <c r="J120" s="697"/>
      <c r="K120" s="698"/>
      <c r="L120" s="699"/>
      <c r="M120" s="699"/>
      <c r="N120" s="699"/>
      <c r="O120" s="699"/>
      <c r="P120" s="700"/>
      <c r="Q120" s="445"/>
      <c r="R120" s="445"/>
      <c r="S120" s="445"/>
      <c r="T120" s="445"/>
      <c r="U120" s="445"/>
    </row>
    <row r="121" spans="2:21" ht="18">
      <c r="B121" s="555"/>
      <c r="C121" s="556"/>
      <c r="D121" s="557"/>
      <c r="E121" s="558"/>
      <c r="F121" s="559"/>
      <c r="G121" s="559"/>
      <c r="H121" s="559"/>
      <c r="I121" s="559"/>
      <c r="J121" s="559"/>
      <c r="K121" s="559"/>
      <c r="L121" s="559"/>
      <c r="M121" s="559"/>
      <c r="N121" s="559"/>
      <c r="O121" s="559"/>
      <c r="P121" s="559"/>
    </row>
    <row r="122" spans="2:21" ht="18">
      <c r="B122" s="560" t="s">
        <v>2722</v>
      </c>
      <c r="C122" s="556"/>
      <c r="D122" s="557"/>
      <c r="E122" s="558"/>
      <c r="F122" s="559"/>
      <c r="G122" s="559"/>
      <c r="H122" s="561"/>
      <c r="I122" s="562"/>
      <c r="J122" s="648" t="s">
        <v>2698</v>
      </c>
      <c r="K122" s="649" t="s">
        <v>2726</v>
      </c>
      <c r="L122" s="650"/>
      <c r="M122" s="650"/>
      <c r="N122" s="650"/>
      <c r="O122" s="650"/>
      <c r="P122" s="651"/>
      <c r="Q122" s="651"/>
      <c r="R122" s="651"/>
      <c r="S122" s="651"/>
      <c r="T122" s="651"/>
      <c r="U122" s="677" t="s">
        <v>2723</v>
      </c>
    </row>
    <row r="123" spans="2:21" ht="18">
      <c r="B123" s="560"/>
      <c r="C123" s="561"/>
      <c r="D123" s="563"/>
      <c r="E123" s="564"/>
      <c r="F123" s="561"/>
      <c r="G123" s="561"/>
      <c r="H123" s="561"/>
      <c r="I123" s="565"/>
      <c r="J123" s="652" t="s">
        <v>2700</v>
      </c>
      <c r="K123" s="653" t="s">
        <v>2700</v>
      </c>
      <c r="L123" s="653" t="s">
        <v>2700</v>
      </c>
      <c r="M123" s="653" t="s">
        <v>2700</v>
      </c>
      <c r="N123" s="653" t="s">
        <v>2700</v>
      </c>
      <c r="O123" s="653" t="s">
        <v>2700</v>
      </c>
      <c r="P123" s="653" t="s">
        <v>2700</v>
      </c>
      <c r="Q123" s="653" t="s">
        <v>2700</v>
      </c>
      <c r="R123" s="653" t="s">
        <v>2700</v>
      </c>
      <c r="S123" s="653" t="s">
        <v>2700</v>
      </c>
      <c r="T123" s="653" t="s">
        <v>2700</v>
      </c>
      <c r="U123" s="654" t="s">
        <v>2700</v>
      </c>
    </row>
    <row r="124" spans="2:21" ht="18">
      <c r="B124" s="560"/>
      <c r="C124" s="561"/>
      <c r="D124" s="563"/>
      <c r="E124" s="564"/>
      <c r="F124" s="561"/>
      <c r="G124" s="561"/>
      <c r="H124" s="561"/>
      <c r="I124" s="566"/>
      <c r="J124" s="655">
        <f>DATE(G132,6,1)</f>
        <v>44713</v>
      </c>
      <c r="K124" s="656">
        <f>DATE(2023,5,30)</f>
        <v>45076</v>
      </c>
      <c r="L124" s="657">
        <f>EDATE(K124,12)</f>
        <v>45442</v>
      </c>
      <c r="M124" s="657">
        <f t="shared" ref="M124:U124" si="18">EDATE(L124,12)</f>
        <v>45807</v>
      </c>
      <c r="N124" s="657">
        <f t="shared" si="18"/>
        <v>46172</v>
      </c>
      <c r="O124" s="657">
        <f t="shared" si="18"/>
        <v>46537</v>
      </c>
      <c r="P124" s="657">
        <f t="shared" si="18"/>
        <v>46903</v>
      </c>
      <c r="Q124" s="657">
        <f t="shared" si="18"/>
        <v>47268</v>
      </c>
      <c r="R124" s="657">
        <f t="shared" si="18"/>
        <v>47633</v>
      </c>
      <c r="S124" s="657">
        <f t="shared" si="18"/>
        <v>47998</v>
      </c>
      <c r="T124" s="657">
        <f t="shared" si="18"/>
        <v>48364</v>
      </c>
      <c r="U124" s="658">
        <f t="shared" si="18"/>
        <v>48729</v>
      </c>
    </row>
    <row r="125" spans="2:21" ht="18">
      <c r="B125" s="555"/>
      <c r="C125" s="556"/>
      <c r="D125" s="557"/>
      <c r="E125" s="558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</row>
    <row r="126" spans="2:21" ht="18">
      <c r="B126" s="561"/>
      <c r="C126" s="561"/>
      <c r="D126" s="561"/>
      <c r="E126" s="561"/>
      <c r="F126" s="561"/>
      <c r="G126" s="561"/>
      <c r="H126" s="564"/>
      <c r="I126" s="564"/>
      <c r="J126" s="564"/>
      <c r="K126" s="567"/>
      <c r="L126" s="567"/>
      <c r="M126" s="567"/>
      <c r="N126" s="567"/>
      <c r="O126" s="4"/>
      <c r="P126" s="4"/>
    </row>
    <row r="127" spans="2:21" ht="18">
      <c r="B127" s="561"/>
      <c r="C127" s="561"/>
      <c r="D127" s="561"/>
      <c r="E127" s="561"/>
      <c r="F127" s="561"/>
      <c r="G127" s="561"/>
      <c r="H127" s="564"/>
      <c r="I127" s="564"/>
      <c r="J127" s="564"/>
      <c r="K127" s="568" t="s">
        <v>2727</v>
      </c>
      <c r="L127" s="567"/>
      <c r="M127" s="567"/>
      <c r="N127" s="567"/>
      <c r="O127" s="4"/>
      <c r="P127" s="4"/>
    </row>
    <row r="128" spans="2:21" ht="18">
      <c r="B128" s="561"/>
      <c r="C128" s="561"/>
      <c r="D128" s="561"/>
      <c r="E128" s="561"/>
      <c r="F128" s="561"/>
      <c r="G128" s="561"/>
      <c r="H128" s="564"/>
      <c r="I128" s="564"/>
      <c r="J128" s="564"/>
      <c r="K128" s="569">
        <f>D19</f>
        <v>-25.934494934812307</v>
      </c>
      <c r="L128" s="570">
        <f>_xlfn.XLOOKUP($B20,$B$19:$B$28,$D$19:$D$28)</f>
        <v>38.549746803037323</v>
      </c>
      <c r="M128" s="570">
        <f>_xlfn.XLOOKUP($B21,$B$19:$B$28,$D$19:$D$28)</f>
        <v>41.895254103264165</v>
      </c>
      <c r="N128" s="570">
        <f>_xlfn.XLOOKUP($B22,$B$19:$B$28,$D$19:$D$28)</f>
        <v>45.510667455299107</v>
      </c>
      <c r="O128" s="570">
        <f>_xlfn.XLOOKUP($B23,$B$19:$B$28,$D$19:$D$28)</f>
        <v>49.504902013539272</v>
      </c>
      <c r="P128" s="570">
        <f>_xlfn.XLOOKUP($B24,$B$19:$B$28,$D$19:$D$28)</f>
        <v>53.729244729913439</v>
      </c>
      <c r="Q128" s="570">
        <f>_xlfn.XLOOKUP($B25,$B$19:$B$28,$D$19:$D$28)</f>
        <v>58.52079909479896</v>
      </c>
      <c r="R128" s="570">
        <f>_xlfn.XLOOKUP($B26,$B$19:$B$28,$D$19:$D$28)</f>
        <v>63.459239195139439</v>
      </c>
      <c r="S128" s="570">
        <f>_xlfn.XLOOKUP($B27,$B$19:$B$28,$D$19:$D$28)</f>
        <v>68.794715681359463</v>
      </c>
      <c r="T128" s="570">
        <f>_xlfn.XLOOKUP($B28,$B$19:$B$28,$D$19:$D$28)</f>
        <v>74.559030687886192</v>
      </c>
      <c r="U128" s="659">
        <f>T128*(1.08)</f>
        <v>80.523753142917087</v>
      </c>
    </row>
    <row r="129" spans="2:21" ht="18">
      <c r="B129" s="561"/>
      <c r="C129" s="561"/>
      <c r="D129" s="564"/>
      <c r="E129" s="564"/>
      <c r="F129" s="567"/>
      <c r="G129" s="567"/>
      <c r="H129" s="564"/>
      <c r="I129" s="564"/>
      <c r="J129" s="564"/>
      <c r="K129" s="567"/>
      <c r="L129" s="567"/>
      <c r="M129" s="567"/>
      <c r="N129" s="567"/>
      <c r="O129" s="4"/>
      <c r="P129" s="4"/>
      <c r="T129" s="387">
        <f>T128/S128-1</f>
        <v>8.3790084012057564E-2</v>
      </c>
    </row>
    <row r="130" spans="2:21" ht="18">
      <c r="B130" s="560"/>
      <c r="C130" s="561"/>
      <c r="D130" s="4"/>
      <c r="E130" s="564"/>
      <c r="F130" s="4"/>
      <c r="G130" s="564"/>
      <c r="H130" s="564"/>
      <c r="I130" s="564"/>
      <c r="J130" s="564"/>
      <c r="K130" s="571"/>
      <c r="L130" s="571"/>
      <c r="M130" s="571"/>
      <c r="N130" s="571"/>
      <c r="O130" s="571"/>
      <c r="P130" s="561"/>
    </row>
    <row r="131" spans="2:21" ht="18">
      <c r="B131" s="561"/>
      <c r="C131" s="561"/>
      <c r="D131" s="568" t="s">
        <v>2701</v>
      </c>
      <c r="E131" s="4"/>
      <c r="F131" s="4"/>
      <c r="G131" s="4"/>
      <c r="H131" s="564"/>
      <c r="I131" s="564"/>
      <c r="J131" s="564"/>
      <c r="K131" s="568" t="s">
        <v>2702</v>
      </c>
      <c r="L131" s="571"/>
      <c r="M131" s="571"/>
      <c r="N131" s="571"/>
      <c r="O131" s="571"/>
      <c r="P131" s="561"/>
    </row>
    <row r="132" spans="2:21" ht="18">
      <c r="B132" s="561"/>
      <c r="C132" s="561"/>
      <c r="D132" s="572" t="s">
        <v>2703</v>
      </c>
      <c r="E132" s="573"/>
      <c r="F132" s="573"/>
      <c r="G132" s="574">
        <v>2022</v>
      </c>
      <c r="H132" s="564"/>
      <c r="I132" s="575" t="s">
        <v>2699</v>
      </c>
      <c r="J132" s="564"/>
      <c r="K132" s="660">
        <f>K128</f>
        <v>-25.934494934812307</v>
      </c>
      <c r="L132" s="661">
        <f t="shared" ref="L132:T132" si="19">L128</f>
        <v>38.549746803037323</v>
      </c>
      <c r="M132" s="661">
        <f t="shared" si="19"/>
        <v>41.895254103264165</v>
      </c>
      <c r="N132" s="661">
        <f t="shared" si="19"/>
        <v>45.510667455299107</v>
      </c>
      <c r="O132" s="661">
        <f t="shared" si="19"/>
        <v>49.504902013539272</v>
      </c>
      <c r="P132" s="661">
        <f t="shared" si="19"/>
        <v>53.729244729913439</v>
      </c>
      <c r="Q132" s="661">
        <f t="shared" si="19"/>
        <v>58.52079909479896</v>
      </c>
      <c r="R132" s="661">
        <f t="shared" si="19"/>
        <v>63.459239195139439</v>
      </c>
      <c r="S132" s="661">
        <f t="shared" si="19"/>
        <v>68.794715681359463</v>
      </c>
      <c r="T132" s="662">
        <f t="shared" si="19"/>
        <v>74.559030687886192</v>
      </c>
      <c r="U132"/>
    </row>
    <row r="133" spans="2:21" ht="18">
      <c r="B133" s="561"/>
      <c r="C133" s="561"/>
      <c r="D133" s="576" t="s">
        <v>2704</v>
      </c>
      <c r="E133" s="561"/>
      <c r="F133" s="561"/>
      <c r="G133" s="577">
        <f>C6</f>
        <v>3.4000000000000002E-2</v>
      </c>
      <c r="H133" s="564"/>
      <c r="I133" s="575" t="s">
        <v>2719</v>
      </c>
      <c r="J133" s="564"/>
      <c r="K133" s="663">
        <v>0</v>
      </c>
      <c r="L133" s="664">
        <v>0</v>
      </c>
      <c r="M133" s="664">
        <v>0</v>
      </c>
      <c r="N133" s="664">
        <v>0</v>
      </c>
      <c r="O133" s="664">
        <v>0</v>
      </c>
      <c r="P133" s="664">
        <v>0</v>
      </c>
      <c r="Q133" s="664">
        <v>0</v>
      </c>
      <c r="R133" s="664">
        <v>0</v>
      </c>
      <c r="S133" s="664">
        <v>0</v>
      </c>
      <c r="T133" s="665">
        <f>D29</f>
        <v>1887.2177777859981</v>
      </c>
      <c r="U133"/>
    </row>
    <row r="134" spans="2:21" ht="19" thickBot="1">
      <c r="B134" s="561"/>
      <c r="C134" s="561"/>
      <c r="D134" s="578" t="s">
        <v>2720</v>
      </c>
      <c r="E134" s="579"/>
      <c r="F134" s="579"/>
      <c r="G134" s="580">
        <f>C5</f>
        <v>4.8113303782401431E-2</v>
      </c>
      <c r="H134" s="564"/>
      <c r="I134" s="575" t="s">
        <v>2705</v>
      </c>
      <c r="J134" s="564"/>
      <c r="K134" s="666">
        <f>SUM(K132:K133)</f>
        <v>-25.934494934812307</v>
      </c>
      <c r="L134" s="667">
        <f t="shared" ref="L134:T134" si="20">SUM(L132:L133)</f>
        <v>38.549746803037323</v>
      </c>
      <c r="M134" s="667">
        <f t="shared" si="20"/>
        <v>41.895254103264165</v>
      </c>
      <c r="N134" s="667">
        <f t="shared" si="20"/>
        <v>45.510667455299107</v>
      </c>
      <c r="O134" s="667">
        <f t="shared" si="20"/>
        <v>49.504902013539272</v>
      </c>
      <c r="P134" s="667">
        <f t="shared" si="20"/>
        <v>53.729244729913439</v>
      </c>
      <c r="Q134" s="667">
        <f t="shared" si="20"/>
        <v>58.52079909479896</v>
      </c>
      <c r="R134" s="667">
        <f t="shared" si="20"/>
        <v>63.459239195139439</v>
      </c>
      <c r="S134" s="667">
        <f t="shared" si="20"/>
        <v>68.794715681359463</v>
      </c>
      <c r="T134" s="668">
        <f t="shared" si="20"/>
        <v>1961.7768084738843</v>
      </c>
      <c r="U134"/>
    </row>
    <row r="135" spans="2:21" ht="18">
      <c r="B135" s="561"/>
      <c r="C135" s="561"/>
      <c r="D135" s="564"/>
      <c r="E135" s="564"/>
      <c r="F135" s="567"/>
      <c r="G135" s="567"/>
      <c r="H135" s="564"/>
      <c r="I135" s="564"/>
      <c r="J135" s="564"/>
      <c r="K135" s="567"/>
      <c r="L135" s="567"/>
      <c r="M135" s="567"/>
      <c r="N135" s="567"/>
      <c r="O135" s="4"/>
      <c r="P135" s="4"/>
    </row>
    <row r="136" spans="2:21" ht="18">
      <c r="B136" s="561"/>
      <c r="C136" s="561"/>
      <c r="D136" s="564"/>
      <c r="E136" s="564"/>
      <c r="F136" s="567"/>
      <c r="G136" s="567"/>
      <c r="H136" s="564"/>
      <c r="I136" s="564"/>
      <c r="J136" s="564"/>
      <c r="K136" s="567"/>
      <c r="L136" s="567"/>
      <c r="M136" s="567"/>
      <c r="N136" s="567"/>
      <c r="O136" s="4"/>
      <c r="P136" s="4"/>
    </row>
    <row r="137" spans="2:21" ht="18">
      <c r="B137" s="561"/>
      <c r="C137" s="561"/>
      <c r="D137" s="564"/>
      <c r="E137" s="564"/>
      <c r="F137" s="567"/>
      <c r="G137" s="567"/>
      <c r="H137" s="564"/>
      <c r="I137" s="564"/>
      <c r="J137" s="564"/>
      <c r="K137" s="567"/>
      <c r="L137" s="567"/>
      <c r="M137" s="567"/>
      <c r="N137" s="567"/>
      <c r="O137" s="4"/>
      <c r="P137" s="4"/>
    </row>
    <row r="138" spans="2:21" ht="18">
      <c r="B138" s="561"/>
      <c r="C138" s="561"/>
      <c r="D138" s="564"/>
      <c r="E138" s="564"/>
      <c r="F138" s="567"/>
      <c r="G138" s="567"/>
      <c r="H138" s="564"/>
      <c r="I138" s="564"/>
      <c r="J138" s="564"/>
      <c r="K138" s="567"/>
      <c r="L138" s="567"/>
      <c r="M138" s="567"/>
      <c r="N138" s="567"/>
      <c r="O138" s="4"/>
      <c r="P138" s="4"/>
    </row>
    <row r="139" spans="2:21">
      <c r="B139" s="4"/>
      <c r="C139" s="4"/>
      <c r="D139" s="568" t="s">
        <v>2706</v>
      </c>
      <c r="E139" s="4"/>
      <c r="F139" s="4"/>
      <c r="G139" s="4"/>
      <c r="H139" s="4"/>
      <c r="I139" s="4"/>
      <c r="J139" s="4"/>
      <c r="K139" s="568" t="s">
        <v>2707</v>
      </c>
      <c r="L139" s="4"/>
      <c r="M139" s="4"/>
      <c r="N139" s="4"/>
      <c r="O139" s="4"/>
      <c r="P139" s="4"/>
    </row>
    <row r="140" spans="2:21">
      <c r="B140" s="4"/>
      <c r="C140" s="4"/>
      <c r="D140" s="572" t="s">
        <v>2708</v>
      </c>
      <c r="E140" s="582"/>
      <c r="F140" s="669">
        <f>NPV(G134,K132:T132)</f>
        <v>341.47709458974924</v>
      </c>
      <c r="G140" s="670">
        <f>F140/$F$142</f>
        <v>0.22449492930227569</v>
      </c>
      <c r="H140" s="4"/>
      <c r="I140" s="4"/>
      <c r="J140" s="4"/>
      <c r="K140" s="572" t="s">
        <v>2681</v>
      </c>
      <c r="L140" s="582"/>
      <c r="M140" s="582"/>
      <c r="N140" s="583">
        <f>G149</f>
        <v>1471.1529362611225</v>
      </c>
      <c r="O140" s="4"/>
      <c r="P140" s="4"/>
    </row>
    <row r="141" spans="2:21">
      <c r="B141" s="4"/>
      <c r="C141" s="4"/>
      <c r="D141" s="576" t="s">
        <v>2709</v>
      </c>
      <c r="E141" s="4"/>
      <c r="F141" s="671">
        <f>NPV(G134,K133:T133)</f>
        <v>1179.6133623352737</v>
      </c>
      <c r="G141" s="672">
        <f t="shared" ref="G141:G142" si="21">F141/$F$142</f>
        <v>0.77550507069772434</v>
      </c>
      <c r="H141" s="4"/>
      <c r="I141" s="4"/>
      <c r="J141" s="4"/>
      <c r="K141" s="576" t="s">
        <v>811</v>
      </c>
      <c r="L141" s="4"/>
      <c r="M141" s="584" t="s">
        <v>2725</v>
      </c>
      <c r="N141" s="585">
        <f>C9</f>
        <v>310.89999999999998</v>
      </c>
      <c r="O141" s="4"/>
      <c r="P141" s="4"/>
    </row>
    <row r="142" spans="2:21">
      <c r="B142" s="4"/>
      <c r="C142" s="4"/>
      <c r="D142" s="578" t="s">
        <v>2710</v>
      </c>
      <c r="E142" s="586"/>
      <c r="F142" s="673">
        <f>SUM(F140:F141)</f>
        <v>1521.0904569250229</v>
      </c>
      <c r="G142" s="674">
        <f t="shared" si="21"/>
        <v>1</v>
      </c>
      <c r="H142" s="4"/>
      <c r="I142" s="4"/>
      <c r="J142" s="4"/>
      <c r="K142" s="578" t="s">
        <v>2681</v>
      </c>
      <c r="L142" s="586"/>
      <c r="M142" s="587" t="s">
        <v>2724</v>
      </c>
      <c r="N142" s="588">
        <f>N140/N141</f>
        <v>4.7319168101033213</v>
      </c>
      <c r="O142" s="4"/>
      <c r="P142" s="4"/>
    </row>
    <row r="143" spans="2:21" ht="18">
      <c r="B143" s="561"/>
      <c r="C143" s="561"/>
      <c r="D143" s="564"/>
      <c r="E143" s="564"/>
      <c r="F143" s="567"/>
      <c r="G143" s="567"/>
      <c r="H143" s="564"/>
      <c r="I143" s="564"/>
      <c r="J143" s="564"/>
      <c r="K143" s="567"/>
      <c r="L143" s="567"/>
      <c r="M143" s="567"/>
      <c r="N143" s="567"/>
      <c r="O143" s="4"/>
      <c r="P143" s="4"/>
    </row>
    <row r="144" spans="2:21" ht="18">
      <c r="B144" s="561"/>
      <c r="C144" s="561"/>
      <c r="D144" s="564"/>
      <c r="E144" s="564"/>
      <c r="F144" s="567"/>
      <c r="G144" s="567"/>
      <c r="H144" s="564"/>
      <c r="I144" s="564"/>
      <c r="J144" s="564"/>
      <c r="K144" s="567"/>
      <c r="L144" s="567"/>
      <c r="M144" s="567"/>
      <c r="N144" s="567"/>
      <c r="O144" s="4"/>
      <c r="P144" s="4"/>
    </row>
    <row r="145" spans="2:16" ht="18">
      <c r="B145" s="561"/>
      <c r="C145" s="561"/>
      <c r="D145" s="564"/>
      <c r="E145" s="564"/>
      <c r="F145" s="567"/>
      <c r="G145" s="567"/>
      <c r="H145" s="564"/>
      <c r="I145" s="564"/>
      <c r="J145" s="564"/>
      <c r="K145" s="567"/>
      <c r="L145" s="567"/>
      <c r="M145" s="567"/>
      <c r="N145" s="567"/>
      <c r="O145" s="4"/>
      <c r="P145" s="4"/>
    </row>
    <row r="146" spans="2:16">
      <c r="B146" s="4"/>
      <c r="C146" s="4"/>
      <c r="D146" s="568" t="s">
        <v>2711</v>
      </c>
      <c r="E146" s="581"/>
      <c r="F146" s="4"/>
      <c r="G146" s="4"/>
      <c r="H146" s="4"/>
      <c r="I146" s="4"/>
      <c r="J146" s="4"/>
      <c r="K146" s="568" t="s">
        <v>2712</v>
      </c>
      <c r="L146" s="581"/>
      <c r="M146" s="4"/>
      <c r="N146" s="4"/>
      <c r="O146" s="4"/>
      <c r="P146" s="4"/>
    </row>
    <row r="147" spans="2:16">
      <c r="B147" s="4"/>
      <c r="C147" s="4"/>
      <c r="D147" s="572" t="s">
        <v>2710</v>
      </c>
      <c r="E147" s="582"/>
      <c r="F147" s="582"/>
      <c r="G147" s="583">
        <f>H43</f>
        <v>1630.9529362611224</v>
      </c>
      <c r="H147" s="4"/>
      <c r="I147" s="4"/>
      <c r="J147" s="4"/>
      <c r="K147" s="675" t="s">
        <v>2681</v>
      </c>
      <c r="L147" s="59"/>
      <c r="M147" s="679" t="s">
        <v>2724</v>
      </c>
      <c r="N147" s="676">
        <f>N142</f>
        <v>4.7319168101033213</v>
      </c>
      <c r="O147" s="4"/>
      <c r="P147" s="4"/>
    </row>
    <row r="148" spans="2:16">
      <c r="B148" s="4"/>
      <c r="C148" s="4"/>
      <c r="D148" s="576" t="s">
        <v>2713</v>
      </c>
      <c r="E148" s="4"/>
      <c r="F148" s="4"/>
      <c r="G148" s="585">
        <f>SUM(H46:H47)</f>
        <v>-159.79999999999998</v>
      </c>
      <c r="H148" s="4"/>
      <c r="I148" s="4"/>
      <c r="J148" s="4"/>
      <c r="K148" s="576" t="s">
        <v>2714</v>
      </c>
      <c r="L148" s="4"/>
      <c r="M148" s="584" t="s">
        <v>2724</v>
      </c>
      <c r="N148" s="589">
        <v>206</v>
      </c>
      <c r="O148" s="4"/>
      <c r="P148" s="4"/>
    </row>
    <row r="149" spans="2:16">
      <c r="B149" s="4"/>
      <c r="C149" s="4"/>
      <c r="D149" s="578" t="s">
        <v>2681</v>
      </c>
      <c r="E149" s="586"/>
      <c r="F149" s="586"/>
      <c r="G149" s="590">
        <f>SUM(G147:G148)</f>
        <v>1471.1529362611225</v>
      </c>
      <c r="H149" s="4"/>
      <c r="I149" s="4"/>
      <c r="J149" s="4"/>
      <c r="K149" s="578" t="s">
        <v>2715</v>
      </c>
      <c r="L149" s="586"/>
      <c r="M149" s="586"/>
      <c r="N149" s="591">
        <f>N147/N148-1</f>
        <v>-0.97702953004804216</v>
      </c>
      <c r="O149" s="4"/>
      <c r="P149" s="4"/>
    </row>
    <row r="150" spans="2:16">
      <c r="B150" s="4"/>
      <c r="C150" s="581"/>
      <c r="D150" s="4"/>
      <c r="E150" s="4"/>
      <c r="F150" s="4"/>
      <c r="G150" s="4"/>
      <c r="H150" s="4"/>
      <c r="I150" s="4"/>
      <c r="J150" s="4"/>
      <c r="K150" s="4"/>
      <c r="L150" s="567"/>
      <c r="M150" s="567"/>
      <c r="N150" s="567"/>
      <c r="O150" s="4"/>
      <c r="P150" s="4"/>
    </row>
    <row r="151" spans="2:16">
      <c r="B151" s="4"/>
      <c r="C151" s="581"/>
      <c r="D151" s="4"/>
      <c r="E151" s="4"/>
      <c r="F151" s="4"/>
      <c r="G151" s="4"/>
      <c r="H151" s="4"/>
      <c r="I151" s="4"/>
      <c r="J151" s="4"/>
      <c r="K151" s="4"/>
      <c r="L151" s="567"/>
      <c r="M151" s="567"/>
      <c r="N151" s="567"/>
      <c r="O151" s="4"/>
      <c r="P151" s="4"/>
    </row>
    <row r="152" spans="2:16">
      <c r="B152" s="4"/>
      <c r="C152" s="472"/>
      <c r="D152" s="472"/>
      <c r="E152" s="472"/>
      <c r="F152" s="472"/>
      <c r="G152" s="472"/>
      <c r="H152" s="472"/>
      <c r="I152" s="472"/>
      <c r="J152" s="472"/>
      <c r="K152" s="472"/>
      <c r="L152" s="472"/>
      <c r="M152" s="472"/>
      <c r="N152" s="472"/>
      <c r="O152" s="472"/>
      <c r="P152" s="4"/>
    </row>
    <row r="153" spans="2:16" ht="15">
      <c r="B153" s="4"/>
      <c r="C153" s="472"/>
      <c r="D153" s="472"/>
      <c r="E153" s="472"/>
      <c r="F153" s="472"/>
      <c r="G153" s="472"/>
      <c r="H153" s="472"/>
      <c r="I153" s="472"/>
      <c r="J153" s="472"/>
      <c r="K153"/>
      <c r="L153"/>
      <c r="M153"/>
      <c r="N153"/>
      <c r="O153" s="4"/>
      <c r="P153" s="4"/>
    </row>
    <row r="154" spans="2:16" ht="15">
      <c r="B154" s="4"/>
      <c r="C154" s="472"/>
      <c r="D154" s="472"/>
      <c r="E154" s="472"/>
      <c r="F154" s="472"/>
      <c r="G154" s="472"/>
      <c r="H154" s="472"/>
      <c r="I154" s="472"/>
      <c r="J154" s="472"/>
      <c r="K154"/>
      <c r="L154"/>
      <c r="M154"/>
      <c r="N154"/>
      <c r="O154" s="4"/>
      <c r="P154" s="4"/>
    </row>
    <row r="155" spans="2:16">
      <c r="B155" s="4"/>
      <c r="C155" s="472"/>
      <c r="D155" s="472"/>
      <c r="E155" s="472"/>
      <c r="F155" s="472"/>
      <c r="G155" s="472"/>
      <c r="H155" s="472"/>
      <c r="I155" s="472"/>
      <c r="J155" s="472"/>
      <c r="K155" s="472"/>
      <c r="L155" s="472"/>
      <c r="M155" s="472"/>
      <c r="N155" s="472"/>
      <c r="O155" s="472"/>
      <c r="P155" s="4"/>
    </row>
    <row r="156" spans="2:16">
      <c r="B156" s="592"/>
      <c r="C156" s="593"/>
      <c r="D156" s="594"/>
      <c r="E156" s="595"/>
      <c r="F156" s="596"/>
      <c r="G156" s="596"/>
      <c r="H156" s="596"/>
      <c r="I156" s="596"/>
      <c r="J156" s="596"/>
      <c r="K156" s="596"/>
      <c r="L156" s="596"/>
      <c r="M156" s="596"/>
      <c r="N156" s="596"/>
      <c r="O156" s="596"/>
      <c r="P156" s="596"/>
    </row>
    <row r="157" spans="2:16">
      <c r="B157" s="4"/>
      <c r="C157" s="472"/>
      <c r="D157" s="472"/>
      <c r="E157" s="472"/>
      <c r="F157" s="472"/>
      <c r="G157" s="472"/>
      <c r="H157" s="472"/>
      <c r="I157" s="472"/>
      <c r="J157" s="472"/>
      <c r="K157" s="472"/>
      <c r="L157" s="472"/>
      <c r="M157" s="472"/>
      <c r="N157" s="472"/>
      <c r="O157" s="472"/>
      <c r="P157" s="4"/>
    </row>
    <row r="158" spans="2:16" ht="19" thickBot="1">
      <c r="B158" s="693" t="s">
        <v>2716</v>
      </c>
      <c r="C158" s="694"/>
      <c r="D158" s="701"/>
      <c r="E158" s="702"/>
      <c r="F158" s="697"/>
      <c r="G158" s="697"/>
      <c r="H158" s="697"/>
      <c r="I158" s="697"/>
      <c r="J158" s="697"/>
      <c r="K158" s="703"/>
      <c r="L158" s="704"/>
      <c r="M158" s="704"/>
      <c r="N158" s="704"/>
      <c r="O158" s="704"/>
      <c r="P158" s="705"/>
    </row>
    <row r="159" spans="2:16" ht="18">
      <c r="B159" s="555"/>
      <c r="C159" s="556"/>
      <c r="D159" s="557"/>
      <c r="E159" s="558"/>
      <c r="F159" s="559"/>
      <c r="G159" s="559"/>
      <c r="H159" s="559"/>
      <c r="I159" s="559"/>
      <c r="J159" s="559"/>
      <c r="K159" s="559"/>
      <c r="L159" s="559"/>
      <c r="M159" s="559"/>
      <c r="N159" s="559"/>
      <c r="O159" s="559"/>
      <c r="P159" s="559"/>
    </row>
    <row r="160" spans="2:16" ht="18">
      <c r="B160" s="560" t="s">
        <v>2739</v>
      </c>
      <c r="C160" s="556"/>
      <c r="D160" s="557"/>
      <c r="E160" s="558"/>
      <c r="F160" s="559"/>
      <c r="G160" s="559"/>
      <c r="H160" s="561"/>
      <c r="I160" s="562"/>
      <c r="J160" s="562"/>
      <c r="K160" s="562"/>
      <c r="L160" s="562"/>
      <c r="M160" s="562"/>
      <c r="N160" s="4"/>
      <c r="O160" s="562"/>
      <c r="P160" s="562"/>
    </row>
    <row r="161" spans="2:16" ht="18">
      <c r="B161" s="560"/>
      <c r="C161" s="561"/>
      <c r="D161" s="563"/>
      <c r="E161" s="564"/>
      <c r="F161" s="561"/>
      <c r="G161" s="561"/>
      <c r="H161" s="561"/>
      <c r="I161" s="565"/>
      <c r="J161" s="565"/>
      <c r="K161" s="561"/>
      <c r="L161" s="561"/>
      <c r="M161" s="561"/>
      <c r="N161" s="561"/>
      <c r="O161" s="565"/>
      <c r="P161" s="565"/>
    </row>
    <row r="162" spans="2:16" ht="18">
      <c r="B162" s="560"/>
      <c r="C162" s="561"/>
      <c r="D162" s="563"/>
      <c r="E162" s="564"/>
      <c r="F162" s="561"/>
      <c r="G162" s="561"/>
      <c r="H162" s="561"/>
      <c r="I162" s="565"/>
      <c r="J162" s="565"/>
      <c r="K162" s="561"/>
      <c r="L162" s="561"/>
      <c r="M162" s="561"/>
      <c r="N162" s="561"/>
      <c r="O162" s="565"/>
      <c r="P162" s="565"/>
    </row>
    <row r="163" spans="2:16" ht="18">
      <c r="B163" s="560"/>
      <c r="C163" s="561"/>
      <c r="D163" s="597" t="s">
        <v>2704</v>
      </c>
      <c r="E163" s="573"/>
      <c r="F163" s="573"/>
      <c r="G163" s="681">
        <f>C6</f>
        <v>3.4000000000000002E-2</v>
      </c>
      <c r="H163" s="561"/>
      <c r="I163" s="566"/>
      <c r="J163" s="566"/>
      <c r="K163" s="598" t="s">
        <v>811</v>
      </c>
      <c r="L163" s="582"/>
      <c r="M163" s="679" t="s">
        <v>2725</v>
      </c>
      <c r="N163" s="583">
        <f>N141</f>
        <v>310.89999999999998</v>
      </c>
      <c r="O163" s="566"/>
      <c r="P163" s="566"/>
    </row>
    <row r="164" spans="2:16" ht="18">
      <c r="B164" s="555"/>
      <c r="C164" s="561"/>
      <c r="D164" s="599" t="s">
        <v>2721</v>
      </c>
      <c r="E164" s="561"/>
      <c r="F164" s="561"/>
      <c r="G164" s="600">
        <f>C5</f>
        <v>4.8113303782401431E-2</v>
      </c>
      <c r="H164" s="559"/>
      <c r="I164" s="559"/>
      <c r="J164" s="559"/>
      <c r="K164" s="601" t="s">
        <v>2714</v>
      </c>
      <c r="L164" s="586"/>
      <c r="M164" s="680" t="s">
        <v>2724</v>
      </c>
      <c r="N164" s="588">
        <f>N148</f>
        <v>206</v>
      </c>
      <c r="O164" s="559"/>
      <c r="P164" s="559"/>
    </row>
    <row r="165" spans="2:16">
      <c r="B165" s="4"/>
      <c r="C165" s="4"/>
      <c r="D165" s="602" t="s">
        <v>2710</v>
      </c>
      <c r="E165" s="4"/>
      <c r="F165" s="4"/>
      <c r="G165" s="603">
        <f>G147</f>
        <v>1630.9529362611224</v>
      </c>
      <c r="H165" s="472"/>
      <c r="I165" s="472"/>
      <c r="J165" s="472"/>
      <c r="K165" s="4"/>
      <c r="L165" s="4"/>
      <c r="M165" s="4"/>
      <c r="N165" s="4"/>
      <c r="O165" s="4"/>
      <c r="P165" s="4"/>
    </row>
    <row r="166" spans="2:16">
      <c r="B166" s="4"/>
      <c r="C166" s="4"/>
      <c r="D166" s="601" t="s">
        <v>2717</v>
      </c>
      <c r="E166" s="586"/>
      <c r="F166" s="586"/>
      <c r="G166" s="590">
        <f>-G148</f>
        <v>159.79999999999998</v>
      </c>
      <c r="H166" s="472"/>
      <c r="I166" s="472"/>
      <c r="J166" s="472"/>
      <c r="K166" s="4"/>
      <c r="L166" s="4"/>
      <c r="M166" s="4"/>
      <c r="N166" s="4"/>
      <c r="O166" s="604"/>
      <c r="P166" s="4"/>
    </row>
    <row r="167" spans="2:16">
      <c r="B167" s="4"/>
      <c r="C167" s="4"/>
      <c r="D167" s="4"/>
      <c r="E167" s="4"/>
      <c r="F167" s="4"/>
      <c r="G167" s="4"/>
      <c r="H167" s="472"/>
      <c r="I167" s="472"/>
      <c r="J167" s="472"/>
      <c r="K167" s="4"/>
      <c r="L167" s="4"/>
      <c r="M167" s="4"/>
      <c r="N167" s="4"/>
      <c r="O167" s="605"/>
      <c r="P167" s="4"/>
    </row>
    <row r="168" spans="2:16">
      <c r="B168" s="4"/>
      <c r="C168" s="581"/>
      <c r="D168" s="575"/>
      <c r="E168" s="4"/>
      <c r="F168" s="584"/>
      <c r="G168" s="605"/>
      <c r="H168" s="4"/>
      <c r="I168" s="4"/>
      <c r="J168" s="4"/>
      <c r="K168" s="4"/>
      <c r="L168" s="567"/>
      <c r="M168" s="567"/>
      <c r="N168" s="567"/>
      <c r="O168" s="4"/>
      <c r="P168" s="4"/>
    </row>
    <row r="169" spans="2:16">
      <c r="B169" s="4"/>
      <c r="C169" s="4"/>
      <c r="D169" s="472"/>
      <c r="E169" s="472"/>
      <c r="F169" s="472"/>
      <c r="G169" s="472"/>
      <c r="H169" s="472"/>
      <c r="I169" s="472"/>
      <c r="J169" s="472"/>
      <c r="K169" s="472"/>
      <c r="L169" s="472"/>
      <c r="M169" s="472"/>
      <c r="N169" s="472"/>
      <c r="O169" s="472"/>
      <c r="P169" s="472"/>
    </row>
    <row r="170" spans="2:16">
      <c r="B170" s="47"/>
      <c r="C170" s="4"/>
      <c r="D170" s="687" t="s">
        <v>2740</v>
      </c>
      <c r="E170" s="688"/>
      <c r="F170" s="688"/>
      <c r="G170" s="688"/>
      <c r="H170" s="688"/>
      <c r="I170" s="47"/>
      <c r="J170" s="472"/>
      <c r="K170" s="687" t="s">
        <v>2707</v>
      </c>
      <c r="L170" s="687"/>
      <c r="M170" s="687"/>
      <c r="N170" s="687"/>
      <c r="O170" s="687"/>
      <c r="P170" s="4"/>
    </row>
    <row r="171" spans="2:16">
      <c r="B171" s="4"/>
      <c r="C171" s="4"/>
      <c r="D171" s="4"/>
      <c r="E171" s="4"/>
      <c r="F171" s="4"/>
      <c r="G171" s="4"/>
      <c r="H171" s="4"/>
      <c r="I171" s="4"/>
      <c r="J171" s="4"/>
      <c r="K171" s="472"/>
      <c r="L171" s="472"/>
      <c r="M171" s="472"/>
      <c r="N171" s="472"/>
      <c r="O171" s="472"/>
      <c r="P171" s="4"/>
    </row>
    <row r="172" spans="2:16">
      <c r="B172" s="47"/>
      <c r="C172" s="608"/>
      <c r="D172" s="609" t="s">
        <v>2704</v>
      </c>
      <c r="E172" s="606"/>
      <c r="F172" s="606"/>
      <c r="G172" s="606"/>
      <c r="H172" s="606"/>
      <c r="I172" s="47"/>
      <c r="J172" s="610"/>
      <c r="K172" s="611" t="s">
        <v>2704</v>
      </c>
      <c r="L172" s="607"/>
      <c r="M172" s="607"/>
      <c r="N172" s="607"/>
      <c r="O172" s="607"/>
      <c r="P172" s="47"/>
    </row>
    <row r="173" spans="2:16">
      <c r="B173" s="4"/>
      <c r="C173" s="683">
        <f>H43</f>
        <v>1630.9529362611224</v>
      </c>
      <c r="D173" s="612">
        <f>E173-0.005</f>
        <v>2.4E-2</v>
      </c>
      <c r="E173" s="612">
        <f>F173-0.005</f>
        <v>2.9000000000000001E-2</v>
      </c>
      <c r="F173" s="613">
        <v>3.4000000000000002E-2</v>
      </c>
      <c r="G173" s="612">
        <f>F173+0.005</f>
        <v>3.9E-2</v>
      </c>
      <c r="H173" s="612">
        <f>G173+0.005</f>
        <v>4.3999999999999997E-2</v>
      </c>
      <c r="I173" s="4"/>
      <c r="J173" s="614"/>
      <c r="K173" s="691">
        <f>D173</f>
        <v>2.4E-2</v>
      </c>
      <c r="L173" s="691">
        <f t="shared" ref="L173:O173" si="22">E173</f>
        <v>2.9000000000000001E-2</v>
      </c>
      <c r="M173" s="691">
        <f t="shared" si="22"/>
        <v>3.4000000000000002E-2</v>
      </c>
      <c r="N173" s="691">
        <f t="shared" si="22"/>
        <v>3.9E-2</v>
      </c>
      <c r="O173" s="691">
        <f t="shared" si="22"/>
        <v>4.3999999999999997E-2</v>
      </c>
      <c r="P173" s="4"/>
    </row>
    <row r="174" spans="2:16">
      <c r="B174" s="745" t="s">
        <v>767</v>
      </c>
      <c r="C174" s="612">
        <f>C175-0.01</f>
        <v>2.8109999999999996E-2</v>
      </c>
      <c r="D174" s="615">
        <f t="dataTable" ref="D174:H178" dt2D="1" dtr="1" r1="C6" r2="C5"/>
        <v>6782.3636346809608</v>
      </c>
      <c r="E174" s="616">
        <v>-25612.669070805634</v>
      </c>
      <c r="F174" s="616">
        <v>-3007.6462491503521</v>
      </c>
      <c r="G174" s="616">
        <v>-1160.2201415954112</v>
      </c>
      <c r="H174" s="617">
        <v>-475.42846296113686</v>
      </c>
      <c r="I174" s="745" t="s">
        <v>767</v>
      </c>
      <c r="J174" s="691">
        <f>C174</f>
        <v>2.8109999999999996E-2</v>
      </c>
      <c r="K174" s="618">
        <f>D186/$N$163</f>
        <v>21.301266113480093</v>
      </c>
      <c r="L174" s="619">
        <f t="shared" ref="L174:O174" si="23">E186/$N$163</f>
        <v>-82.896330237393485</v>
      </c>
      <c r="M174" s="619">
        <f t="shared" si="23"/>
        <v>-10.187990508685598</v>
      </c>
      <c r="N174" s="619">
        <f t="shared" si="23"/>
        <v>-4.2458029642824417</v>
      </c>
      <c r="O174" s="620">
        <f t="shared" si="23"/>
        <v>-2.0431922256710742</v>
      </c>
      <c r="P174" s="4"/>
    </row>
    <row r="175" spans="2:16">
      <c r="B175" s="745"/>
      <c r="C175" s="612">
        <f>C176-0.01</f>
        <v>3.8109999999999998E-2</v>
      </c>
      <c r="D175" s="621">
        <v>2122.3389143690779</v>
      </c>
      <c r="E175" s="622">
        <v>2768.542952455432</v>
      </c>
      <c r="F175" s="622">
        <v>4987.0195892920447</v>
      </c>
      <c r="G175" s="622">
        <v>-17721.207558552302</v>
      </c>
      <c r="H175" s="623">
        <v>-1875.5685810242574</v>
      </c>
      <c r="I175" s="745"/>
      <c r="J175" s="691">
        <f t="shared" ref="J175:J178" si="24">C175</f>
        <v>3.8109999999999998E-2</v>
      </c>
      <c r="K175" s="624">
        <f t="shared" ref="K175:O175" si="25">D187/$N$163</f>
        <v>6.3124442404923711</v>
      </c>
      <c r="L175" s="625">
        <f t="shared" si="25"/>
        <v>8.390939055823198</v>
      </c>
      <c r="M175" s="625">
        <f t="shared" si="25"/>
        <v>15.526598871958974</v>
      </c>
      <c r="N175" s="625">
        <f t="shared" si="25"/>
        <v>-57.513694302194601</v>
      </c>
      <c r="O175" s="626">
        <f t="shared" si="25"/>
        <v>-6.5466985558837489</v>
      </c>
      <c r="P175" s="4"/>
    </row>
    <row r="176" spans="2:16">
      <c r="B176" s="745"/>
      <c r="C176" s="613">
        <v>4.811E-2</v>
      </c>
      <c r="D176" s="621">
        <v>1319.7539694077807</v>
      </c>
      <c r="E176" s="622">
        <v>1434.7621525629911</v>
      </c>
      <c r="F176" s="627">
        <v>1631.2786157715045</v>
      </c>
      <c r="G176" s="622">
        <v>2043.5101867829962</v>
      </c>
      <c r="H176" s="623">
        <v>3458.7382809368</v>
      </c>
      <c r="I176" s="745"/>
      <c r="J176" s="691">
        <f t="shared" si="24"/>
        <v>4.811E-2</v>
      </c>
      <c r="K176" s="624">
        <f t="shared" ref="K176:O176" si="26">D188/$N$163</f>
        <v>3.730955192691479</v>
      </c>
      <c r="L176" s="625">
        <f t="shared" si="26"/>
        <v>4.1008753700964657</v>
      </c>
      <c r="M176" s="628">
        <f t="shared" si="26"/>
        <v>4.7329643479302179</v>
      </c>
      <c r="N176" s="625">
        <f t="shared" si="26"/>
        <v>6.0588941356802719</v>
      </c>
      <c r="O176" s="626">
        <f t="shared" si="26"/>
        <v>10.610930462968158</v>
      </c>
      <c r="P176" s="4"/>
    </row>
    <row r="177" spans="2:16">
      <c r="B177" s="745"/>
      <c r="C177" s="612">
        <f>C176+0.01</f>
        <v>5.8110000000000002E-2</v>
      </c>
      <c r="D177" s="621">
        <v>982.63097428171864</v>
      </c>
      <c r="E177" s="622">
        <v>1010.3710599794459</v>
      </c>
      <c r="F177" s="622">
        <v>1049.6167805580224</v>
      </c>
      <c r="G177" s="622">
        <v>1109.3992465989622</v>
      </c>
      <c r="H177" s="623">
        <v>1211.5505758864927</v>
      </c>
      <c r="I177" s="745"/>
      <c r="J177" s="691">
        <f t="shared" si="24"/>
        <v>5.8110000000000002E-2</v>
      </c>
      <c r="K177" s="624">
        <f t="shared" ref="K177:O177" si="27">D189/$N$163</f>
        <v>2.6466097596710156</v>
      </c>
      <c r="L177" s="625">
        <f t="shared" si="27"/>
        <v>2.7358348664504537</v>
      </c>
      <c r="M177" s="625">
        <f t="shared" si="27"/>
        <v>2.8620674833001689</v>
      </c>
      <c r="N177" s="625">
        <f t="shared" si="27"/>
        <v>3.0543558912800335</v>
      </c>
      <c r="O177" s="626">
        <f t="shared" si="27"/>
        <v>3.3829224055532094</v>
      </c>
      <c r="P177" s="4"/>
    </row>
    <row r="178" spans="2:16">
      <c r="B178" s="745"/>
      <c r="C178" s="612">
        <f>C177+0.01</f>
        <v>6.8110000000000004E-2</v>
      </c>
      <c r="D178" s="629">
        <v>794.85726954047425</v>
      </c>
      <c r="E178" s="630">
        <v>798.39328918648005</v>
      </c>
      <c r="F178" s="630">
        <v>802.96596073691433</v>
      </c>
      <c r="G178" s="630">
        <v>809.10945727890987</v>
      </c>
      <c r="H178" s="631">
        <v>817.80106520290235</v>
      </c>
      <c r="I178" s="745"/>
      <c r="J178" s="691">
        <f t="shared" si="24"/>
        <v>6.8110000000000004E-2</v>
      </c>
      <c r="K178" s="632">
        <f t="shared" ref="K178:O178" si="28">D190/$N$163</f>
        <v>2.0426415874572994</v>
      </c>
      <c r="L178" s="633">
        <f t="shared" si="28"/>
        <v>2.0540150826197494</v>
      </c>
      <c r="M178" s="633">
        <f t="shared" si="28"/>
        <v>2.0687229357893675</v>
      </c>
      <c r="N178" s="633">
        <f t="shared" si="28"/>
        <v>2.0884832977771306</v>
      </c>
      <c r="O178" s="634">
        <f t="shared" si="28"/>
        <v>2.1164395792952795</v>
      </c>
      <c r="P178" s="4"/>
    </row>
    <row r="179" spans="2:16">
      <c r="B179" s="4"/>
      <c r="C179" s="472"/>
      <c r="D179" s="472"/>
      <c r="E179" s="472"/>
      <c r="F179" s="472"/>
      <c r="G179" s="472"/>
      <c r="H179" s="472"/>
      <c r="I179" s="4"/>
      <c r="J179" s="4"/>
      <c r="K179" s="4"/>
      <c r="L179" s="4"/>
      <c r="M179" s="4"/>
      <c r="N179" s="4"/>
      <c r="O179" s="4"/>
      <c r="P179" s="4"/>
    </row>
    <row r="180" spans="2:16">
      <c r="B180" s="4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"/>
    </row>
    <row r="181" spans="2:16">
      <c r="B181" s="4"/>
      <c r="C181" s="472"/>
      <c r="D181" s="472"/>
      <c r="E181" s="472"/>
      <c r="F181" s="472"/>
      <c r="G181" s="472"/>
      <c r="H181" s="472"/>
      <c r="I181" s="472"/>
      <c r="J181" s="472"/>
      <c r="K181" s="472"/>
      <c r="L181" s="472"/>
      <c r="M181" s="472"/>
      <c r="N181" s="472"/>
      <c r="O181" s="472"/>
      <c r="P181" s="4"/>
    </row>
    <row r="182" spans="2:16">
      <c r="B182" s="4"/>
      <c r="C182" s="472"/>
      <c r="D182" s="687" t="s">
        <v>2711</v>
      </c>
      <c r="E182" s="688"/>
      <c r="F182" s="688"/>
      <c r="G182" s="688"/>
      <c r="H182" s="688"/>
      <c r="I182" s="472"/>
      <c r="J182" s="472"/>
      <c r="K182" s="689" t="s">
        <v>2718</v>
      </c>
      <c r="L182" s="690"/>
      <c r="M182" s="690"/>
      <c r="N182" s="690"/>
      <c r="O182" s="690"/>
      <c r="P182" s="4"/>
    </row>
    <row r="183" spans="2:16">
      <c r="B183" s="4"/>
      <c r="C183" s="4"/>
      <c r="D183" s="4"/>
      <c r="E183" s="4"/>
      <c r="F183" s="4"/>
      <c r="G183" s="4"/>
      <c r="H183" s="4"/>
      <c r="I183" s="472"/>
      <c r="J183" s="472"/>
      <c r="K183" s="472"/>
      <c r="L183" s="472"/>
      <c r="M183" s="472"/>
      <c r="N183" s="472"/>
      <c r="O183" s="472"/>
      <c r="P183" s="4"/>
    </row>
    <row r="184" spans="2:16">
      <c r="B184" s="47"/>
      <c r="C184" s="47"/>
      <c r="D184" s="609" t="s">
        <v>2704</v>
      </c>
      <c r="E184" s="606"/>
      <c r="F184" s="606"/>
      <c r="G184" s="606"/>
      <c r="H184" s="606"/>
      <c r="I184" s="610"/>
      <c r="J184" s="610"/>
      <c r="K184" s="611" t="s">
        <v>2704</v>
      </c>
      <c r="L184" s="607"/>
      <c r="M184" s="607"/>
      <c r="N184" s="607"/>
      <c r="O184" s="607"/>
      <c r="P184" s="47"/>
    </row>
    <row r="185" spans="2:16">
      <c r="B185" s="472"/>
      <c r="C185" s="635"/>
      <c r="D185" s="692">
        <f>D173</f>
        <v>2.4E-2</v>
      </c>
      <c r="E185" s="692">
        <f t="shared" ref="E185:H185" si="29">E173</f>
        <v>2.9000000000000001E-2</v>
      </c>
      <c r="F185" s="692">
        <f t="shared" si="29"/>
        <v>3.4000000000000002E-2</v>
      </c>
      <c r="G185" s="692">
        <f t="shared" si="29"/>
        <v>3.9E-2</v>
      </c>
      <c r="H185" s="692">
        <f t="shared" si="29"/>
        <v>4.3999999999999997E-2</v>
      </c>
      <c r="I185" s="472"/>
      <c r="J185" s="636"/>
      <c r="K185" s="691">
        <f>D173</f>
        <v>2.4E-2</v>
      </c>
      <c r="L185" s="691">
        <f t="shared" ref="L185:O185" si="30">E173</f>
        <v>2.9000000000000001E-2</v>
      </c>
      <c r="M185" s="691">
        <f t="shared" si="30"/>
        <v>3.4000000000000002E-2</v>
      </c>
      <c r="N185" s="691">
        <f t="shared" si="30"/>
        <v>3.9E-2</v>
      </c>
      <c r="O185" s="691">
        <f t="shared" si="30"/>
        <v>4.3999999999999997E-2</v>
      </c>
      <c r="P185" s="4"/>
    </row>
    <row r="186" spans="2:16">
      <c r="B186" s="746" t="s">
        <v>767</v>
      </c>
      <c r="C186" s="691">
        <f>C174</f>
        <v>2.8109999999999996E-2</v>
      </c>
      <c r="D186" s="621">
        <f>D174-$G$166</f>
        <v>6622.5636346809606</v>
      </c>
      <c r="E186" s="637">
        <f t="shared" ref="E186:H186" si="31">E174-$G$166</f>
        <v>-25772.469070805633</v>
      </c>
      <c r="F186" s="637">
        <f t="shared" si="31"/>
        <v>-3167.4462491503523</v>
      </c>
      <c r="G186" s="616">
        <f t="shared" si="31"/>
        <v>-1320.0201415954111</v>
      </c>
      <c r="H186" s="617">
        <f t="shared" si="31"/>
        <v>-635.22846296113687</v>
      </c>
      <c r="I186" s="747" t="s">
        <v>767</v>
      </c>
      <c r="J186" s="691">
        <f>C174</f>
        <v>2.8109999999999996E-2</v>
      </c>
      <c r="K186" s="638">
        <f>K174/$N$164-1</f>
        <v>-0.89659579556563063</v>
      </c>
      <c r="L186" s="639">
        <f t="shared" ref="L186:O186" si="32">L174/$N$164-1</f>
        <v>-1.4024093700844344</v>
      </c>
      <c r="M186" s="639">
        <f t="shared" si="32"/>
        <v>-1.0494562646052699</v>
      </c>
      <c r="N186" s="639">
        <f t="shared" si="32"/>
        <v>-1.0206106940013711</v>
      </c>
      <c r="O186" s="640">
        <f t="shared" si="32"/>
        <v>-1.0099184088624809</v>
      </c>
      <c r="P186" s="4"/>
    </row>
    <row r="187" spans="2:16">
      <c r="B187" s="746"/>
      <c r="C187" s="691">
        <f t="shared" ref="C187:C190" si="33">C175</f>
        <v>3.8109999999999998E-2</v>
      </c>
      <c r="D187" s="621">
        <f t="shared" ref="D187:H190" si="34">D175-$G$166</f>
        <v>1962.5389143690779</v>
      </c>
      <c r="E187" s="622">
        <f t="shared" si="34"/>
        <v>2608.7429524554318</v>
      </c>
      <c r="F187" s="622">
        <f t="shared" si="34"/>
        <v>4827.2195892920445</v>
      </c>
      <c r="G187" s="622">
        <f t="shared" si="34"/>
        <v>-17881.007558552301</v>
      </c>
      <c r="H187" s="623">
        <f t="shared" si="34"/>
        <v>-2035.3685810242573</v>
      </c>
      <c r="I187" s="747"/>
      <c r="J187" s="691">
        <f t="shared" ref="J187:J190" si="35">C175</f>
        <v>3.8109999999999998E-2</v>
      </c>
      <c r="K187" s="641">
        <f t="shared" ref="K187:O187" si="36">K175/$N$164-1</f>
        <v>-0.96935706679372635</v>
      </c>
      <c r="L187" s="642">
        <f t="shared" si="36"/>
        <v>-0.95926728613678058</v>
      </c>
      <c r="M187" s="642">
        <f t="shared" si="36"/>
        <v>-0.92462816081573318</v>
      </c>
      <c r="N187" s="642">
        <f t="shared" si="36"/>
        <v>-1.2791926907873523</v>
      </c>
      <c r="O187" s="643">
        <f t="shared" si="36"/>
        <v>-1.0317800900771055</v>
      </c>
      <c r="P187" s="4"/>
    </row>
    <row r="188" spans="2:16">
      <c r="B188" s="746"/>
      <c r="C188" s="691">
        <f t="shared" si="33"/>
        <v>4.811E-2</v>
      </c>
      <c r="D188" s="621">
        <f t="shared" si="34"/>
        <v>1159.9539694077807</v>
      </c>
      <c r="E188" s="622">
        <f t="shared" si="34"/>
        <v>1274.9621525629912</v>
      </c>
      <c r="F188" s="627">
        <f t="shared" si="34"/>
        <v>1471.4786157715046</v>
      </c>
      <c r="G188" s="622">
        <f t="shared" si="34"/>
        <v>1883.7101867829963</v>
      </c>
      <c r="H188" s="623">
        <f t="shared" si="34"/>
        <v>3298.9382809367999</v>
      </c>
      <c r="I188" s="747"/>
      <c r="J188" s="691">
        <f t="shared" si="35"/>
        <v>4.811E-2</v>
      </c>
      <c r="K188" s="641">
        <f t="shared" ref="K188:O188" si="37">K176/$N$164-1</f>
        <v>-0.98188856702576954</v>
      </c>
      <c r="L188" s="642">
        <f t="shared" si="37"/>
        <v>-0.98009283800924041</v>
      </c>
      <c r="M188" s="644">
        <f t="shared" si="37"/>
        <v>-0.97702444491296014</v>
      </c>
      <c r="N188" s="642">
        <f t="shared" si="37"/>
        <v>-0.97058789254524136</v>
      </c>
      <c r="O188" s="643">
        <f t="shared" si="37"/>
        <v>-0.94849062882054291</v>
      </c>
      <c r="P188" s="4"/>
    </row>
    <row r="189" spans="2:16">
      <c r="B189" s="746"/>
      <c r="C189" s="691">
        <f t="shared" si="33"/>
        <v>5.8110000000000002E-2</v>
      </c>
      <c r="D189" s="621">
        <f t="shared" si="34"/>
        <v>822.83097428171868</v>
      </c>
      <c r="E189" s="622">
        <f t="shared" si="34"/>
        <v>850.57105997944598</v>
      </c>
      <c r="F189" s="622">
        <f t="shared" si="34"/>
        <v>889.8167805580224</v>
      </c>
      <c r="G189" s="622">
        <f t="shared" si="34"/>
        <v>949.59924659896228</v>
      </c>
      <c r="H189" s="623">
        <f t="shared" si="34"/>
        <v>1051.7505758864927</v>
      </c>
      <c r="I189" s="747"/>
      <c r="J189" s="691">
        <f t="shared" si="35"/>
        <v>5.8110000000000002E-2</v>
      </c>
      <c r="K189" s="641">
        <f t="shared" ref="K189:O189" si="38">K177/$N$164-1</f>
        <v>-0.98715237980742221</v>
      </c>
      <c r="L189" s="642">
        <f t="shared" si="38"/>
        <v>-0.98671924822111434</v>
      </c>
      <c r="M189" s="642">
        <f t="shared" si="38"/>
        <v>-0.98610646852766903</v>
      </c>
      <c r="N189" s="642">
        <f t="shared" si="38"/>
        <v>-0.98517302965398046</v>
      </c>
      <c r="O189" s="643">
        <f t="shared" si="38"/>
        <v>-0.98357804657498438</v>
      </c>
      <c r="P189" s="4"/>
    </row>
    <row r="190" spans="2:16">
      <c r="B190" s="746"/>
      <c r="C190" s="691">
        <f t="shared" si="33"/>
        <v>6.8110000000000004E-2</v>
      </c>
      <c r="D190" s="684">
        <f t="shared" si="34"/>
        <v>635.05726954047429</v>
      </c>
      <c r="E190" s="685">
        <f t="shared" si="34"/>
        <v>638.59328918648009</v>
      </c>
      <c r="F190" s="685">
        <f t="shared" si="34"/>
        <v>643.16596073691437</v>
      </c>
      <c r="G190" s="685">
        <f t="shared" si="34"/>
        <v>649.30945727890992</v>
      </c>
      <c r="H190" s="686">
        <f t="shared" si="34"/>
        <v>658.0010652029024</v>
      </c>
      <c r="I190" s="747"/>
      <c r="J190" s="691">
        <f t="shared" si="35"/>
        <v>6.8110000000000004E-2</v>
      </c>
      <c r="K190" s="645">
        <f t="shared" ref="K190:O190" si="39">K178/$N$164-1</f>
        <v>-0.99008426413855677</v>
      </c>
      <c r="L190" s="646">
        <f t="shared" si="39"/>
        <v>-0.99002905299699151</v>
      </c>
      <c r="M190" s="646">
        <f t="shared" si="39"/>
        <v>-0.98995765565150795</v>
      </c>
      <c r="N190" s="646">
        <f t="shared" si="39"/>
        <v>-0.98986173156418866</v>
      </c>
      <c r="O190" s="647">
        <f t="shared" si="39"/>
        <v>-0.98972602145973165</v>
      </c>
      <c r="P190" s="4"/>
    </row>
  </sheetData>
  <mergeCells count="4">
    <mergeCell ref="B174:B178"/>
    <mergeCell ref="I174:I178"/>
    <mergeCell ref="B186:B190"/>
    <mergeCell ref="I186:I19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o K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Z 1 s O a 7 A A A A D 4 A A A A E g A A A E N v b m Z p Z y 9 Q Y W N r Y W d l L n h t b I S P w Q q C M B z G 7 0 H v I L u 7 T Q N J + T u h D l 0 S g i C 6 D h 0 6 0 i 3 c b L 5 b h x 6 p V 8 g o q 1 v H 7 8 c P v u + 7 X 2 + Q D W 3 j X U R n p F Y p C j B F n r F c l b z R S q R I a Z S x + Q x 2 v D j x S n i j r U w y m D J F t b X n h B D n H H Y L r L u K h J Q G 5 J h v 9 0 U t W o 4 + s v w v + 1 I 9 a w u B G B x e a 1 i I A x r j K I p j v A Q y U c i l + h r h u B h T I D 8 Q 1 n 1 j + 0 4 w o f z N C s g U g b x P s A c A A A D / / w M A U E s D B B Q A A g A I A A A A I Q B b I y J 4 F g U A A H 5 L A A A T A A A A R m 9 y b X V s Y X M v U 2 V j d G l v b j E u b e x c 3 U 7 b O h y / R 9 o 7 W O G m l d o S O x 9 O N P U C g Y 4 O 0 o a Q Y F e U I a 9 1 a b Y 0 q f K x D V U 8 z X m D c 3 d u e b L j t C W Q 1 S l L n a b O C F K F Z D u O 4 9 / v / + 0 k p M P I 8 T 1 w u f w P 3 x 8 c h B M S 0 B E 4 V K 7 I F 5 f q u g l a F + S O A q g b b Q X 0 g U u j d w e A / V 3 6 c T C k r O V i N O 4 t B o e t v x y X 9 k 5 8 L 6 J e F L a U w Y C M n K A 3 i V 2 3 R 4 a 9 + N t g 4 k / p A C M t + U F N G 5 z S 8 F v k z w b e c N i 9 C / x 4 1 p 2 5 w y 7 x v J i 4 3 Y D O / C D q z U Z j p d 0 B 1 2 f T m U u n b G a S r L W v w J 6 m 3 L Q 7 y 9 W k q + 2 v F j a / P h v 1 0 4 d Q b h 6 u T 0 l E b l b D D 5 W L w J / 6 E X v S v y k Z 0 S B M n m 0 x u r f q W b W 3 n q Z g K 1 j 1 H L v u 5 Z C 4 J A j 7 U R D T d A 2 H y s m E e H d s z q v 7 G X 2 e 8 C o g X j j 2 g + m J 7 8 Z T L + k M W 5 w V d O Z z Z T k E K h 0 Q s W E g o j + j h w 6 Y K + d s J B s B z r z I 1 H v J F I t m p C J 0 2 H L H 7 c d / p m v X s E 7 I 7 X x o v z t w P O 6 i O Q z A K Q P M G j A A 8 x m A x R m A p W S A B s F H c g 8 2 E u F 5 T B l 8 s F M + 4 B r w w e b z w R b n g / 1 W N Y K h 1 o k B b L U 8 B h j q O g M K g P U 0 y S a E l u 1 o H a N l h / Z 0 g R d P v 9 D g R Y / + S 0 8 x d G C t 0 I F 8 d G A Z 6 M D d o r O F 5 K B a Y Y P 4 2 C B h 3 W m g i n Q n C S d g 7 P o / Q j B m / W D s e M Q b O t 4 d I M z h / e 5 E z k K F 7 p 8 Y W H 8 i h l a 5 m 5 0 Y h S K 0 Y G v l 0 Q L r w r T A u q w m F W 4 y q e q i s x X Q k O 0 a H b U / z x m 9 t Q d x Q 4 v T 4 E s z p W c F P / T C Z g m K H J u / p 8 h 5 7 V p O u 5 7 T b u T J v Z l z A c 5 e U A x g K w U Y S w + w x Q f Y E h d 7 S 0 q x 5 0 k 7 a 7 u F A g J t 1 w h v f u S E 7 T I E 2 i 4 g 0 G t 2 V h N x j y 2 1 P h B Y / N D F U o V F z l L 3 4 4 A 5 3 n d m J c U d M G 7 H J p W + p c B a s E Z s 4 Y d S V h m h l A V L s M D l x r k Z Q Q Y t 1 A h z I 8 w b G a M Z q T u t 2 o X Z c v Q p Z P t w x D y F 6 O j U / + G 5 P h m F R 3 n M U A s w I 1 k X h x m s W V x w 2 S S C O R A B c L K + M 3 c i n H O B l d N u 5 7 R D N a 8 D C v A F S 8 o X z O c L L o M v e F + e m W a k z j F U p d p u m 7 / d w i U E N k U 1 i v v c 9 7 r D O A j Y Y w I S h j T a P u m 1 M Y o u B L e Z u l Y Q y g S 3 y X W j W H M J 0 m X C 3 S Q y u J g J W E o T S Y o N 4 m O D y s A G l Y V N s a 3 W J N 1 q j b / V m r D W M 7 V a J P / z c K 4 q 9 I R p f K N a l c Q 2 K V G g X S S u g f y 4 B o r H N V C V M i 9 4 P P o a h 8 k c j / / m V g W W Y x j X F i O c i E 7 D T c M v 2 f 7 G k R / c v z J h 5 q a 3 s O B t b 9 H r N 7 7 V B B g L a 8 J Y f q I E Q n H G w v 0 y N t m J X y n 0 w k l n 3 V a 2 V g U e / 2 v n X F A M e k M g V K o S e o M P v V F C j g w a u 6 5 S F Y M E C 4 R T V U L C P 7 E H c R m Q Y J k g g c 8 p S 3 X X 2 W R y f v 7 p + A N I J L 5 b A A 3 I z 1 J C q 4 T T U m y S a s u 4 e Z m o v C r u 6 4 m o Y m h X Z w 6 3 R h v y 0 R a 2 h G y K a i w h z w R a m 0 0 g L s H g Q Q s 9 G 7 z u 7 j X s 1 g A j P s C o D H F G s o l z M Q R 1 g c C 7 I v R 0 P n q 6 u H j K e t J q X X h f S n Y 5 o p v 6 q h D J C r z B B 9 4 o Q 2 y N v e S 5 M s W 3 b c q 1 T Q H u b R f g Z O P M H 1 m E y 2 Y d q z p V 0 W Q e m 8 y j S O Y x G 1 j v n r V N c C 1 X c C 0 x 4 k 2 A v a U h y r z 7 U I P j f c 3 7 D 8 X f f 8 g e + Z H N w W u O / e y k L G E I + v R N t W g X s G T e R K q D u m 3 e R h J / G y m L u d Z g / u d j n q k K y 6 5 + 3 0 x l O P u Z p T 2 o 3 + Z T S 3 v 4 s M r / A A A A / / 8 D A F B L A Q I t A B Q A B g A I A A A A I Q A q 3 a p A 0 g A A A D c B A A A T A A A A A A A A A A A A A A A A A A A A A A B b Q 2 9 u d G V u d F 9 U e X B l c 1 0 u e G 1 s U E s B A i 0 A F A A C A A g A A A A h A G d b D m u w A A A A + A A A A B I A A A A A A A A A A A A A A A A A C w M A A E N v b m Z p Z y 9 Q Y W N r Y W d l L n h t b F B L A Q I t A B Q A A g A I A A A A I Q B b I y J 4 F g U A A H 5 L A A A T A A A A A A A A A A A A A A A A A O s D A A B G b 3 J t d W x h c y 9 T Z W N 0 a W 9 u M S 5 t U E s F B g A A A A A D A A M A w g A A A D I J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l w E A A A A A A N e X A Q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0 N D Y l M j A l M j h Q Y W d l J T I w M T Q 1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F Q x M T o x M D o 1 M y 4 3 N z c 1 O T Y 5 W i I v P j x F b n R y e S B U e X B l P S J G a W x s Q 2 9 s d W 1 u V H l w Z X M i I F Z h b H V l P S J z Q m d N R 0 J n P T 0 i L z 4 8 R W 5 0 c n k g V H l w Z T 0 i R m l s b E N v b H V t b k 5 h b W V z I i B W Y W x 1 Z T 0 i c 1 s m c X V v d D t D b 2 x 1 b W 4 x J n F 1 b 3 Q 7 L C Z x d W 9 0 O 0 5 v d G V z J n F 1 b 3 Q 7 L C Z x d W 9 0 O z I w M j J c b s O D w o L D g s K j b S Z x d W 9 0 O y w m c X V v d D s y M D I x X G 7 D g 8 K C w 4 L C o 2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0 N i A o U G F n Z S A x N D U p L 0 F 1 d G 9 S Z W 1 v d m V k Q 2 9 s d W 1 u c z E u e 0 N v b H V t b j E s M H 0 m c X V v d D s s J n F 1 b 3 Q 7 U 2 V j d G l v b j E v V G F i b G U 0 N D Y g K F B h Z 2 U g M T Q 1 K S 9 B d X R v U m V t b 3 Z l Z E N v b H V t b n M x L n t O b 3 R l c y w x f S Z x d W 9 0 O y w m c X V v d D t T Z W N 0 a W 9 u M S 9 U Y W J s Z T Q 0 N i A o U G F n Z S A x N D U p L 0 F 1 d G 9 S Z W 1 v d m V k Q 2 9 s d W 1 u c z E u e z I w M j J c b s O D w o L D g s K j b S w y f S Z x d W 9 0 O y w m c X V v d D t T Z W N 0 a W 9 u M S 9 U Y W J s Z T Q 0 N i A o U G F n Z S A x N D U p L 0 F 1 d G 9 S Z W 1 v d m V k Q 2 9 s d W 1 u c z E u e z I w M j F c b s O D w o L D g s K j b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Q 0 N i A o U G F n Z S A x N D U p L 0 F 1 d G 9 S Z W 1 v d m V k Q 2 9 s d W 1 u c z E u e 0 N v b H V t b j E s M H 0 m c X V v d D s s J n F 1 b 3 Q 7 U 2 V j d G l v b j E v V G F i b G U 0 N D Y g K F B h Z 2 U g M T Q 1 K S 9 B d X R v U m V t b 3 Z l Z E N v b H V t b n M x L n t O b 3 R l c y w x f S Z x d W 9 0 O y w m c X V v d D t T Z W N 0 a W 9 u M S 9 U Y W J s Z T Q 0 N i A o U G F n Z S A x N D U p L 0 F 1 d G 9 S Z W 1 v d m V k Q 2 9 s d W 1 u c z E u e z I w M j J c b s O D w o L D g s K j b S w y f S Z x d W 9 0 O y w m c X V v d D t T Z W N 0 a W 9 u M S 9 U Y W J s Z T Q 0 N i A o U G F n Z S A x N D U p L 0 F 1 d G 9 S Z W 1 v d m V k Q 2 9 s d W 1 u c z E u e z I w M j F c b s O D w o L D g s K j b S w z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N D Q 3 J T I w J T I 4 U G F n Z S U y M D E 0 N i U y O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R U M T E 6 M T Y 6 M z Q u N T M w O T U 0 N l o i L z 4 8 R W 5 0 c n k g V H l w Z T 0 i R m l s b E N v b H V t b l R 5 c G V z I i B W Y W x 1 Z T 0 i c 0 J n T U d C Z z 0 9 I i 8 + P E V u d H J 5 I F R 5 c G U 9 I k Z p b G x D b 2 x 1 b W 5 O Y W 1 l c y I g V m F s d W U 9 I n N b J n F 1 b 3 Q 7 Q 2 9 s d W 1 u M S Z x d W 9 0 O y w m c X V v d D t O b 3 R l c y Z x d W 9 0 O y w m c X V v d D s z M S B N Y X k g M j A y M l x u w 4 P C g s O C w q N t J n F 1 b 3 Q 7 L C Z x d W 9 0 O z M x I E 1 h e S A y M D I x X G 7 D g 8 K C w 4 L C o 2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0 N y A o U G F n Z S A x N D Y p L 0 F 1 d G 9 S Z W 1 v d m V k Q 2 9 s d W 1 u c z E u e 0 N v b H V t b j E s M H 0 m c X V v d D s s J n F 1 b 3 Q 7 U 2 V j d G l v b j E v V G F i b G U 0 N D c g K F B h Z 2 U g M T Q 2 K S 9 B d X R v U m V t b 3 Z l Z E N v b H V t b n M x L n t O b 3 R l c y w x f S Z x d W 9 0 O y w m c X V v d D t T Z W N 0 a W 9 u M S 9 U Y W J s Z T Q 0 N y A o U G F n Z S A x N D Y p L 0 F 1 d G 9 S Z W 1 v d m V k Q 2 9 s d W 1 u c z E u e z M x I E 1 h e S A y M D I y X G 7 D g 8 K C w 4 L C o 2 0 s M n 0 m c X V v d D s s J n F 1 b 3 Q 7 U 2 V j d G l v b j E v V G F i b G U 0 N D c g K F B h Z 2 U g M T Q 2 K S 9 B d X R v U m V t b 3 Z l Z E N v b H V t b n M x L n s z M S B N Y X k g M j A y M V x u w 4 P C g s O C w q N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N D Q 3 I C h Q Y W d l I D E 0 N i k v Q X V 0 b 1 J l b W 9 2 Z W R D b 2 x 1 b W 5 z M S 5 7 Q 2 9 s d W 1 u M S w w f S Z x d W 9 0 O y w m c X V v d D t T Z W N 0 a W 9 u M S 9 U Y W J s Z T Q 0 N y A o U G F n Z S A x N D Y p L 0 F 1 d G 9 S Z W 1 v d m V k Q 2 9 s d W 1 u c z E u e 0 5 v d G V z L D F 9 J n F 1 b 3 Q 7 L C Z x d W 9 0 O 1 N l Y 3 R p b 2 4 x L 1 R h Y m x l N D Q 3 I C h Q Y W d l I D E 0 N i k v Q X V 0 b 1 J l b W 9 2 Z W R D b 2 x 1 b W 5 z M S 5 7 M z E g T W F 5 I D I w M j J c b s O D w o L D g s K j b S w y f S Z x d W 9 0 O y w m c X V v d D t T Z W N 0 a W 9 u M S 9 U Y W J s Z T Q 0 N y A o U G F n Z S A x N D Y p L 0 F 1 d G 9 S Z W 1 v d m V k Q 2 9 s d W 1 u c z E u e z M x I E 1 h e S A y M D I x X G 7 D g 8 K C w 4 L C o 2 0 s M 3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Q 0 O S U y M C U y O F B h Z 2 U l M j A x N D c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0 V D E x O j M w O j E 2 L j k 5 M j E 4 O D V a I i 8 + P E V u d H J 5 I F R 5 c G U 9 I k Z p b G x D b 2 x 1 b W 5 U e X B l c y I g V m F s d W U 9 I n N C Z 0 1 H Q m c 9 P S I v P j x F b n R y e S B U e X B l P S J G a W x s Q 2 9 s d W 1 u T m F t Z X M i I F Z h b H V l P S J z W y Z x d W 9 0 O 0 N v b H V t b j E m c X V v d D s s J n F 1 b 3 Q 7 T m 9 0 Z X M m c X V v d D s s J n F 1 b 3 Q 7 M j A y M l x u w 4 P C g s O C w q N t J n F 1 b 3 Q 7 L C Z x d W 9 0 O z I w M j F c b s O D w o L D g s K j b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D Q 5 I C h Q Y W d l I D E 0 N y k v Q X V 0 b 1 J l b W 9 2 Z W R D b 2 x 1 b W 5 z M S 5 7 Q 2 9 s d W 1 u M S w w f S Z x d W 9 0 O y w m c X V v d D t T Z W N 0 a W 9 u M S 9 U Y W J s Z T Q 0 O S A o U G F n Z S A x N D c p L 0 F 1 d G 9 S Z W 1 v d m V k Q 2 9 s d W 1 u c z E u e 0 5 v d G V z L D F 9 J n F 1 b 3 Q 7 L C Z x d W 9 0 O 1 N l Y 3 R p b 2 4 x L 1 R h Y m x l N D Q 5 I C h Q Y W d l I D E 0 N y k v Q X V 0 b 1 J l b W 9 2 Z W R D b 2 x 1 b W 5 z M S 5 7 M j A y M l x u w 4 P C g s O C w q N t L D J 9 J n F 1 b 3 Q 7 L C Z x d W 9 0 O 1 N l Y 3 R p b 2 4 x L 1 R h Y m x l N D Q 5 I C h Q Y W d l I D E 0 N y k v Q X V 0 b 1 J l b W 9 2 Z W R D b 2 x 1 b W 5 z M S 5 7 M j A y M V x u w 4 P C g s O C w q N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N D Q 5 I C h Q Y W d l I D E 0 N y k v Q X V 0 b 1 J l b W 9 2 Z W R D b 2 x 1 b W 5 z M S 5 7 Q 2 9 s d W 1 u M S w w f S Z x d W 9 0 O y w m c X V v d D t T Z W N 0 a W 9 u M S 9 U Y W J s Z T Q 0 O S A o U G F n Z S A x N D c p L 0 F 1 d G 9 S Z W 1 v d m V k Q 2 9 s d W 1 u c z E u e 0 5 v d G V z L D F 9 J n F 1 b 3 Q 7 L C Z x d W 9 0 O 1 N l Y 3 R p b 2 4 x L 1 R h Y m x l N D Q 5 I C h Q Y W d l I D E 0 N y k v Q X V 0 b 1 J l b W 9 2 Z W R D b 2 x 1 b W 5 z M S 5 7 M j A y M l x u w 4 P C g s O C w q N t L D J 9 J n F 1 b 3 Q 7 L C Z x d W 9 0 O 1 N l Y 3 R p b 2 4 x L 1 R h Y m x l N D Q 5 I C h Q Y W d l I D E 0 N y k v Q X V 0 b 1 J l b W 9 2 Z W R D b 2 x 1 b W 5 z M S 5 7 M j A y M V x u w 4 P C g s O C w q N t L D N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0 N T A l M j A l M j h Q Y W d l J T I w M T Q 3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F Q x M T o z M z o y O C 4 x N z I 0 N z Q 1 W i I v P j x F b n R y e S B U e X B l P S J G a W x s Q 2 9 s d W 1 u V H l w Z X M i I F Z h b H V l P S J z Q m d N R k J R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N T A g K F B h Z 2 U g M T Q 3 K S 9 B d X R v U m V t b 3 Z l Z E N v b H V t b n M x L n t D b 2 x 1 b W 4 x L D B 9 J n F 1 b 3 Q 7 L C Z x d W 9 0 O 1 N l Y 3 R p b 2 4 x L 1 R h Y m x l N D U w I C h Q Y W d l I D E 0 N y k v Q X V 0 b 1 J l b W 9 2 Z W R D b 2 x 1 b W 5 z M S 5 7 Q 2 9 s d W 1 u M i w x f S Z x d W 9 0 O y w m c X V v d D t T Z W N 0 a W 9 u M S 9 U Y W J s Z T Q 1 M C A o U G F n Z S A x N D c p L 0 F 1 d G 9 S Z W 1 v d m V k Q 2 9 s d W 1 u c z E u e 0 N v b H V t b j M s M n 0 m c X V v d D s s J n F 1 b 3 Q 7 U 2 V j d G l v b j E v V G F i b G U 0 N T A g K F B h Z 2 U g M T Q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N D U w I C h Q Y W d l I D E 0 N y k v Q X V 0 b 1 J l b W 9 2 Z W R D b 2 x 1 b W 5 z M S 5 7 Q 2 9 s d W 1 u M S w w f S Z x d W 9 0 O y w m c X V v d D t T Z W N 0 a W 9 u M S 9 U Y W J s Z T Q 1 M C A o U G F n Z S A x N D c p L 0 F 1 d G 9 S Z W 1 v d m V k Q 2 9 s d W 1 u c z E u e 0 N v b H V t b j I s M X 0 m c X V v d D s s J n F 1 b 3 Q 7 U 2 V j d G l v b j E v V G F i b G U 0 N T A g K F B h Z 2 U g M T Q 3 K S 9 B d X R v U m V t b 3 Z l Z E N v b H V t b n M x L n t D b 2 x 1 b W 4 z L D J 9 J n F 1 b 3 Q 7 L C Z x d W 9 0 O 1 N l Y 3 R p b 2 4 x L 1 R h Y m x l N D U w I C h Q Y W d l I D E 0 N y k v Q X V 0 b 1 J l b W 9 2 Z W R D b 2 x 1 b W 5 z M S 5 7 Q 2 9 s d W 1 u N C w z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N D U x J T I w J T I 4 U G F n Z S U y M D E 0 N y U y O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R U M T E 6 M z c 6 M j k u O T A y M j A 1 O F o i L z 4 8 R W 5 0 c n k g V H l w Z T 0 i R m l s b E N v b H V t b l R 5 c G V z I i B W Y W x 1 Z T 0 i c 0 J n T U Z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D U x I C h Q Y W d l I D E 0 N y k v Q X V 0 b 1 J l b W 9 2 Z W R D b 2 x 1 b W 5 z M S 5 7 Q 2 9 s d W 1 u M S w w f S Z x d W 9 0 O y w m c X V v d D t T Z W N 0 a W 9 u M S 9 U Y W J s Z T Q 1 M S A o U G F n Z S A x N D c p L 0 F 1 d G 9 S Z W 1 v d m V k Q 2 9 s d W 1 u c z E u e 0 N v b H V t b j I s M X 0 m c X V v d D s s J n F 1 b 3 Q 7 U 2 V j d G l v b j E v V G F i b G U 0 N T E g K F B h Z 2 U g M T Q 3 K S 9 B d X R v U m V t b 3 Z l Z E N v b H V t b n M x L n t D b 2 x 1 b W 4 z L D J 9 J n F 1 b 3 Q 7 L C Z x d W 9 0 O 1 N l Y 3 R p b 2 4 x L 1 R h Y m x l N D U x I C h Q Y W d l I D E 0 N y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Q 1 M S A o U G F n Z S A x N D c p L 0 F 1 d G 9 S Z W 1 v d m V k Q 2 9 s d W 1 u c z E u e 0 N v b H V t b j E s M H 0 m c X V v d D s s J n F 1 b 3 Q 7 U 2 V j d G l v b j E v V G F i b G U 0 N T E g K F B h Z 2 U g M T Q 3 K S 9 B d X R v U m V t b 3 Z l Z E N v b H V t b n M x L n t D b 2 x 1 b W 4 y L D F 9 J n F 1 b 3 Q 7 L C Z x d W 9 0 O 1 N l Y 3 R p b 2 4 x L 1 R h Y m x l N D U x I C h Q Y W d l I D E 0 N y k v Q X V 0 b 1 J l b W 9 2 Z W R D b 2 x 1 b W 5 z M S 5 7 Q 2 9 s d W 1 u M y w y f S Z x d W 9 0 O y w m c X V v d D t T Z W N 0 a W 9 u M S 9 U Y W J s Z T Q 1 M S A o U G F n Z S A x N D c p L 0 F 1 d G 9 S Z W 1 v d m V k Q 2 9 s d W 1 u c z E u e 0 N v b H V t b j Q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Q 1 M i U y M C U y O F B h Z 2 U l M j A x N D c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0 V D E x O j Q w O j I 2 L j A w N z I x O D Z a I i 8 + P E V u d H J 5 I F R 5 c G U 9 I k Z p b G x D b 2 x 1 b W 5 U e X B l c y I g V m F s d W U 9 I n N C Z 0 1 G Q m c 9 P S I v P j x F b n R y e S B U e X B l P S J G a W x s Q 2 9 s d W 1 u T m F t Z X M i I F Z h b H V l P S J z W y Z x d W 9 0 O 0 N h c 2 g g Z m x v d 3 M g Z n J v b S B m a W 5 h b m N p b m c g Y W N 0 a X Z p d G l l c y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D U y I C h Q Y W d l I D E 0 N y k v Q X V 0 b 1 J l b W 9 2 Z W R D b 2 x 1 b W 5 z M S 5 7 Q 2 F z a C B m b G 9 3 c y B m c m 9 t I G Z p b m F u Y 2 l u Z y B h Y 3 R p d m l 0 a W V z L D B 9 J n F 1 b 3 Q 7 L C Z x d W 9 0 O 1 N l Y 3 R p b 2 4 x L 1 R h Y m x l N D U y I C h Q Y W d l I D E 0 N y k v Q X V 0 b 1 J l b W 9 2 Z W R D b 2 x 1 b W 5 z M S 5 7 Q 2 9 s d W 1 u M i w x f S Z x d W 9 0 O y w m c X V v d D t T Z W N 0 a W 9 u M S 9 U Y W J s Z T Q 1 M i A o U G F n Z S A x N D c p L 0 F 1 d G 9 S Z W 1 v d m V k Q 2 9 s d W 1 u c z E u e 0 N v b H V t b j M s M n 0 m c X V v d D s s J n F 1 b 3 Q 7 U 2 V j d G l v b j E v V G F i b G U 0 N T I g K F B h Z 2 U g M T Q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N D U y I C h Q Y W d l I D E 0 N y k v Q X V 0 b 1 J l b W 9 2 Z W R D b 2 x 1 b W 5 z M S 5 7 Q 2 F z a C B m b G 9 3 c y B m c m 9 t I G Z p b m F u Y 2 l u Z y B h Y 3 R p d m l 0 a W V z L D B 9 J n F 1 b 3 Q 7 L C Z x d W 9 0 O 1 N l Y 3 R p b 2 4 x L 1 R h Y m x l N D U y I C h Q Y W d l I D E 0 N y k v Q X V 0 b 1 J l b W 9 2 Z W R D b 2 x 1 b W 5 z M S 5 7 Q 2 9 s d W 1 u M i w x f S Z x d W 9 0 O y w m c X V v d D t T Z W N 0 a W 9 u M S 9 U Y W J s Z T Q 1 M i A o U G F n Z S A x N D c p L 0 F 1 d G 9 S Z W 1 v d m V k Q 2 9 s d W 1 u c z E u e 0 N v b H V t b j M s M n 0 m c X V v d D s s J n F 1 b 3 Q 7 U 2 V j d G l v b j E v V G F i b G U 0 N T I g K F B h Z 2 U g M T Q 3 K S 9 B d X R v U m V t b 3 Z l Z E N v b H V t b n M x L n t D b 2 x 1 b W 4 0 L D N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0 N z Q l M j A l M j h Q Y W d l J T I w M T M 1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R U M T I 6 M j Q 6 M D Q u O D U x N D k 5 M V o i L z 4 8 R W 5 0 c n k g V H l w Z T 0 i R m l s b E N v b H V t b l R 5 c G V z I i B W Y W x 1 Z T 0 i c 0 J n T U d C Z z 0 9 I i 8 + P E V u d H J 5 I F R 5 c G U 9 I k Z p b G x D b 2 x 1 b W 5 O Y W 1 l c y I g V m F s d W U 9 I n N b J n F 1 b 3 Q 7 Q 2 9 s d W 1 u M S Z x d W 9 0 O y w m c X V v d D t O b 3 R l c y Z x d W 9 0 O y w m c X V v d D s y M D I x X G 7 D g 8 K C w 4 L C o 2 0 m c X V v d D s s J n F 1 b 3 Q 7 M j A y M F x u K H J l c 3 R h d G V k K V 5 7 M i w g M 3 1 c b s O D w o L D g s K j b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D c 0 I C h Q Y W d l I D E z N S k v Q X V 0 b 1 J l b W 9 2 Z W R D b 2 x 1 b W 5 z M S 5 7 Q 2 9 s d W 1 u M S w w f S Z x d W 9 0 O y w m c X V v d D t T Z W N 0 a W 9 u M S 9 U Y W J s Z T Q 3 N C A o U G F n Z S A x M z U p L 0 F 1 d G 9 S Z W 1 v d m V k Q 2 9 s d W 1 u c z E u e 0 5 v d G V z L D F 9 J n F 1 b 3 Q 7 L C Z x d W 9 0 O 1 N l Y 3 R p b 2 4 x L 1 R h Y m x l N D c 0 I C h Q Y W d l I D E z N S k v Q X V 0 b 1 J l b W 9 2 Z W R D b 2 x 1 b W 5 z M S 5 7 M j A y M V x u w 4 P C g s O C w q N t L D J 9 J n F 1 b 3 Q 7 L C Z x d W 9 0 O 1 N l Y 3 R p b 2 4 x L 1 R h Y m x l N D c 0 I C h Q Y W d l I D E z N S k v Q X V 0 b 1 J l b W 9 2 Z W R D b 2 x 1 b W 5 z M S 5 7 M j A y M F x u K H J l c 3 R h d G V k K V 5 7 e z I s I D N 9 X G 7 D g 8 K C w 4 L C o 2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0 N z Q g K F B h Z 2 U g M T M 1 K S 9 B d X R v U m V t b 3 Z l Z E N v b H V t b n M x L n t D b 2 x 1 b W 4 x L D B 9 J n F 1 b 3 Q 7 L C Z x d W 9 0 O 1 N l Y 3 R p b 2 4 x L 1 R h Y m x l N D c 0 I C h Q Y W d l I D E z N S k v Q X V 0 b 1 J l b W 9 2 Z W R D b 2 x 1 b W 5 z M S 5 7 T m 9 0 Z X M s M X 0 m c X V v d D s s J n F 1 b 3 Q 7 U 2 V j d G l v b j E v V G F i b G U 0 N z Q g K F B h Z 2 U g M T M 1 K S 9 B d X R v U m V t b 3 Z l Z E N v b H V t b n M x L n s y M D I x X G 7 D g 8 K C w 4 L C o 2 0 s M n 0 m c X V v d D s s J n F 1 b 3 Q 7 U 2 V j d G l v b j E v V G F i b G U 0 N z Q g K F B h Z 2 U g M T M 1 K S 9 B d X R v U m V t b 3 Z l Z E N v b H V t b n M x L n s y M D I w X G 4 o c m V z d G F 0 Z W Q p X n t 7 M i w g M 3 1 c b s O D w o L D g s K j b S w z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N D c 2 J T I w J T I 4 U G F n Z S U y M D E z N i U y O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0 V D E y O j M y O j U 2 L j A 3 N D Q 0 N D R a I i 8 + P E V u d H J 5 I F R 5 c G U 9 I k Z p b G x D b 2 x 1 b W 5 U e X B l c y I g V m F s d W U 9 I n N C Z 1 l H Q m d N R 0 F 3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N z Y g K F B h Z 2 U g M T M 2 K S 9 B d X R v U m V t b 3 Z l Z E N v b H V t b n M x L n t D b 2 x 1 b W 4 x L D B 9 J n F 1 b 3 Q 7 L C Z x d W 9 0 O 1 N l Y 3 R p b 2 4 x L 1 R h Y m x l N D c 2 I C h Q Y W d l I D E z N i k v Q X V 0 b 1 J l b W 9 2 Z W R D b 2 x 1 b W 5 z M S 5 7 Q 2 9 s d W 1 u M i w x f S Z x d W 9 0 O y w m c X V v d D t T Z W N 0 a W 9 u M S 9 U Y W J s Z T Q 3 N i A o U G F n Z S A x M z Y p L 0 F 1 d G 9 S Z W 1 v d m V k Q 2 9 s d W 1 u c z E u e 0 N v b H V t b j M s M n 0 m c X V v d D s s J n F 1 b 3 Q 7 U 2 V j d G l v b j E v V G F i b G U 0 N z Y g K F B h Z 2 U g M T M 2 K S 9 B d X R v U m V t b 3 Z l Z E N v b H V t b n M x L n t D b 2 x 1 b W 4 0 L D N 9 J n F 1 b 3 Q 7 L C Z x d W 9 0 O 1 N l Y 3 R p b 2 4 x L 1 R h Y m x l N D c 2 I C h Q Y W d l I D E z N i k v Q X V 0 b 1 J l b W 9 2 Z W R D b 2 x 1 b W 5 z M S 5 7 Q 2 9 s d W 1 u N S w 0 f S Z x d W 9 0 O y w m c X V v d D t T Z W N 0 a W 9 u M S 9 U Y W J s Z T Q 3 N i A o U G F n Z S A x M z Y p L 0 F 1 d G 9 S Z W 1 v d m V k Q 2 9 s d W 1 u c z E u e 0 N v b H V t b j Y s N X 0 m c X V v d D s s J n F 1 b 3 Q 7 U 2 V j d G l v b j E v V G F i b G U 0 N z Y g K F B h Z 2 U g M T M 2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N D c 2 I C h Q Y W d l I D E z N i k v Q X V 0 b 1 J l b W 9 2 Z W R D b 2 x 1 b W 5 z M S 5 7 Q 2 9 s d W 1 u M S w w f S Z x d W 9 0 O y w m c X V v d D t T Z W N 0 a W 9 u M S 9 U Y W J s Z T Q 3 N i A o U G F n Z S A x M z Y p L 0 F 1 d G 9 S Z W 1 v d m V k Q 2 9 s d W 1 u c z E u e 0 N v b H V t b j I s M X 0 m c X V v d D s s J n F 1 b 3 Q 7 U 2 V j d G l v b j E v V G F i b G U 0 N z Y g K F B h Z 2 U g M T M 2 K S 9 B d X R v U m V t b 3 Z l Z E N v b H V t b n M x L n t D b 2 x 1 b W 4 z L D J 9 J n F 1 b 3 Q 7 L C Z x d W 9 0 O 1 N l Y 3 R p b 2 4 x L 1 R h Y m x l N D c 2 I C h Q Y W d l I D E z N i k v Q X V 0 b 1 J l b W 9 2 Z W R D b 2 x 1 b W 5 z M S 5 7 Q 2 9 s d W 1 u N C w z f S Z x d W 9 0 O y w m c X V v d D t T Z W N 0 a W 9 u M S 9 U Y W J s Z T Q 3 N i A o U G F n Z S A x M z Y p L 0 F 1 d G 9 S Z W 1 v d m V k Q 2 9 s d W 1 u c z E u e 0 N v b H V t b j U s N H 0 m c X V v d D s s J n F 1 b 3 Q 7 U 2 V j d G l v b j E v V G F i b G U 0 N z Y g K F B h Z 2 U g M T M 2 K S 9 B d X R v U m V t b 3 Z l Z E N v b H V t b n M x L n t D b 2 x 1 b W 4 2 L D V 9 J n F 1 b 3 Q 7 L C Z x d W 9 0 O 1 N l Y 3 R p b 2 4 x L 1 R h Y m x l N D c 2 I C h Q Y W d l I D E z N i k v Q X V 0 b 1 J l b W 9 2 Z W R D b 2 x 1 b W 5 z M S 5 7 Q 2 9 s d W 1 u N y w 2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N D c 4 J T I w J T I 4 U G F n Z S U y M D E z N y U y O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0 V D E y O j Q x O j Q y L j E 3 M j g 4 N z F a I i 8 + P E V u d H J 5 I F R 5 c G U 9 I k Z p b G x D b 2 x 1 b W 5 U e X B l c y I g V m F s d W U 9 I n N C Z 0 1 H Q m c 9 P S I v P j x F b n R y e S B U e X B l P S J G a W x s Q 2 9 s d W 1 u T m F t Z X M i I F Z h b H V l P S J z W y Z x d W 9 0 O 0 N v b H V t b j E m c X V v d D s s J n F 1 b 3 Q 7 T m 9 0 Z X M m c X V v d D s s J n F 1 b 3 Q 7 w 4 P C g s O C w q N t J n F 1 b 3 Q 7 L C Z x d W 9 0 O 8 O D w o L D g s K j b V 8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N z g g K F B h Z 2 U g M T M 3 K S 9 B d X R v U m V t b 3 Z l Z E N v b H V t b n M x L n t D b 2 x 1 b W 4 x L D B 9 J n F 1 b 3 Q 7 L C Z x d W 9 0 O 1 N l Y 3 R p b 2 4 x L 1 R h Y m x l N D c 4 I C h Q Y W d l I D E z N y k v Q X V 0 b 1 J l b W 9 2 Z W R D b 2 x 1 b W 5 z M S 5 7 T m 9 0 Z X M s M X 0 m c X V v d D s s J n F 1 b 3 Q 7 U 2 V j d G l v b j E v V G F i b G U 0 N z g g K F B h Z 2 U g M T M 3 K S 9 B d X R v U m V t b 3 Z l Z E N v b H V t b n M x L n v D g 8 K C w 4 L C o 2 0 s M n 0 m c X V v d D s s J n F 1 b 3 Q 7 U 2 V j d G l v b j E v V G F i b G U 0 N z g g K F B h Z 2 U g M T M 3 K S 9 B d X R v U m V t b 3 Z l Z E N v b H V t b n M x L n v D g 8 K C w 4 L C o 2 1 f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Q 3 O C A o U G F n Z S A x M z c p L 0 F 1 d G 9 S Z W 1 v d m V k Q 2 9 s d W 1 u c z E u e 0 N v b H V t b j E s M H 0 m c X V v d D s s J n F 1 b 3 Q 7 U 2 V j d G l v b j E v V G F i b G U 0 N z g g K F B h Z 2 U g M T M 3 K S 9 B d X R v U m V t b 3 Z l Z E N v b H V t b n M x L n t O b 3 R l c y w x f S Z x d W 9 0 O y w m c X V v d D t T Z W N 0 a W 9 u M S 9 U Y W J s Z T Q 3 O C A o U G F n Z S A x M z c p L 0 F 1 d G 9 S Z W 1 v d m V k Q 2 9 s d W 1 u c z E u e 8 O D w o L D g s K j b S w y f S Z x d W 9 0 O y w m c X V v d D t T Z W N 0 a W 9 u M S 9 U Y W J s Z T Q 3 O C A o U G F n Z S A x M z c p L 0 F 1 d G 9 S Z W 1 v d m V k Q 2 9 s d W 1 u c z E u e 8 O D w o L D g s K j b V 8 x L D N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0 N z k l M j A l M j h Q Y W d l J T I w M T M 3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F Q x M j o 0 M z o 0 N i 4 z N D A 3 N T I 3 W i I v P j x F b n R y e S B U e X B l P S J G a W x s Q 2 9 s d W 1 u V H l w Z X M i I F Z h b H V l P S J z Q m d V R i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N z k g K F B h Z 2 U g M T M 3 K S 9 B d X R v U m V t b 3 Z l Z E N v b H V t b n M x L n t D b 2 x 1 b W 4 x L D B 9 J n F 1 b 3 Q 7 L C Z x d W 9 0 O 1 N l Y 3 R p b 2 4 x L 1 R h Y m x l N D c 5 I C h Q Y W d l I D E z N y k v Q X V 0 b 1 J l b W 9 2 Z W R D b 2 x 1 b W 5 z M S 5 7 Q 2 9 s d W 1 u M i w x f S Z x d W 9 0 O y w m c X V v d D t T Z W N 0 a W 9 u M S 9 U Y W J s Z T Q 3 O S A o U G F n Z S A x M z c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0 N z k g K F B h Z 2 U g M T M 3 K S 9 B d X R v U m V t b 3 Z l Z E N v b H V t b n M x L n t D b 2 x 1 b W 4 x L D B 9 J n F 1 b 3 Q 7 L C Z x d W 9 0 O 1 N l Y 3 R p b 2 4 x L 1 R h Y m x l N D c 5 I C h Q Y W d l I D E z N y k v Q X V 0 b 1 J l b W 9 2 Z W R D b 2 x 1 b W 5 z M S 5 7 Q 2 9 s d W 1 u M i w x f S Z x d W 9 0 O y w m c X V v d D t T Z W N 0 a W 9 u M S 9 U Y W J s Z T Q 3 O S A o U G F n Z S A x M z c p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Q 4 M C U y M C U y O F B h Z 2 U l M j A x M z c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F Q x M j o 0 N z o y M y 4 5 M T g 3 O D U 1 W i I v P j x F b n R y e S B U e X B l P S J G a W x s Q 2 9 s d W 1 u V H l w Z X M i I F Z h b H V l P S J z Q m d N R E J n W T 0 i L z 4 8 R W 5 0 c n k g V H l w Z T 0 i R m l s b E N v b H V t b k 5 h b W V z I i B W Y W x 1 Z T 0 i c 1 s m c X V v d D t D Y X N o I G Z s b 3 d z I G Z y b 2 0 g a W 5 2 Z X N 0 a W 5 n I G F j d G l 2 a X R p Z X M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D g w I C h Q Y W d l I D E z N y k v Q X V 0 b 1 J l b W 9 2 Z W R D b 2 x 1 b W 5 z M S 5 7 Q 2 F z a C B m b G 9 3 c y B m c m 9 t I G l u d m V z d G l u Z y B h Y 3 R p d m l 0 a W V z L D B 9 J n F 1 b 3 Q 7 L C Z x d W 9 0 O 1 N l Y 3 R p b 2 4 x L 1 R h Y m x l N D g w I C h Q Y W d l I D E z N y k v Q X V 0 b 1 J l b W 9 2 Z W R D b 2 x 1 b W 5 z M S 5 7 Q 2 9 s d W 1 u M i w x f S Z x d W 9 0 O y w m c X V v d D t T Z W N 0 a W 9 u M S 9 U Y W J s Z T Q 4 M C A o U G F n Z S A x M z c p L 0 F 1 d G 9 S Z W 1 v d m V k Q 2 9 s d W 1 u c z E u e 0 N v b H V t b j M s M n 0 m c X V v d D s s J n F 1 b 3 Q 7 U 2 V j d G l v b j E v V G F i b G U 0 O D A g K F B h Z 2 U g M T M 3 K S 9 B d X R v U m V t b 3 Z l Z E N v b H V t b n M x L n t D b 2 x 1 b W 4 0 L D N 9 J n F 1 b 3 Q 7 L C Z x d W 9 0 O 1 N l Y 3 R p b 2 4 x L 1 R h Y m x l N D g w I C h Q Y W d l I D E z N y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Q 4 M C A o U G F n Z S A x M z c p L 0 F 1 d G 9 S Z W 1 v d m V k Q 2 9 s d W 1 u c z E u e 0 N h c 2 g g Z m x v d 3 M g Z n J v b S B p b n Z l c 3 R p b m c g Y W N 0 a X Z p d G l l c y w w f S Z x d W 9 0 O y w m c X V v d D t T Z W N 0 a W 9 u M S 9 U Y W J s Z T Q 4 M C A o U G F n Z S A x M z c p L 0 F 1 d G 9 S Z W 1 v d m V k Q 2 9 s d W 1 u c z E u e 0 N v b H V t b j I s M X 0 m c X V v d D s s J n F 1 b 3 Q 7 U 2 V j d G l v b j E v V G F i b G U 0 O D A g K F B h Z 2 U g M T M 3 K S 9 B d X R v U m V t b 3 Z l Z E N v b H V t b n M x L n t D b 2 x 1 b W 4 z L D J 9 J n F 1 b 3 Q 7 L C Z x d W 9 0 O 1 N l Y 3 R p b 2 4 x L 1 R h Y m x l N D g w I C h Q Y W d l I D E z N y k v Q X V 0 b 1 J l b W 9 2 Z W R D b 2 x 1 b W 5 z M S 5 7 Q 2 9 s d W 1 u N C w z f S Z x d W 9 0 O y w m c X V v d D t T Z W N 0 a W 9 u M S 9 U Y W J s Z T Q 4 M C A o U G F n Z S A x M z c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Q 4 M S U y M C U y O F B h Z 2 U l M j A x M z c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0 V D E y O j U w O j I x L j M w N T c y M T F a I i 8 + P E V u d H J 5 I F R 5 c G U 9 I k Z p b G x D b 2 x 1 b W 5 U e X B l c y I g V m F s d W U 9 I n N C Z 1 l G Q l E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4 M S A o U G F n Z S A x M z c p L 0 F 1 d G 9 S Z W 1 v d m V k Q 2 9 s d W 1 u c z E u e 0 N v b H V t b j E s M H 0 m c X V v d D s s J n F 1 b 3 Q 7 U 2 V j d G l v b j E v V G F i b G U 0 O D E g K F B h Z 2 U g M T M 3 K S 9 B d X R v U m V t b 3 Z l Z E N v b H V t b n M x L n t D b 2 x 1 b W 4 y L D F 9 J n F 1 b 3 Q 7 L C Z x d W 9 0 O 1 N l Y 3 R p b 2 4 x L 1 R h Y m x l N D g x I C h Q Y W d l I D E z N y k v Q X V 0 b 1 J l b W 9 2 Z W R D b 2 x 1 b W 5 z M S 5 7 Q 2 9 s d W 1 u M y w y f S Z x d W 9 0 O y w m c X V v d D t T Z W N 0 a W 9 u M S 9 U Y W J s Z T Q 4 M S A o U G F n Z S A x M z c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0 O D E g K F B h Z 2 U g M T M 3 K S 9 B d X R v U m V t b 3 Z l Z E N v b H V t b n M x L n t D b 2 x 1 b W 4 x L D B 9 J n F 1 b 3 Q 7 L C Z x d W 9 0 O 1 N l Y 3 R p b 2 4 x L 1 R h Y m x l N D g x I C h Q Y W d l I D E z N y k v Q X V 0 b 1 J l b W 9 2 Z W R D b 2 x 1 b W 5 z M S 5 7 Q 2 9 s d W 1 u M i w x f S Z x d W 9 0 O y w m c X V v d D t T Z W N 0 a W 9 u M S 9 U Y W J s Z T Q 4 M S A o U G F n Z S A x M z c p L 0 F 1 d G 9 S Z W 1 v d m V k Q 2 9 s d W 1 u c z E u e 0 N v b H V t b j M s M n 0 m c X V v d D s s J n F 1 b 3 Q 7 U 2 V j d G l v b j E v V G F i b G U 0 O D E g K F B h Z 2 U g M T M 3 K S 9 B d X R v U m V t b 3 Z l Z E N v b H V t b n M x L n t D b 2 x 1 b W 4 0 L D N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0 O D A l M j A l M j h Q Y W d l J T I w M T M 3 J T I 5 J T I w J T I 4 M i U y O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0 V D E y O j Q 3 O j I z L j k x O D c 4 N T V a I i 8 + P E V u d H J 5 I F R 5 c G U 9 I k Z p b G x D b 2 x 1 b W 5 U e X B l c y I g V m F s d W U 9 I n N C Z 0 1 E Q m d Z P S I v P j x F b n R y e S B U e X B l P S J G a W x s Q 2 9 s d W 1 u T m F t Z X M i I F Z h b H V l P S J z W y Z x d W 9 0 O 0 N h c 2 g g Z m x v d 3 M g Z n J v b S B p b n Z l c 3 R p b m c g Y W N 0 a X Z p d G l l c y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O D A g K F B h Z 2 U g M T M 3 K S 9 B d X R v U m V t b 3 Z l Z E N v b H V t b n M x L n t D Y X N o I G Z s b 3 d z I G Z y b 2 0 g a W 5 2 Z X N 0 a W 5 n I G F j d G l 2 a X R p Z X M s M H 0 m c X V v d D s s J n F 1 b 3 Q 7 U 2 V j d G l v b j E v V G F i b G U 0 O D A g K F B h Z 2 U g M T M 3 K S 9 B d X R v U m V t b 3 Z l Z E N v b H V t b n M x L n t D b 2 x 1 b W 4 y L D F 9 J n F 1 b 3 Q 7 L C Z x d W 9 0 O 1 N l Y 3 R p b 2 4 x L 1 R h Y m x l N D g w I C h Q Y W d l I D E z N y k v Q X V 0 b 1 J l b W 9 2 Z W R D b 2 x 1 b W 5 z M S 5 7 Q 2 9 s d W 1 u M y w y f S Z x d W 9 0 O y w m c X V v d D t T Z W N 0 a W 9 u M S 9 U Y W J s Z T Q 4 M C A o U G F n Z S A x M z c p L 0 F 1 d G 9 S Z W 1 v d m V k Q 2 9 s d W 1 u c z E u e 0 N v b H V t b j Q s M 3 0 m c X V v d D s s J n F 1 b 3 Q 7 U 2 V j d G l v b j E v V G F i b G U 0 O D A g K F B h Z 2 U g M T M 3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N D g w I C h Q Y W d l I D E z N y k v Q X V 0 b 1 J l b W 9 2 Z W R D b 2 x 1 b W 5 z M S 5 7 Q 2 F z a C B m b G 9 3 c y B m c m 9 t I G l u d m V z d G l u Z y B h Y 3 R p d m l 0 a W V z L D B 9 J n F 1 b 3 Q 7 L C Z x d W 9 0 O 1 N l Y 3 R p b 2 4 x L 1 R h Y m x l N D g w I C h Q Y W d l I D E z N y k v Q X V 0 b 1 J l b W 9 2 Z W R D b 2 x 1 b W 5 z M S 5 7 Q 2 9 s d W 1 u M i w x f S Z x d W 9 0 O y w m c X V v d D t T Z W N 0 a W 9 u M S 9 U Y W J s Z T Q 4 M C A o U G F n Z S A x M z c p L 0 F 1 d G 9 S Z W 1 v d m V k Q 2 9 s d W 1 u c z E u e 0 N v b H V t b j M s M n 0 m c X V v d D s s J n F 1 b 3 Q 7 U 2 V j d G l v b j E v V G F i b G U 0 O D A g K F B h Z 2 U g M T M 3 K S 9 B d X R v U m V t b 3 Z l Z E N v b H V t b n M x L n t D b 2 x 1 b W 4 0 L D N 9 J n F 1 b 3 Q 7 L C Z x d W 9 0 O 1 N l Y 3 R p b 2 4 x L 1 R h Y m x l N D g w I C h Q Y W d l I D E z N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M 1 N i U y M C U y O F B h Z 2 U l M j A x M D k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F Q x M z o x M j o y N S 4 w N j c 1 O T k y W i I v P j x F b n R y e S B U e X B l P S J G a W x s Q 2 9 s d W 1 u V H l w Z X M i I F Z h b H V l P S J z Q m d N R E J n W U R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z U 2 I C h Q Y W d l I D E w O S k v Q X V 0 b 1 J l b W 9 2 Z W R D b 2 x 1 b W 5 z M S 5 7 Q 2 9 s d W 1 u M S w w f S Z x d W 9 0 O y w m c X V v d D t T Z W N 0 a W 9 u M S 9 U Y W J s Z T M 1 N i A o U G F n Z S A x M D k p L 0 F 1 d G 9 S Z W 1 v d m V k Q 2 9 s d W 1 u c z E u e 0 N v b H V t b j I s M X 0 m c X V v d D s s J n F 1 b 3 Q 7 U 2 V j d G l v b j E v V G F i b G U z N T Y g K F B h Z 2 U g M T A 5 K S 9 B d X R v U m V t b 3 Z l Z E N v b H V t b n M x L n t D b 2 x 1 b W 4 z L D J 9 J n F 1 b 3 Q 7 L C Z x d W 9 0 O 1 N l Y 3 R p b 2 4 x L 1 R h Y m x l M z U 2 I C h Q Y W d l I D E w O S k v Q X V 0 b 1 J l b W 9 2 Z W R D b 2 x 1 b W 5 z M S 5 7 Q 2 9 s d W 1 u N C w z f S Z x d W 9 0 O y w m c X V v d D t T Z W N 0 a W 9 u M S 9 U Y W J s Z T M 1 N i A o U G F n Z S A x M D k p L 0 F 1 d G 9 S Z W 1 v d m V k Q 2 9 s d W 1 u c z E u e 0 N v b H V t b j U s N H 0 m c X V v d D s s J n F 1 b 3 Q 7 U 2 V j d G l v b j E v V G F i b G U z N T Y g K F B h Z 2 U g M T A 5 K S 9 B d X R v U m V t b 3 Z l Z E N v b H V t b n M x L n t D b 2 x 1 b W 4 2 L D V 9 J n F 1 b 3 Q 7 L C Z x d W 9 0 O 1 N l Y 3 R p b 2 4 x L 1 R h Y m x l M z U 2 I C h Q Y W d l I D E w O S k v Q X V 0 b 1 J l b W 9 2 Z W R D b 2 x 1 b W 5 z M S 5 7 Q 2 9 s d W 1 u N y w 2 f S Z x d W 9 0 O y w m c X V v d D t T Z W N 0 a W 9 u M S 9 U Y W J s Z T M 1 N i A o U G F n Z S A x M D k p L 0 F 1 d G 9 S Z W 1 v d m V k Q 2 9 s d W 1 u c z E u e 0 N v b H V t b j g s N 3 0 m c X V v d D s s J n F 1 b 3 Q 7 U 2 V j d G l v b j E v V G F i b G U z N T Y g K F B h Z 2 U g M T A 5 K S 9 B d X R v U m V t b 3 Z l Z E N v b H V t b n M x L n t D b 2 x 1 b W 4 5 L D h 9 J n F 1 b 3 Q 7 L C Z x d W 9 0 O 1 N l Y 3 R p b 2 4 x L 1 R h Y m x l M z U 2 I C h Q Y W d l I D E w O S k v Q X V 0 b 1 J l b W 9 2 Z W R D b 2 x 1 b W 5 z M S 5 7 Q 2 9 s d W 1 u M T A s O X 0 m c X V v d D s s J n F 1 b 3 Q 7 U 2 V j d G l v b j E v V G F i b G U z N T Y g K F B h Z 2 U g M T A 5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z U 2 I C h Q Y W d l I D E w O S k v Q X V 0 b 1 J l b W 9 2 Z W R D b 2 x 1 b W 5 z M S 5 7 Q 2 9 s d W 1 u M S w w f S Z x d W 9 0 O y w m c X V v d D t T Z W N 0 a W 9 u M S 9 U Y W J s Z T M 1 N i A o U G F n Z S A x M D k p L 0 F 1 d G 9 S Z W 1 v d m V k Q 2 9 s d W 1 u c z E u e 0 N v b H V t b j I s M X 0 m c X V v d D s s J n F 1 b 3 Q 7 U 2 V j d G l v b j E v V G F i b G U z N T Y g K F B h Z 2 U g M T A 5 K S 9 B d X R v U m V t b 3 Z l Z E N v b H V t b n M x L n t D b 2 x 1 b W 4 z L D J 9 J n F 1 b 3 Q 7 L C Z x d W 9 0 O 1 N l Y 3 R p b 2 4 x L 1 R h Y m x l M z U 2 I C h Q Y W d l I D E w O S k v Q X V 0 b 1 J l b W 9 2 Z W R D b 2 x 1 b W 5 z M S 5 7 Q 2 9 s d W 1 u N C w z f S Z x d W 9 0 O y w m c X V v d D t T Z W N 0 a W 9 u M S 9 U Y W J s Z T M 1 N i A o U G F n Z S A x M D k p L 0 F 1 d G 9 S Z W 1 v d m V k Q 2 9 s d W 1 u c z E u e 0 N v b H V t b j U s N H 0 m c X V v d D s s J n F 1 b 3 Q 7 U 2 V j d G l v b j E v V G F i b G U z N T Y g K F B h Z 2 U g M T A 5 K S 9 B d X R v U m V t b 3 Z l Z E N v b H V t b n M x L n t D b 2 x 1 b W 4 2 L D V 9 J n F 1 b 3 Q 7 L C Z x d W 9 0 O 1 N l Y 3 R p b 2 4 x L 1 R h Y m x l M z U 2 I C h Q Y W d l I D E w O S k v Q X V 0 b 1 J l b W 9 2 Z W R D b 2 x 1 b W 5 z M S 5 7 Q 2 9 s d W 1 u N y w 2 f S Z x d W 9 0 O y w m c X V v d D t T Z W N 0 a W 9 u M S 9 U Y W J s Z T M 1 N i A o U G F n Z S A x M D k p L 0 F 1 d G 9 S Z W 1 v d m V k Q 2 9 s d W 1 u c z E u e 0 N v b H V t b j g s N 3 0 m c X V v d D s s J n F 1 b 3 Q 7 U 2 V j d G l v b j E v V G F i b G U z N T Y g K F B h Z 2 U g M T A 5 K S 9 B d X R v U m V t b 3 Z l Z E N v b H V t b n M x L n t D b 2 x 1 b W 4 5 L D h 9 J n F 1 b 3 Q 7 L C Z x d W 9 0 O 1 N l Y 3 R p b 2 4 x L 1 R h Y m x l M z U 2 I C h Q Y W d l I D E w O S k v Q X V 0 b 1 J l b W 9 2 Z W R D b 2 x 1 b W 5 z M S 5 7 Q 2 9 s d W 1 u M T A s O X 0 m c X V v d D s s J n F 1 b 3 Q 7 U 2 V j d G l v b j E v V G F i b G U z N T Y g K F B h Z 2 U g M T A 5 K S 9 B d X R v U m V t b 3 Z l Z E N v b H V t b n M x L n t D b 2 x 1 b W 4 x M S w x M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M 1 N y U y M C U y O F B h Z 2 U l M j A x M D k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0 V D E z O j E 1 O j M 4 L j Q 2 N j U x M D R a I i 8 + P E V u d H J 5 I F R 5 c G U 9 I k Z p b G x D b 2 x 1 b W 5 U e X B l c y I g V m F s d W U 9 I n N C Z 1 V G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1 N y A o U G F n Z S A x M D k p L 0 F 1 d G 9 S Z W 1 v d m V k Q 2 9 s d W 1 u c z E u e 0 N v b H V t b j E s M H 0 m c X V v d D s s J n F 1 b 3 Q 7 U 2 V j d G l v b j E v V G F i b G U z N T c g K F B h Z 2 U g M T A 5 K S 9 B d X R v U m V t b 3 Z l Z E N v b H V t b n M x L n t D b 2 x 1 b W 4 y L D F 9 J n F 1 b 3 Q 7 L C Z x d W 9 0 O 1 N l Y 3 R p b 2 4 x L 1 R h Y m x l M z U 3 I C h Q Y W d l I D E w O S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M 1 N y A o U G F n Z S A x M D k p L 0 F 1 d G 9 S Z W 1 v d m V k Q 2 9 s d W 1 u c z E u e 0 N v b H V t b j E s M H 0 m c X V v d D s s J n F 1 b 3 Q 7 U 2 V j d G l v b j E v V G F i b G U z N T c g K F B h Z 2 U g M T A 5 K S 9 B d X R v U m V t b 3 Z l Z E N v b H V t b n M x L n t D b 2 x 1 b W 4 y L D F 9 J n F 1 b 3 Q 7 L C Z x d W 9 0 O 1 N l Y 3 R p b 2 4 x L 1 R h Y m x l M z U 3 I C h Q Y W d l I D E w O S k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z U 5 J T I w J T I 4 U G F n Z S U y M D E x M C U y O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0 V D E z O j E 5 O j A 2 L j E z N T k 1 N j V a I i 8 + P E V u d H J 5 I F R 5 c G U 9 I k Z p b G x D b 2 x 1 b W 5 U e X B l c y I g V m F s d W U 9 I n N C Z 0 1 H Q m c 9 P S I v P j x F b n R y e S B U e X B l P S J G a W x s Q 2 9 s d W 1 u T m F t Z X M i I F Z h b H V l P S J z W y Z x d W 9 0 O 0 5 v b i 1 j d X J y Z W 5 0 I G F z c 2 V 0 c y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z U 5 I C h Q Y W d l I D E x M C k v Q X V 0 b 1 J l b W 9 2 Z W R D b 2 x 1 b W 5 z M S 5 7 T m 9 u L W N 1 c n J l b n Q g Y X N z Z X R z L D B 9 J n F 1 b 3 Q 7 L C Z x d W 9 0 O 1 N l Y 3 R p b 2 4 x L 1 R h Y m x l M z U 5 I C h Q Y W d l I D E x M C k v Q X V 0 b 1 J l b W 9 2 Z W R D b 2 x 1 b W 5 z M S 5 7 Q 2 9 s d W 1 u M i w x f S Z x d W 9 0 O y w m c X V v d D t T Z W N 0 a W 9 u M S 9 U Y W J s Z T M 1 O S A o U G F n Z S A x M T A p L 0 F 1 d G 9 S Z W 1 v d m V k Q 2 9 s d W 1 u c z E u e 0 N v b H V t b j M s M n 0 m c X V v d D s s J n F 1 b 3 Q 7 U 2 V j d G l v b j E v V G F i b G U z N T k g K F B h Z 2 U g M T E w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z U 5 I C h Q Y W d l I D E x M C k v Q X V 0 b 1 J l b W 9 2 Z W R D b 2 x 1 b W 5 z M S 5 7 T m 9 u L W N 1 c n J l b n Q g Y X N z Z X R z L D B 9 J n F 1 b 3 Q 7 L C Z x d W 9 0 O 1 N l Y 3 R p b 2 4 x L 1 R h Y m x l M z U 5 I C h Q Y W d l I D E x M C k v Q X V 0 b 1 J l b W 9 2 Z W R D b 2 x 1 b W 5 z M S 5 7 Q 2 9 s d W 1 u M i w x f S Z x d W 9 0 O y w m c X V v d D t T Z W N 0 a W 9 u M S 9 U Y W J s Z T M 1 O S A o U G F n Z S A x M T A p L 0 F 1 d G 9 S Z W 1 v d m V k Q 2 9 s d W 1 u c z E u e 0 N v b H V t b j M s M n 0 m c X V v d D s s J n F 1 b 3 Q 7 U 2 V j d G l v b j E v V G F i b G U z N T k g K F B h Z 2 U g M T E w K S 9 B d X R v U m V t b 3 Z l Z E N v b H V t b n M x L n t D b 2 x 1 b W 4 0 L D N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z N j E l M j A l M j h Q Y W d l J T I w M T E x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R U M T M 6 M j I 6 M T M u O T A 3 N j M 0 N l o i L z 4 8 R W 5 0 c n k g V H l w Z T 0 i R m l s b E N v b H V t b l R 5 c G V z I i B W Y W x 1 Z T 0 i c 0 J n W U d B d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N j E g K F B h Z 2 U g M T E x K S 9 B d X R v U m V t b 3 Z l Z E N v b H V t b n M x L n t D b 2 x 1 b W 4 x L D B 9 J n F 1 b 3 Q 7 L C Z x d W 9 0 O 1 N l Y 3 R p b 2 4 x L 1 R h Y m x l M z Y x I C h Q Y W d l I D E x M S k v Q X V 0 b 1 J l b W 9 2 Z W R D b 2 x 1 b W 5 z M S 5 7 Q 2 9 s d W 1 u M i w x f S Z x d W 9 0 O y w m c X V v d D t T Z W N 0 a W 9 u M S 9 U Y W J s Z T M 2 M S A o U G F n Z S A x M T E p L 0 F 1 d G 9 S Z W 1 v d m V k Q 2 9 s d W 1 u c z E u e 0 N v b H V t b j M s M n 0 m c X V v d D s s J n F 1 b 3 Q 7 U 2 V j d G l v b j E v V G F i b G U z N j E g K F B h Z 2 U g M T E x K S 9 B d X R v U m V t b 3 Z l Z E N v b H V t b n M x L n t D b 2 x 1 b W 4 0 L D N 9 J n F 1 b 3 Q 7 L C Z x d W 9 0 O 1 N l Y 3 R p b 2 4 x L 1 R h Y m x l M z Y x I C h Q Y W d l I D E x M S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M 2 M S A o U G F n Z S A x M T E p L 0 F 1 d G 9 S Z W 1 v d m V k Q 2 9 s d W 1 u c z E u e 0 N v b H V t b j E s M H 0 m c X V v d D s s J n F 1 b 3 Q 7 U 2 V j d G l v b j E v V G F i b G U z N j E g K F B h Z 2 U g M T E x K S 9 B d X R v U m V t b 3 Z l Z E N v b H V t b n M x L n t D b 2 x 1 b W 4 y L D F 9 J n F 1 b 3 Q 7 L C Z x d W 9 0 O 1 N l Y 3 R p b 2 4 x L 1 R h Y m x l M z Y x I C h Q Y W d l I D E x M S k v Q X V 0 b 1 J l b W 9 2 Z W R D b 2 x 1 b W 5 z M S 5 7 Q 2 9 s d W 1 u M y w y f S Z x d W 9 0 O y w m c X V v d D t T Z W N 0 a W 9 u M S 9 U Y W J s Z T M 2 M S A o U G F n Z S A x M T E p L 0 F 1 d G 9 S Z W 1 v d m V k Q 2 9 s d W 1 u c z E u e 0 N v b H V t b j Q s M 3 0 m c X V v d D s s J n F 1 b 3 Q 7 U 2 V j d G l v b j E v V G F i b G U z N j E g K F B h Z 2 U g M T E x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z N j I l M j A l M j h Q Y W d l J T I w M T E x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R U M T M 6 M j M 6 N T E u M j U x N j g 3 N l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z Y y I C h Q Y W d l I D E x M S k v Q X V 0 b 1 J l b W 9 2 Z W R D b 2 x 1 b W 5 z M S 5 7 Q 2 9 s d W 1 u M S w w f S Z x d W 9 0 O y w m c X V v d D t T Z W N 0 a W 9 u M S 9 U Y W J s Z T M 2 M i A o U G F n Z S A x M T E p L 0 F 1 d G 9 S Z W 1 v d m V k Q 2 9 s d W 1 u c z E u e 0 N v b H V t b j I s M X 0 m c X V v d D s s J n F 1 b 3 Q 7 U 2 V j d G l v b j E v V G F i b G U z N j I g K F B h Z 2 U g M T E x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z Y y I C h Q Y W d l I D E x M S k v Q X V 0 b 1 J l b W 9 2 Z W R D b 2 x 1 b W 5 z M S 5 7 Q 2 9 s d W 1 u M S w w f S Z x d W 9 0 O y w m c X V v d D t T Z W N 0 a W 9 u M S 9 U Y W J s Z T M 2 M i A o U G F n Z S A x M T E p L 0 F 1 d G 9 S Z W 1 v d m V k Q 2 9 s d W 1 u c z E u e 0 N v b H V t b j I s M X 0 m c X V v d D s s J n F 1 b 3 Q 7 U 2 V j d G l v b j E v V G F i b G U z N j I g K F B h Z 2 U g M T E x K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z N j M l M j A l M j h Q Y W d l J T I w M T E x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R U M T M 6 M j c 6 M T M u N j g 0 N j g y O V o i L z 4 8 R W 5 0 c n k g V H l w Z T 0 i R m l s b E N v b H V t b l R 5 c G V z I i B W Y W x 1 Z T 0 i c 0 J n W U R C Z 1 k 9 I i 8 + P E V u d H J 5 I F R 5 c G U 9 I k Z p b G x D b 2 x 1 b W 5 O Y W 1 l c y I g V m F s d W U 9 I n N b J n F 1 b 3 Q 7 Q 2 F z a C B m b G 9 3 c y B m c m 9 t I G Z p b m F u Y 2 l u Z y B h Y 3 R p d m l 0 a W V z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2 M y A o U G F n Z S A x M T E p L 0 F 1 d G 9 S Z W 1 v d m V k Q 2 9 s d W 1 u c z E u e 0 N h c 2 g g Z m x v d 3 M g Z n J v b S B m a W 5 h b m N p b m c g Y W N 0 a X Z p d G l l c y w w f S Z x d W 9 0 O y w m c X V v d D t T Z W N 0 a W 9 u M S 9 U Y W J s Z T M 2 M y A o U G F n Z S A x M T E p L 0 F 1 d G 9 S Z W 1 v d m V k Q 2 9 s d W 1 u c z E u e 0 N v b H V t b j I s M X 0 m c X V v d D s s J n F 1 b 3 Q 7 U 2 V j d G l v b j E v V G F i b G U z N j M g K F B h Z 2 U g M T E x K S 9 B d X R v U m V t b 3 Z l Z E N v b H V t b n M x L n t D b 2 x 1 b W 4 z L D J 9 J n F 1 b 3 Q 7 L C Z x d W 9 0 O 1 N l Y 3 R p b 2 4 x L 1 R h Y m x l M z Y z I C h Q Y W d l I D E x M S k v Q X V 0 b 1 J l b W 9 2 Z W R D b 2 x 1 b W 5 z M S 5 7 Q 2 9 s d W 1 u N C w z f S Z x d W 9 0 O y w m c X V v d D t T Z W N 0 a W 9 u M S 9 U Y W J s Z T M 2 M y A o U G F n Z S A x M T E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z N j M g K F B h Z 2 U g M T E x K S 9 B d X R v U m V t b 3 Z l Z E N v b H V t b n M x L n t D Y X N o I G Z s b 3 d z I G Z y b 2 0 g Z m l u Y W 5 j a W 5 n I G F j d G l 2 a X R p Z X M s M H 0 m c X V v d D s s J n F 1 b 3 Q 7 U 2 V j d G l v b j E v V G F i b G U z N j M g K F B h Z 2 U g M T E x K S 9 B d X R v U m V t b 3 Z l Z E N v b H V t b n M x L n t D b 2 x 1 b W 4 y L D F 9 J n F 1 b 3 Q 7 L C Z x d W 9 0 O 1 N l Y 3 R p b 2 4 x L 1 R h Y m x l M z Y z I C h Q Y W d l I D E x M S k v Q X V 0 b 1 J l b W 9 2 Z W R D b 2 x 1 b W 5 z M S 5 7 Q 2 9 s d W 1 u M y w y f S Z x d W 9 0 O y w m c X V v d D t T Z W N 0 a W 9 u M S 9 U Y W J s Z T M 2 M y A o U G F n Z S A x M T E p L 0 F 1 d G 9 S Z W 1 v d m V k Q 2 9 s d W 1 u c z E u e 0 N v b H V t b j Q s M 3 0 m c X V v d D s s J n F 1 b 3 Q 7 U 2 V j d G l v b j E v V G F i b G U z N j M g K F B h Z 2 U g M T E x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0 M T A l M j A l M j h Q Y W d l J T I w M T A 4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R U M T M 6 M z c 6 N T c u O D U 0 M z I 4 N F o i L z 4 8 R W 5 0 c n k g V H l w Z T 0 i R m l s b E N v b H V t b l R 5 c G V z I i B W Y W x 1 Z T 0 i c 0 J n T U d C Z 1 l H Q m d Z P S I v P j x F b n R y e S B U e X B l P S J G a W x s Q 2 9 s d W 1 u T m F t Z X M i I F Z h b H V l P S J z W y Z x d W 9 0 O 0 N v b H V t b j E m c X V v d D s s J n F 1 b 3 Q 7 T m 9 0 Z X M m c X V v d D s s J n F 1 b 3 Q 7 Q W R q d X N 0 Z W Q g w 4 P C g s O C w r J c b s O D w o L D g s K j b S Z x d W 9 0 O y w m c X V v d D t B Z G p 1 c 3 R p b m d c b m l 0 Z W 1 z I M O D w o L D g s K y X G 7 D g 8 K C w 4 L C o 2 0 m c X V v d D s s J n F 1 b 3 Q 7 U 3 R h d H V 0 b 3 J 5 X G 7 D g 8 K C w 4 L C o 2 0 m c X V v d D s s J n F 1 b 3 Q 7 Q W R q d X N 0 Z W Q g w 4 P C g s O C w r J c b s O D w o L D g s K j b V 8 x J n F 1 b 3 Q 7 L C Z x d W 9 0 O 0 F k a n V z d G l u Z 1 x u a X R l b X M g w 4 P C g s O C w r J c b s O D w o L D g s K j b V 8 y J n F 1 b 3 Q 7 L C Z x d W 9 0 O 1 N 0 Y X R 1 d G 9 y e V x u w 4 P C g s O C w q N t X z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x M C A o U G F n Z S A x M D g p L 0 F 1 d G 9 S Z W 1 v d m V k Q 2 9 s d W 1 u c z E u e 0 N v b H V t b j E s M H 0 m c X V v d D s s J n F 1 b 3 Q 7 U 2 V j d G l v b j E v V G F i b G U 0 M T A g K F B h Z 2 U g M T A 4 K S 9 B d X R v U m V t b 3 Z l Z E N v b H V t b n M x L n t O b 3 R l c y w x f S Z x d W 9 0 O y w m c X V v d D t T Z W N 0 a W 9 u M S 9 U Y W J s Z T Q x M C A o U G F n Z S A x M D g p L 0 F 1 d G 9 S Z W 1 v d m V k Q 2 9 s d W 1 u c z E u e 0 F k a n V z d G V k I M O D w o L D g s K y X G 7 D g 8 K C w 4 L C o 2 0 s M n 0 m c X V v d D s s J n F 1 b 3 Q 7 U 2 V j d G l v b j E v V G F i b G U 0 M T A g K F B h Z 2 U g M T A 4 K S 9 B d X R v U m V t b 3 Z l Z E N v b H V t b n M x L n t B Z G p 1 c 3 R p b m d c b m l 0 Z W 1 z I M O D w o L D g s K y X G 7 D g 8 K C w 4 L C o 2 0 s M 3 0 m c X V v d D s s J n F 1 b 3 Q 7 U 2 V j d G l v b j E v V G F i b G U 0 M T A g K F B h Z 2 U g M T A 4 K S 9 B d X R v U m V t b 3 Z l Z E N v b H V t b n M x L n t T d G F 0 d X R v c n l c b s O D w o L D g s K j b S w 0 f S Z x d W 9 0 O y w m c X V v d D t T Z W N 0 a W 9 u M S 9 U Y W J s Z T Q x M C A o U G F n Z S A x M D g p L 0 F 1 d G 9 S Z W 1 v d m V k Q 2 9 s d W 1 u c z E u e 0 F k a n V z d G V k I M O D w o L D g s K y X G 7 D g 8 K C w 4 L C o 2 1 f M S w 1 f S Z x d W 9 0 O y w m c X V v d D t T Z W N 0 a W 9 u M S 9 U Y W J s Z T Q x M C A o U G F n Z S A x M D g p L 0 F 1 d G 9 S Z W 1 v d m V k Q 2 9 s d W 1 u c z E u e 0 F k a n V z d G l u Z 1 x u a X R l b X M g w 4 P C g s O C w r J c b s O D w o L D g s K j b V 8 y L D Z 9 J n F 1 b 3 Q 7 L C Z x d W 9 0 O 1 N l Y 3 R p b 2 4 x L 1 R h Y m x l N D E w I C h Q Y W d l I D E w O C k v Q X V 0 b 1 J l b W 9 2 Z W R D b 2 x 1 b W 5 z M S 5 7 U 3 R h d H V 0 b 3 J 5 X G 7 D g 8 K C w 4 L C o 2 1 f M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Q x M C A o U G F n Z S A x M D g p L 0 F 1 d G 9 S Z W 1 v d m V k Q 2 9 s d W 1 u c z E u e 0 N v b H V t b j E s M H 0 m c X V v d D s s J n F 1 b 3 Q 7 U 2 V j d G l v b j E v V G F i b G U 0 M T A g K F B h Z 2 U g M T A 4 K S 9 B d X R v U m V t b 3 Z l Z E N v b H V t b n M x L n t O b 3 R l c y w x f S Z x d W 9 0 O y w m c X V v d D t T Z W N 0 a W 9 u M S 9 U Y W J s Z T Q x M C A o U G F n Z S A x M D g p L 0 F 1 d G 9 S Z W 1 v d m V k Q 2 9 s d W 1 u c z E u e 0 F k a n V z d G V k I M O D w o L D g s K y X G 7 D g 8 K C w 4 L C o 2 0 s M n 0 m c X V v d D s s J n F 1 b 3 Q 7 U 2 V j d G l v b j E v V G F i b G U 0 M T A g K F B h Z 2 U g M T A 4 K S 9 B d X R v U m V t b 3 Z l Z E N v b H V t b n M x L n t B Z G p 1 c 3 R p b m d c b m l 0 Z W 1 z I M O D w o L D g s K y X G 7 D g 8 K C w 4 L C o 2 0 s M 3 0 m c X V v d D s s J n F 1 b 3 Q 7 U 2 V j d G l v b j E v V G F i b G U 0 M T A g K F B h Z 2 U g M T A 4 K S 9 B d X R v U m V t b 3 Z l Z E N v b H V t b n M x L n t T d G F 0 d X R v c n l c b s O D w o L D g s K j b S w 0 f S Z x d W 9 0 O y w m c X V v d D t T Z W N 0 a W 9 u M S 9 U Y W J s Z T Q x M C A o U G F n Z S A x M D g p L 0 F 1 d G 9 S Z W 1 v d m V k Q 2 9 s d W 1 u c z E u e 0 F k a n V z d G V k I M O D w o L D g s K y X G 7 D g 8 K C w 4 L C o 2 1 f M S w 1 f S Z x d W 9 0 O y w m c X V v d D t T Z W N 0 a W 9 u M S 9 U Y W J s Z T Q x M C A o U G F n Z S A x M D g p L 0 F 1 d G 9 S Z W 1 v d m V k Q 2 9 s d W 1 u c z E u e 0 F k a n V z d G l u Z 1 x u a X R l b X M g w 4 P C g s O C w r J c b s O D w o L D g s K j b V 8 y L D Z 9 J n F 1 b 3 Q 7 L C Z x d W 9 0 O 1 N l Y 3 R p b 2 4 x L 1 R h Y m x l N D E w I C h Q Y W d l I D E w O C k v Q X V 0 b 1 J l b W 9 2 Z W R D b 2 x 1 b W 5 z M S 5 7 U 3 R h d H V 0 b 3 J 5 X G 7 D g 8 K C w 4 L C o 2 1 f M y w 3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N D E x J T I w J T I 4 U G F n Z S U y M D E w O C U y O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R U M T M 6 N D E 6 M z k u M D c 5 M j U 4 M F o i L z 4 8 R W 5 0 c n k g V H l w Z T 0 i R m l s b E N v b H V t b l R 5 c G V z I i B W Y W x 1 Z T 0 i c 0 J n V U Y i L z 4 8 R W 5 0 c n k g V H l w Z T 0 i R m l s b E N v b H V t b k 5 h b W V z I i B W Y W x 1 Z T 0 i c 1 s m c X V v d D t D b 2 x 1 b W 4 x J n F 1 b 3 Q 7 L C Z x d W 9 0 O z I w M T l c b s O D w o L D g s K j b S Z x d W 9 0 O y w m c X V v d D s y M D E 4 X G 4 o c m V z d G F 0 Z W Q g w 4 P C g s O C w r k p X G 7 D g 8 K C w 4 L C o 2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x M S A o U G F n Z S A x M D g p L 0 F 1 d G 9 S Z W 1 v d m V k Q 2 9 s d W 1 u c z E u e 0 N v b H V t b j E s M H 0 m c X V v d D s s J n F 1 b 3 Q 7 U 2 V j d G l v b j E v V G F i b G U 0 M T E g K F B h Z 2 U g M T A 4 K S 9 B d X R v U m V t b 3 Z l Z E N v b H V t b n M x L n s y M D E 5 X G 7 D g 8 K C w 4 L C o 2 0 s M X 0 m c X V v d D s s J n F 1 b 3 Q 7 U 2 V j d G l v b j E v V G F i b G U 0 M T E g K F B h Z 2 U g M T A 4 K S 9 B d X R v U m V t b 3 Z l Z E N v b H V t b n M x L n s y M D E 4 X G 4 o c m V z d G F 0 Z W Q g w 4 P C g s O C w r k p X G 7 D g 8 K C w 4 L C o 2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0 M T E g K F B h Z 2 U g M T A 4 K S 9 B d X R v U m V t b 3 Z l Z E N v b H V t b n M x L n t D b 2 x 1 b W 4 x L D B 9 J n F 1 b 3 Q 7 L C Z x d W 9 0 O 1 N l Y 3 R p b 2 4 x L 1 R h Y m x l N D E x I C h Q Y W d l I D E w O C k v Q X V 0 b 1 J l b W 9 2 Z W R D b 2 x 1 b W 5 z M S 5 7 M j A x O V x u w 4 P C g s O C w q N t L D F 9 J n F 1 b 3 Q 7 L C Z x d W 9 0 O 1 N l Y 3 R p b 2 4 x L 1 R h Y m x l N D E x I C h Q Y W d l I D E w O C k v Q X V 0 b 1 J l b W 9 2 Z W R D b 2 x 1 b W 5 z M S 5 7 M j A x O F x u K H J l c 3 R h d G V k I M O D w o L D g s K 5 K V x u w 4 P C g s O C w q N t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0 M T U l M j A l M j h Q Y W d l J T I w M T A 5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R U M T M 6 N D M 6 N T E u N D Y 2 M z Q 4 O F o i L z 4 8 R W 5 0 c n k g V H l w Z T 0 i R m l s b E N v b H V t b l R 5 c G V z I i B W Y W x 1 Z T 0 i c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D E 1 I C h Q Y W d l I D E w O S k v Q X V 0 b 1 J l b W 9 2 Z W R D b 2 x 1 b W 5 z M S 5 7 Q 2 9 s d W 1 u M S w w f S Z x d W 9 0 O y w m c X V v d D t T Z W N 0 a W 9 u M S 9 U Y W J s Z T Q x N S A o U G F n Z S A x M D k p L 0 F 1 d G 9 S Z W 1 v d m V k Q 2 9 s d W 1 u c z E u e 0 N v b H V t b j I s M X 0 m c X V v d D s s J n F 1 b 3 Q 7 U 2 V j d G l v b j E v V G F i b G U 0 M T U g K F B h Z 2 U g M T A 5 K S 9 B d X R v U m V t b 3 Z l Z E N v b H V t b n M x L n t D b 2 x 1 b W 4 z L D J 9 J n F 1 b 3 Q 7 L C Z x d W 9 0 O 1 N l Y 3 R p b 2 4 x L 1 R h Y m x l N D E 1 I C h Q Y W d l I D E w O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Q x N S A o U G F n Z S A x M D k p L 0 F 1 d G 9 S Z W 1 v d m V k Q 2 9 s d W 1 u c z E u e 0 N v b H V t b j E s M H 0 m c X V v d D s s J n F 1 b 3 Q 7 U 2 V j d G l v b j E v V G F i b G U 0 M T U g K F B h Z 2 U g M T A 5 K S 9 B d X R v U m V t b 3 Z l Z E N v b H V t b n M x L n t D b 2 x 1 b W 4 y L D F 9 J n F 1 b 3 Q 7 L C Z x d W 9 0 O 1 N l Y 3 R p b 2 4 x L 1 R h Y m x l N D E 1 I C h Q Y W d l I D E w O S k v Q X V 0 b 1 J l b W 9 2 Z W R D b 2 x 1 b W 5 z M S 5 7 Q 2 9 s d W 1 u M y w y f S Z x d W 9 0 O y w m c X V v d D t T Z W N 0 a W 9 u M S 9 U Y W J s Z T Q x N S A o U G F n Z S A x M D k p L 0 F 1 d G 9 S Z W 1 v d m V k Q 2 9 s d W 1 u c z E u e 0 N v b H V t b j Q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Q x N y U y M C U y O F B h Z 2 U l M j A x M T A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F Q x M z o 0 N j o w M i 4 0 M T U z N T I 5 W i I v P j x F b n R y e S B U e X B l P S J G a W x s Q 2 9 s d W 1 u V H l w Z X M i I F Z h b H V l P S J z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M T c g K F B h Z 2 U g M T E w K S 9 B d X R v U m V t b 3 Z l Z E N v b H V t b n M x L n t D b 2 x 1 b W 4 x L D B 9 J n F 1 b 3 Q 7 L C Z x d W 9 0 O 1 N l Y 3 R p b 2 4 x L 1 R h Y m x l N D E 3 I C h Q Y W d l I D E x M C k v Q X V 0 b 1 J l b W 9 2 Z W R D b 2 x 1 b W 5 z M S 5 7 Q 2 9 s d W 1 u M i w x f S Z x d W 9 0 O y w m c X V v d D t T Z W N 0 a W 9 u M S 9 U Y W J s Z T Q x N y A o U G F n Z S A x M T A p L 0 F 1 d G 9 S Z W 1 v d m V k Q 2 9 s d W 1 u c z E u e 0 N v b H V t b j M s M n 0 m c X V v d D s s J n F 1 b 3 Q 7 U 2 V j d G l v b j E v V G F i b G U 0 M T c g K F B h Z 2 U g M T E w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N D E 3 I C h Q Y W d l I D E x M C k v Q X V 0 b 1 J l b W 9 2 Z W R D b 2 x 1 b W 5 z M S 5 7 Q 2 9 s d W 1 u M S w w f S Z x d W 9 0 O y w m c X V v d D t T Z W N 0 a W 9 u M S 9 U Y W J s Z T Q x N y A o U G F n Z S A x M T A p L 0 F 1 d G 9 S Z W 1 v d m V k Q 2 9 s d W 1 u c z E u e 0 N v b H V t b j I s M X 0 m c X V v d D s s J n F 1 b 3 Q 7 U 2 V j d G l v b j E v V G F i b G U 0 M T c g K F B h Z 2 U g M T E w K S 9 B d X R v U m V t b 3 Z l Z E N v b H V t b n M x L n t D b 2 x 1 b W 4 z L D J 9 J n F 1 b 3 Q 7 L C Z x d W 9 0 O 1 N l Y 3 R p b 2 4 x L 1 R h Y m x l N D E 3 I C h Q Y W d l I D E x M C k v Q X V 0 b 1 J l b W 9 2 Z W R D b 2 x 1 b W 5 z M S 5 7 Q 2 9 s d W 1 u N C w z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T g w J T I w J T I 4 U G F n Z S U y M D E w N y U y O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0 V D E z O j U w O j I w L j E x M z k x N z N a I i 8 + P E V u d H J 5 I F R 5 c G U 9 I k Z p b G x D b 2 x 1 b W 5 U e X B l c y I g V m F s d W U 9 I n N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4 M C A o U G F n Z S A x M D c p L 0 F 1 d G 9 S Z W 1 v d m V k Q 2 9 s d W 1 u c z E u e 0 N v b H V t b j E s M H 0 m c X V v d D s s J n F 1 b 3 Q 7 U 2 V j d G l v b j E v V G F i b G U x O D A g K F B h Z 2 U g M T A 3 K S 9 B d X R v U m V t b 3 Z l Z E N v b H V t b n M x L n t D b 2 x 1 b W 4 y L D F 9 J n F 1 b 3 Q 7 L C Z x d W 9 0 O 1 N l Y 3 R p b 2 4 x L 1 R h Y m x l M T g w I C h Q Y W d l I D E w N y k v Q X V 0 b 1 J l b W 9 2 Z W R D b 2 x 1 b W 5 z M S 5 7 Q 2 9 s d W 1 u M y w y f S Z x d W 9 0 O y w m c X V v d D t T Z W N 0 a W 9 u M S 9 U Y W J s Z T E 4 M C A o U G F n Z S A x M D c p L 0 F 1 d G 9 S Z W 1 v d m V k Q 2 9 s d W 1 u c z E u e 0 N v b H V t b j Q s M 3 0 m c X V v d D s s J n F 1 b 3 Q 7 U 2 V j d G l v b j E v V G F i b G U x O D A g K F B h Z 2 U g M T A 3 K S 9 B d X R v U m V t b 3 Z l Z E N v b H V t b n M x L n t D b 2 x 1 b W 4 1 L D R 9 J n F 1 b 3 Q 7 L C Z x d W 9 0 O 1 N l Y 3 R p b 2 4 x L 1 R h Y m x l M T g w I C h Q Y W d l I D E w N y k v Q X V 0 b 1 J l b W 9 2 Z W R D b 2 x 1 b W 5 z M S 5 7 Q 2 9 s d W 1 u N i w 1 f S Z x d W 9 0 O y w m c X V v d D t T Z W N 0 a W 9 u M S 9 U Y W J s Z T E 4 M C A o U G F n Z S A x M D c p L 0 F 1 d G 9 S Z W 1 v d m V k Q 2 9 s d W 1 u c z E u e 0 N v b H V t b j c s N n 0 m c X V v d D s s J n F 1 b 3 Q 7 U 2 V j d G l v b j E v V G F i b G U x O D A g K F B h Z 2 U g M T A 3 K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T g w I C h Q Y W d l I D E w N y k v Q X V 0 b 1 J l b W 9 2 Z W R D b 2 x 1 b W 5 z M S 5 7 Q 2 9 s d W 1 u M S w w f S Z x d W 9 0 O y w m c X V v d D t T Z W N 0 a W 9 u M S 9 U Y W J s Z T E 4 M C A o U G F n Z S A x M D c p L 0 F 1 d G 9 S Z W 1 v d m V k Q 2 9 s d W 1 u c z E u e 0 N v b H V t b j I s M X 0 m c X V v d D s s J n F 1 b 3 Q 7 U 2 V j d G l v b j E v V G F i b G U x O D A g K F B h Z 2 U g M T A 3 K S 9 B d X R v U m V t b 3 Z l Z E N v b H V t b n M x L n t D b 2 x 1 b W 4 z L D J 9 J n F 1 b 3 Q 7 L C Z x d W 9 0 O 1 N l Y 3 R p b 2 4 x L 1 R h Y m x l M T g w I C h Q Y W d l I D E w N y k v Q X V 0 b 1 J l b W 9 2 Z W R D b 2 x 1 b W 5 z M S 5 7 Q 2 9 s d W 1 u N C w z f S Z x d W 9 0 O y w m c X V v d D t T Z W N 0 a W 9 u M S 9 U Y W J s Z T E 4 M C A o U G F n Z S A x M D c p L 0 F 1 d G 9 S Z W 1 v d m V k Q 2 9 s d W 1 u c z E u e 0 N v b H V t b j U s N H 0 m c X V v d D s s J n F 1 b 3 Q 7 U 2 V j d G l v b j E v V G F i b G U x O D A g K F B h Z 2 U g M T A 3 K S 9 B d X R v U m V t b 3 Z l Z E N v b H V t b n M x L n t D b 2 x 1 b W 4 2 L D V 9 J n F 1 b 3 Q 7 L C Z x d W 9 0 O 1 N l Y 3 R p b 2 4 x L 1 R h Y m x l M T g w I C h Q Y W d l I D E w N y k v Q X V 0 b 1 J l b W 9 2 Z W R D b 2 x 1 b W 5 z M S 5 7 Q 2 9 s d W 1 u N y w 2 f S Z x d W 9 0 O y w m c X V v d D t T Z W N 0 a W 9 u M S 9 U Y W J s Z T E 4 M C A o U G F n Z S A x M D c p L 0 F 1 d G 9 S Z W 1 v d m V k Q 2 9 s d W 1 u c z E u e 0 N v b H V t b j g s N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E 4 M S U y M C U y O F B h Z 2 U l M j A x M D g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0 V D E z O j U y O j E 2 L j g 4 O T E 5 M T l a I i 8 + P E V u d H J 5 I F R 5 c G U 9 I k Z p b G x D b 2 x 1 b W 5 U e X B l c y I g V m F s d W U 9 I n N C Z 1 V G I i 8 + P E V u d H J 5 I F R 5 c G U 9 I k Z p b G x D b 2 x 1 b W 5 O Y W 1 l c y I g V m F s d W U 9 I n N b J n F 1 b 3 Q 7 Q 2 9 s d W 1 u M S Z x d W 9 0 O y w m c X V v d D s y M D E 4 X G 7 D g 8 K C w 4 L C o 2 0 m c X V v d D s s J n F 1 b 3 Q 7 M j A x N 1 x u w 4 P C g s O C w q N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O D E g K F B h Z 2 U g M T A 4 K S 9 B d X R v U m V t b 3 Z l Z E N v b H V t b n M x L n t D b 2 x 1 b W 4 x L D B 9 J n F 1 b 3 Q 7 L C Z x d W 9 0 O 1 N l Y 3 R p b 2 4 x L 1 R h Y m x l M T g x I C h Q Y W d l I D E w O C k v Q X V 0 b 1 J l b W 9 2 Z W R D b 2 x 1 b W 5 z M S 5 7 M j A x O F x u w 4 P C g s O C w q N t L D F 9 J n F 1 b 3 Q 7 L C Z x d W 9 0 O 1 N l Y 3 R p b 2 4 x L 1 R h Y m x l M T g x I C h Q Y W d l I D E w O C k v Q X V 0 b 1 J l b W 9 2 Z W R D b 2 x 1 b W 5 z M S 5 7 M j A x N 1 x u w 4 P C g s O C w q N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T g x I C h Q Y W d l I D E w O C k v Q X V 0 b 1 J l b W 9 2 Z W R D b 2 x 1 b W 5 z M S 5 7 Q 2 9 s d W 1 u M S w w f S Z x d W 9 0 O y w m c X V v d D t T Z W N 0 a W 9 u M S 9 U Y W J s Z T E 4 M S A o U G F n Z S A x M D g p L 0 F 1 d G 9 S Z W 1 v d m V k Q 2 9 s d W 1 u c z E u e z I w M T h c b s O D w o L D g s K j b S w x f S Z x d W 9 0 O y w m c X V v d D t T Z W N 0 a W 9 u M S 9 U Y W J s Z T E 4 M S A o U G F n Z S A x M D g p L 0 F 1 d G 9 S Z W 1 v d m V k Q 2 9 s d W 1 u c z E u e z I w M T d c b s O D w o L D g s K j b S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T g y J T I w J T I 4 U G F n Z S U y M D E w O S 0 x M T A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F Q x M z o 1 N j o y N S 4 3 N D M 4 N D U 5 W i I v P j x F b n R y e S B U e X B l P S J G a W x s Q 2 9 s d W 1 u V H l w Z X M i I F Z h b H V l P S J z Q m d Z R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g y I C h Q Y W d l I D E w O S 0 x M T A p L 0 F 1 d G 9 S Z W 1 v d m V k Q 2 9 s d W 1 u c z E u e 0 N v b H V t b j E s M H 0 m c X V v d D s s J n F 1 b 3 Q 7 U 2 V j d G l v b j E v V G F i b G U x O D I g K F B h Z 2 U g M T A 5 L T E x M C k v Q X V 0 b 1 J l b W 9 2 Z W R D b 2 x 1 b W 5 z M S 5 7 Q 2 9 s d W 1 u M i w x f S Z x d W 9 0 O y w m c X V v d D t T Z W N 0 a W 9 u M S 9 U Y W J s Z T E 4 M i A o U G F n Z S A x M D k t M T E w K S 9 B d X R v U m V t b 3 Z l Z E N v b H V t b n M x L n t D b 2 x 1 b W 4 z L D J 9 J n F 1 b 3 Q 7 L C Z x d W 9 0 O 1 N l Y 3 R p b 2 4 x L 1 R h Y m x l M T g y I C h Q Y W d l I D E w O S 0 x M T A p L 0 F 1 d G 9 S Z W 1 v d m V k Q 2 9 s d W 1 u c z E u e 0 N v b H V t b j Q s M 3 0 m c X V v d D s s J n F 1 b 3 Q 7 U 2 V j d G l v b j E v V G F i b G U x O D I g K F B h Z 2 U g M T A 5 L T E x M C k v Q X V 0 b 1 J l b W 9 2 Z W R D b 2 x 1 b W 5 z M S 5 7 Q 2 9 s d W 1 u N S w 0 f S Z x d W 9 0 O y w m c X V v d D t T Z W N 0 a W 9 u M S 9 U Y W J s Z T E 4 M i A o U G F n Z S A x M D k t M T E w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T g y I C h Q Y W d l I D E w O S 0 x M T A p L 0 F 1 d G 9 S Z W 1 v d m V k Q 2 9 s d W 1 u c z E u e 0 N v b H V t b j E s M H 0 m c X V v d D s s J n F 1 b 3 Q 7 U 2 V j d G l v b j E v V G F i b G U x O D I g K F B h Z 2 U g M T A 5 L T E x M C k v Q X V 0 b 1 J l b W 9 2 Z W R D b 2 x 1 b W 5 z M S 5 7 Q 2 9 s d W 1 u M i w x f S Z x d W 9 0 O y w m c X V v d D t T Z W N 0 a W 9 u M S 9 U Y W J s Z T E 4 M i A o U G F n Z S A x M D k t M T E w K S 9 B d X R v U m V t b 3 Z l Z E N v b H V t b n M x L n t D b 2 x 1 b W 4 z L D J 9 J n F 1 b 3 Q 7 L C Z x d W 9 0 O 1 N l Y 3 R p b 2 4 x L 1 R h Y m x l M T g y I C h Q Y W d l I D E w O S 0 x M T A p L 0 F 1 d G 9 S Z W 1 v d m V k Q 2 9 s d W 1 u c z E u e 0 N v b H V t b j Q s M 3 0 m c X V v d D s s J n F 1 b 3 Q 7 U 2 V j d G l v b j E v V G F i b G U x O D I g K F B h Z 2 U g M T A 5 L T E x M C k v Q X V 0 b 1 J l b W 9 2 Z W R D b 2 x 1 b W 5 z M S 5 7 Q 2 9 s d W 1 u N S w 0 f S Z x d W 9 0 O y w m c X V v d D t T Z W N 0 a W 9 u M S 9 U Y W J s Z T E 4 M i A o U G F n Z S A x M D k t M T E w K S 9 B d X R v U m V t b 3 Z l Z E N v b H V t b n M x L n t D b 2 x 1 b W 4 2 L D V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O D Q l M j A l M j h Q Y W d l J T I w M T E x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R U M T M 6 N T g 6 M j A u N T U 4 N T g z M V o i L z 4 8 R W 5 0 c n k g V H l w Z T 0 i R m l s b E N v b H V t b l R 5 c G V z I i B W Y W x 1 Z T 0 i c 0 J n T U d C U T 0 9 I i 8 + P E V u d H J 5 I F R 5 c G U 9 I k Z p b G x D b 2 x 1 b W 5 O Y W 1 l c y I g V m F s d W U 9 I n N b J n F 1 b 3 Q 7 Q 2 9 s d W 1 u M S Z x d W 9 0 O y w m c X V v d D t O b 3 R l c y Z x d W 9 0 O y w m c X V v d D s y M D E 4 X G 7 D g 8 K C w 4 L C o 2 0 m c X V v d D s s J n F 1 b 3 Q 7 M j A x N 1 x u w 4 P C g s O C w q N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O D Q g K F B h Z 2 U g M T E x K S 9 B d X R v U m V t b 3 Z l Z E N v b H V t b n M x L n t D b 2 x 1 b W 4 x L D B 9 J n F 1 b 3 Q 7 L C Z x d W 9 0 O 1 N l Y 3 R p b 2 4 x L 1 R h Y m x l M T g 0 I C h Q Y W d l I D E x M S k v Q X V 0 b 1 J l b W 9 2 Z W R D b 2 x 1 b W 5 z M S 5 7 T m 9 0 Z X M s M X 0 m c X V v d D s s J n F 1 b 3 Q 7 U 2 V j d G l v b j E v V G F i b G U x O D Q g K F B h Z 2 U g M T E x K S 9 B d X R v U m V t b 3 Z l Z E N v b H V t b n M x L n s y M D E 4 X G 7 D g 8 K C w 4 L C o 2 0 s M n 0 m c X V v d D s s J n F 1 b 3 Q 7 U 2 V j d G l v b j E v V G F i b G U x O D Q g K F B h Z 2 U g M T E x K S 9 B d X R v U m V t b 3 Z l Z E N v b H V t b n M x L n s y M D E 3 X G 7 D g 8 K C w 4 L C o 2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O D Q g K F B h Z 2 U g M T E x K S 9 B d X R v U m V t b 3 Z l Z E N v b H V t b n M x L n t D b 2 x 1 b W 4 x L D B 9 J n F 1 b 3 Q 7 L C Z x d W 9 0 O 1 N l Y 3 R p b 2 4 x L 1 R h Y m x l M T g 0 I C h Q Y W d l I D E x M S k v Q X V 0 b 1 J l b W 9 2 Z W R D b 2 x 1 b W 5 z M S 5 7 T m 9 0 Z X M s M X 0 m c X V v d D s s J n F 1 b 3 Q 7 U 2 V j d G l v b j E v V G F i b G U x O D Q g K F B h Z 2 U g M T E x K S 9 B d X R v U m V t b 3 Z l Z E N v b H V t b n M x L n s y M D E 4 X G 7 D g 8 K C w 4 L C o 2 0 s M n 0 m c X V v d D s s J n F 1 b 3 Q 7 U 2 V j d G l v b j E v V G F i b G U x O D Q g K F B h Z 2 U g M T E x K S 9 B d X R v U m V t b 3 Z l Z E N v b H V t b n M x L n s y M D E 3 X G 7 D g 8 K C w 4 L C o 2 0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E 4 N S U y M C U y O F B h Z 2 U l M j A x M T I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0 V D E 0 O j A w O j A 5 L j E z N D A 3 N D Z a I i 8 + P E V u d H J 5 I F R 5 c G U 9 I k Z p b G x D b 2 x 1 b W 5 U e X B l c y I g V m F s d W U 9 I n N C Z 1 l H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4 N S A o U G F n Z S A x M T I p L 0 F 1 d G 9 S Z W 1 v d m V k Q 2 9 s d W 1 u c z E u e 0 N v b H V t b j E s M H 0 m c X V v d D s s J n F 1 b 3 Q 7 U 2 V j d G l v b j E v V G F i b G U x O D U g K F B h Z 2 U g M T E y K S 9 B d X R v U m V t b 3 Z l Z E N v b H V t b n M x L n t D b 2 x 1 b W 4 y L D F 9 J n F 1 b 3 Q 7 L C Z x d W 9 0 O 1 N l Y 3 R p b 2 4 x L 1 R h Y m x l M T g 1 I C h Q Y W d l I D E x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4 N S A o U G F n Z S A x M T I p L 0 F 1 d G 9 S Z W 1 v d m V k Q 2 9 s d W 1 u c z E u e 0 N v b H V t b j E s M H 0 m c X V v d D s s J n F 1 b 3 Q 7 U 2 V j d G l v b j E v V G F i b G U x O D U g K F B h Z 2 U g M T E y K S 9 B d X R v U m V t b 3 Z l Z E N v b H V t b n M x L n t D b 2 x 1 b W 4 y L D F 9 J n F 1 b 3 Q 7 L C Z x d W 9 0 O 1 N l Y 3 R p b 2 4 x L 1 R h Y m x l M T g 1 I C h Q Y W d l I D E x M i k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z U 2 J T I w J T I 4 U G F n Z S U y M D E w O S U y O S U y M C U y O D I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F Q x M z o x M j o y N S 4 w N j c 1 O T k y W i I v P j x F b n R y e S B U e X B l P S J G a W x s Q 2 9 s d W 1 u V H l w Z X M i I F Z h b H V l P S J z Q m d N R E J n W U R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z U 2 I C h Q Y W d l I D E w O S k v Q X V 0 b 1 J l b W 9 2 Z W R D b 2 x 1 b W 5 z M S 5 7 Q 2 9 s d W 1 u M S w w f S Z x d W 9 0 O y w m c X V v d D t T Z W N 0 a W 9 u M S 9 U Y W J s Z T M 1 N i A o U G F n Z S A x M D k p L 0 F 1 d G 9 S Z W 1 v d m V k Q 2 9 s d W 1 u c z E u e 0 N v b H V t b j I s M X 0 m c X V v d D s s J n F 1 b 3 Q 7 U 2 V j d G l v b j E v V G F i b G U z N T Y g K F B h Z 2 U g M T A 5 K S 9 B d X R v U m V t b 3 Z l Z E N v b H V t b n M x L n t D b 2 x 1 b W 4 z L D J 9 J n F 1 b 3 Q 7 L C Z x d W 9 0 O 1 N l Y 3 R p b 2 4 x L 1 R h Y m x l M z U 2 I C h Q Y W d l I D E w O S k v Q X V 0 b 1 J l b W 9 2 Z W R D b 2 x 1 b W 5 z M S 5 7 Q 2 9 s d W 1 u N C w z f S Z x d W 9 0 O y w m c X V v d D t T Z W N 0 a W 9 u M S 9 U Y W J s Z T M 1 N i A o U G F n Z S A x M D k p L 0 F 1 d G 9 S Z W 1 v d m V k Q 2 9 s d W 1 u c z E u e 0 N v b H V t b j U s N H 0 m c X V v d D s s J n F 1 b 3 Q 7 U 2 V j d G l v b j E v V G F i b G U z N T Y g K F B h Z 2 U g M T A 5 K S 9 B d X R v U m V t b 3 Z l Z E N v b H V t b n M x L n t D b 2 x 1 b W 4 2 L D V 9 J n F 1 b 3 Q 7 L C Z x d W 9 0 O 1 N l Y 3 R p b 2 4 x L 1 R h Y m x l M z U 2 I C h Q Y W d l I D E w O S k v Q X V 0 b 1 J l b W 9 2 Z W R D b 2 x 1 b W 5 z M S 5 7 Q 2 9 s d W 1 u N y w 2 f S Z x d W 9 0 O y w m c X V v d D t T Z W N 0 a W 9 u M S 9 U Y W J s Z T M 1 N i A o U G F n Z S A x M D k p L 0 F 1 d G 9 S Z W 1 v d m V k Q 2 9 s d W 1 u c z E u e 0 N v b H V t b j g s N 3 0 m c X V v d D s s J n F 1 b 3 Q 7 U 2 V j d G l v b j E v V G F i b G U z N T Y g K F B h Z 2 U g M T A 5 K S 9 B d X R v U m V t b 3 Z l Z E N v b H V t b n M x L n t D b 2 x 1 b W 4 5 L D h 9 J n F 1 b 3 Q 7 L C Z x d W 9 0 O 1 N l Y 3 R p b 2 4 x L 1 R h Y m x l M z U 2 I C h Q Y W d l I D E w O S k v Q X V 0 b 1 J l b W 9 2 Z W R D b 2 x 1 b W 5 z M S 5 7 Q 2 9 s d W 1 u M T A s O X 0 m c X V v d D s s J n F 1 b 3 Q 7 U 2 V j d G l v b j E v V G F i b G U z N T Y g K F B h Z 2 U g M T A 5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z U 2 I C h Q Y W d l I D E w O S k v Q X V 0 b 1 J l b W 9 2 Z W R D b 2 x 1 b W 5 z M S 5 7 Q 2 9 s d W 1 u M S w w f S Z x d W 9 0 O y w m c X V v d D t T Z W N 0 a W 9 u M S 9 U Y W J s Z T M 1 N i A o U G F n Z S A x M D k p L 0 F 1 d G 9 S Z W 1 v d m V k Q 2 9 s d W 1 u c z E u e 0 N v b H V t b j I s M X 0 m c X V v d D s s J n F 1 b 3 Q 7 U 2 V j d G l v b j E v V G F i b G U z N T Y g K F B h Z 2 U g M T A 5 K S 9 B d X R v U m V t b 3 Z l Z E N v b H V t b n M x L n t D b 2 x 1 b W 4 z L D J 9 J n F 1 b 3 Q 7 L C Z x d W 9 0 O 1 N l Y 3 R p b 2 4 x L 1 R h Y m x l M z U 2 I C h Q Y W d l I D E w O S k v Q X V 0 b 1 J l b W 9 2 Z W R D b 2 x 1 b W 5 z M S 5 7 Q 2 9 s d W 1 u N C w z f S Z x d W 9 0 O y w m c X V v d D t T Z W N 0 a W 9 u M S 9 U Y W J s Z T M 1 N i A o U G F n Z S A x M D k p L 0 F 1 d G 9 S Z W 1 v d m V k Q 2 9 s d W 1 u c z E u e 0 N v b H V t b j U s N H 0 m c X V v d D s s J n F 1 b 3 Q 7 U 2 V j d G l v b j E v V G F i b G U z N T Y g K F B h Z 2 U g M T A 5 K S 9 B d X R v U m V t b 3 Z l Z E N v b H V t b n M x L n t D b 2 x 1 b W 4 2 L D V 9 J n F 1 b 3 Q 7 L C Z x d W 9 0 O 1 N l Y 3 R p b 2 4 x L 1 R h Y m x l M z U 2 I C h Q Y W d l I D E w O S k v Q X V 0 b 1 J l b W 9 2 Z W R D b 2 x 1 b W 5 z M S 5 7 Q 2 9 s d W 1 u N y w 2 f S Z x d W 9 0 O y w m c X V v d D t T Z W N 0 a W 9 u M S 9 U Y W J s Z T M 1 N i A o U G F n Z S A x M D k p L 0 F 1 d G 9 S Z W 1 v d m V k Q 2 9 s d W 1 u c z E u e 0 N v b H V t b j g s N 3 0 m c X V v d D s s J n F 1 b 3 Q 7 U 2 V j d G l v b j E v V G F i b G U z N T Y g K F B h Z 2 U g M T A 5 K S 9 B d X R v U m V t b 3 Z l Z E N v b H V t b n M x L n t D b 2 x 1 b W 4 5 L D h 9 J n F 1 b 3 Q 7 L C Z x d W 9 0 O 1 N l Y 3 R p b 2 4 x L 1 R h Y m x l M z U 2 I C h Q Y W d l I D E w O S k v Q X V 0 b 1 J l b W 9 2 Z W R D b 2 x 1 b W 5 z M S 5 7 Q 2 9 s d W 1 u M T A s O X 0 m c X V v d D s s J n F 1 b 3 Q 7 U 2 V j d G l v b j E v V G F i b G U z N T Y g K F B h Z 2 U g M T A 5 K S 9 B d X R v U m V t b 3 Z l Z E N v b H V t b n M x L n t D b 2 x 1 b W 4 x M S w x M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z N T c l M j A l M j h Q Y W d l J T I w M T A 5 J T I 5 J T I w J T I 4 M i U y O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R U M T M 6 M T U 6 M z g u N D Y 2 N T E w N F o i L z 4 8 R W 5 0 c n k g V H l w Z T 0 i R m l s b E N v b H V t b l R 5 c G V z I i B W Y W x 1 Z T 0 i c 0 J n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z U 3 I C h Q Y W d l I D E w O S k v Q X V 0 b 1 J l b W 9 2 Z W R D b 2 x 1 b W 5 z M S 5 7 Q 2 9 s d W 1 u M S w w f S Z x d W 9 0 O y w m c X V v d D t T Z W N 0 a W 9 u M S 9 U Y W J s Z T M 1 N y A o U G F n Z S A x M D k p L 0 F 1 d G 9 S Z W 1 v d m V k Q 2 9 s d W 1 u c z E u e 0 N v b H V t b j I s M X 0 m c X V v d D s s J n F 1 b 3 Q 7 U 2 V j d G l v b j E v V G F i b G U z N T c g K F B h Z 2 U g M T A 5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z U 3 I C h Q Y W d l I D E w O S k v Q X V 0 b 1 J l b W 9 2 Z W R D b 2 x 1 b W 5 z M S 5 7 Q 2 9 s d W 1 u M S w w f S Z x d W 9 0 O y w m c X V v d D t T Z W N 0 a W 9 u M S 9 U Y W J s Z T M 1 N y A o U G F n Z S A x M D k p L 0 F 1 d G 9 S Z W 1 v d m V k Q 2 9 s d W 1 u c z E u e 0 N v b H V t b j I s M X 0 m c X V v d D s s J n F 1 b 3 Q 7 U 2 V j d G l v b j E v V G F i b G U z N T c g K F B h Z 2 U g M T A 5 K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N D E w J T I w J T I 4 U G F n Z S U y M D E w O C U y O S U y M C U y O D I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F Q x M z o z N z o 1 N y 4 4 N T Q z M j g 0 W i I v P j x F b n R y e S B U e X B l P S J G a W x s Q 2 9 s d W 1 u V H l w Z X M i I F Z h b H V l P S J z Q m d N R 0 J n W U d C Z 1 k 9 I i 8 + P E V u d H J 5 I F R 5 c G U 9 I k Z p b G x D b 2 x 1 b W 5 O Y W 1 l c y I g V m F s d W U 9 I n N b J n F 1 b 3 Q 7 Q 2 9 s d W 1 u M S Z x d W 9 0 O y w m c X V v d D t O b 3 R l c y Z x d W 9 0 O y w m c X V v d D t B Z G p 1 c 3 R l Z C D D g 8 K C w 4 L C s l x u w 4 P C g s O C w q N t J n F 1 b 3 Q 7 L C Z x d W 9 0 O 0 F k a n V z d G l u Z 1 x u a X R l b X M g w 4 P C g s O C w r J c b s O D w o L D g s K j b S Z x d W 9 0 O y w m c X V v d D t T d G F 0 d X R v c n l c b s O D w o L D g s K j b S Z x d W 9 0 O y w m c X V v d D t B Z G p 1 c 3 R l Z C D D g 8 K C w 4 L C s l x u w 4 P C g s O C w q N t X z E m c X V v d D s s J n F 1 b 3 Q 7 Q W R q d X N 0 a W 5 n X G 5 p d G V t c y D D g 8 K C w 4 L C s l x u w 4 P C g s O C w q N t X z I m c X V v d D s s J n F 1 b 3 Q 7 U 3 R h d H V 0 b 3 J 5 X G 7 D g 8 K C w 4 L C o 2 1 f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D E w I C h Q Y W d l I D E w O C k v Q X V 0 b 1 J l b W 9 2 Z W R D b 2 x 1 b W 5 z M S 5 7 Q 2 9 s d W 1 u M S w w f S Z x d W 9 0 O y w m c X V v d D t T Z W N 0 a W 9 u M S 9 U Y W J s Z T Q x M C A o U G F n Z S A x M D g p L 0 F 1 d G 9 S Z W 1 v d m V k Q 2 9 s d W 1 u c z E u e 0 5 v d G V z L D F 9 J n F 1 b 3 Q 7 L C Z x d W 9 0 O 1 N l Y 3 R p b 2 4 x L 1 R h Y m x l N D E w I C h Q Y W d l I D E w O C k v Q X V 0 b 1 J l b W 9 2 Z W R D b 2 x 1 b W 5 z M S 5 7 Q W R q d X N 0 Z W Q g w 4 P C g s O C w r J c b s O D w o L D g s K j b S w y f S Z x d W 9 0 O y w m c X V v d D t T Z W N 0 a W 9 u M S 9 U Y W J s Z T Q x M C A o U G F n Z S A x M D g p L 0 F 1 d G 9 S Z W 1 v d m V k Q 2 9 s d W 1 u c z E u e 0 F k a n V z d G l u Z 1 x u a X R l b X M g w 4 P C g s O C w r J c b s O D w o L D g s K j b S w z f S Z x d W 9 0 O y w m c X V v d D t T Z W N 0 a W 9 u M S 9 U Y W J s Z T Q x M C A o U G F n Z S A x M D g p L 0 F 1 d G 9 S Z W 1 v d m V k Q 2 9 s d W 1 u c z E u e 1 N 0 Y X R 1 d G 9 y e V x u w 4 P C g s O C w q N t L D R 9 J n F 1 b 3 Q 7 L C Z x d W 9 0 O 1 N l Y 3 R p b 2 4 x L 1 R h Y m x l N D E w I C h Q Y W d l I D E w O C k v Q X V 0 b 1 J l b W 9 2 Z W R D b 2 x 1 b W 5 z M S 5 7 Q W R q d X N 0 Z W Q g w 4 P C g s O C w r J c b s O D w o L D g s K j b V 8 x L D V 9 J n F 1 b 3 Q 7 L C Z x d W 9 0 O 1 N l Y 3 R p b 2 4 x L 1 R h Y m x l N D E w I C h Q Y W d l I D E w O C k v Q X V 0 b 1 J l b W 9 2 Z W R D b 2 x 1 b W 5 z M S 5 7 Q W R q d X N 0 a W 5 n X G 5 p d G V t c y D D g 8 K C w 4 L C s l x u w 4 P C g s O C w q N t X z I s N n 0 m c X V v d D s s J n F 1 b 3 Q 7 U 2 V j d G l v b j E v V G F i b G U 0 M T A g K F B h Z 2 U g M T A 4 K S 9 B d X R v U m V t b 3 Z l Z E N v b H V t b n M x L n t T d G F 0 d X R v c n l c b s O D w o L D g s K j b V 8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N D E w I C h Q Y W d l I D E w O C k v Q X V 0 b 1 J l b W 9 2 Z W R D b 2 x 1 b W 5 z M S 5 7 Q 2 9 s d W 1 u M S w w f S Z x d W 9 0 O y w m c X V v d D t T Z W N 0 a W 9 u M S 9 U Y W J s Z T Q x M C A o U G F n Z S A x M D g p L 0 F 1 d G 9 S Z W 1 v d m V k Q 2 9 s d W 1 u c z E u e 0 5 v d G V z L D F 9 J n F 1 b 3 Q 7 L C Z x d W 9 0 O 1 N l Y 3 R p b 2 4 x L 1 R h Y m x l N D E w I C h Q Y W d l I D E w O C k v Q X V 0 b 1 J l b W 9 2 Z W R D b 2 x 1 b W 5 z M S 5 7 Q W R q d X N 0 Z W Q g w 4 P C g s O C w r J c b s O D w o L D g s K j b S w y f S Z x d W 9 0 O y w m c X V v d D t T Z W N 0 a W 9 u M S 9 U Y W J s Z T Q x M C A o U G F n Z S A x M D g p L 0 F 1 d G 9 S Z W 1 v d m V k Q 2 9 s d W 1 u c z E u e 0 F k a n V z d G l u Z 1 x u a X R l b X M g w 4 P C g s O C w r J c b s O D w o L D g s K j b S w z f S Z x d W 9 0 O y w m c X V v d D t T Z W N 0 a W 9 u M S 9 U Y W J s Z T Q x M C A o U G F n Z S A x M D g p L 0 F 1 d G 9 S Z W 1 v d m V k Q 2 9 s d W 1 u c z E u e 1 N 0 Y X R 1 d G 9 y e V x u w 4 P C g s O C w q N t L D R 9 J n F 1 b 3 Q 7 L C Z x d W 9 0 O 1 N l Y 3 R p b 2 4 x L 1 R h Y m x l N D E w I C h Q Y W d l I D E w O C k v Q X V 0 b 1 J l b W 9 2 Z W R D b 2 x 1 b W 5 z M S 5 7 Q W R q d X N 0 Z W Q g w 4 P C g s O C w r J c b s O D w o L D g s K j b V 8 x L D V 9 J n F 1 b 3 Q 7 L C Z x d W 9 0 O 1 N l Y 3 R p b 2 4 x L 1 R h Y m x l N D E w I C h Q Y W d l I D E w O C k v Q X V 0 b 1 J l b W 9 2 Z W R D b 2 x 1 b W 5 z M S 5 7 Q W R q d X N 0 a W 5 n X G 5 p d G V t c y D D g 8 K C w 4 L C s l x u w 4 P C g s O C w q N t X z I s N n 0 m c X V v d D s s J n F 1 b 3 Q 7 U 2 V j d G l v b j E v V G F i b G U 0 M T A g K F B h Z 2 U g M T A 4 K S 9 B d X R v U m V t b 3 Z l Z E N v b H V t b n M x L n t T d G F 0 d X R v c n l c b s O D w o L D g s K j b V 8 z L D d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T g w J T I w J T I 4 U G F n Z S U y M D E w N y U y O S U y M C U y O D I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F Q x M z o 1 M D o y M C 4 x M T M 5 M T c z W i I v P j x F b n R y e S B U e X B l P S J G a W x s Q 2 9 s d W 1 u V H l w Z X M i I F Z h b H V l P S J z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O D A g K F B h Z 2 U g M T A 3 K S 9 B d X R v U m V t b 3 Z l Z E N v b H V t b n M x L n t D b 2 x 1 b W 4 x L D B 9 J n F 1 b 3 Q 7 L C Z x d W 9 0 O 1 N l Y 3 R p b 2 4 x L 1 R h Y m x l M T g w I C h Q Y W d l I D E w N y k v Q X V 0 b 1 J l b W 9 2 Z W R D b 2 x 1 b W 5 z M S 5 7 Q 2 9 s d W 1 u M i w x f S Z x d W 9 0 O y w m c X V v d D t T Z W N 0 a W 9 u M S 9 U Y W J s Z T E 4 M C A o U G F n Z S A x M D c p L 0 F 1 d G 9 S Z W 1 v d m V k Q 2 9 s d W 1 u c z E u e 0 N v b H V t b j M s M n 0 m c X V v d D s s J n F 1 b 3 Q 7 U 2 V j d G l v b j E v V G F i b G U x O D A g K F B h Z 2 U g M T A 3 K S 9 B d X R v U m V t b 3 Z l Z E N v b H V t b n M x L n t D b 2 x 1 b W 4 0 L D N 9 J n F 1 b 3 Q 7 L C Z x d W 9 0 O 1 N l Y 3 R p b 2 4 x L 1 R h Y m x l M T g w I C h Q Y W d l I D E w N y k v Q X V 0 b 1 J l b W 9 2 Z W R D b 2 x 1 b W 5 z M S 5 7 Q 2 9 s d W 1 u N S w 0 f S Z x d W 9 0 O y w m c X V v d D t T Z W N 0 a W 9 u M S 9 U Y W J s Z T E 4 M C A o U G F n Z S A x M D c p L 0 F 1 d G 9 S Z W 1 v d m V k Q 2 9 s d W 1 u c z E u e 0 N v b H V t b j Y s N X 0 m c X V v d D s s J n F 1 b 3 Q 7 U 2 V j d G l v b j E v V G F i b G U x O D A g K F B h Z 2 U g M T A 3 K S 9 B d X R v U m V t b 3 Z l Z E N v b H V t b n M x L n t D b 2 x 1 b W 4 3 L D Z 9 J n F 1 b 3 Q 7 L C Z x d W 9 0 O 1 N l Y 3 R p b 2 4 x L 1 R h Y m x l M T g w I C h Q Y W d l I D E w N y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E 4 M C A o U G F n Z S A x M D c p L 0 F 1 d G 9 S Z W 1 v d m V k Q 2 9 s d W 1 u c z E u e 0 N v b H V t b j E s M H 0 m c X V v d D s s J n F 1 b 3 Q 7 U 2 V j d G l v b j E v V G F i b G U x O D A g K F B h Z 2 U g M T A 3 K S 9 B d X R v U m V t b 3 Z l Z E N v b H V t b n M x L n t D b 2 x 1 b W 4 y L D F 9 J n F 1 b 3 Q 7 L C Z x d W 9 0 O 1 N l Y 3 R p b 2 4 x L 1 R h Y m x l M T g w I C h Q Y W d l I D E w N y k v Q X V 0 b 1 J l b W 9 2 Z W R D b 2 x 1 b W 5 z M S 5 7 Q 2 9 s d W 1 u M y w y f S Z x d W 9 0 O y w m c X V v d D t T Z W N 0 a W 9 u M S 9 U Y W J s Z T E 4 M C A o U G F n Z S A x M D c p L 0 F 1 d G 9 S Z W 1 v d m V k Q 2 9 s d W 1 u c z E u e 0 N v b H V t b j Q s M 3 0 m c X V v d D s s J n F 1 b 3 Q 7 U 2 V j d G l v b j E v V G F i b G U x O D A g K F B h Z 2 U g M T A 3 K S 9 B d X R v U m V t b 3 Z l Z E N v b H V t b n M x L n t D b 2 x 1 b W 4 1 L D R 9 J n F 1 b 3 Q 7 L C Z x d W 9 0 O 1 N l Y 3 R p b 2 4 x L 1 R h Y m x l M T g w I C h Q Y W d l I D E w N y k v Q X V 0 b 1 J l b W 9 2 Z W R D b 2 x 1 b W 5 z M S 5 7 Q 2 9 s d W 1 u N i w 1 f S Z x d W 9 0 O y w m c X V v d D t T Z W N 0 a W 9 u M S 9 U Y W J s Z T E 4 M C A o U G F n Z S A x M D c p L 0 F 1 d G 9 S Z W 1 v d m V k Q 2 9 s d W 1 u c z E u e 0 N v b H V t b j c s N n 0 m c X V v d D s s J n F 1 b 3 Q 7 U 2 V j d G l v b j E v V G F i b G U x O D A g K F B h Z 2 U g M T A 3 K S 9 B d X R v U m V t b 3 Z l Z E N v b H V t b n M x L n t D b 2 x 1 b W 4 4 L D d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T g x J T I w J T I 4 U G F n Z S U y M D E w O C U y O S U y M C U y O D I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0 V D E z O j U y O j E 2 L j g 4 O T E 5 M T l a I i 8 + P E V u d H J 5 I F R 5 c G U 9 I k Z p b G x D b 2 x 1 b W 5 U e X B l c y I g V m F s d W U 9 I n N C Z 1 V G I i 8 + P E V u d H J 5 I F R 5 c G U 9 I k Z p b G x D b 2 x 1 b W 5 O Y W 1 l c y I g V m F s d W U 9 I n N b J n F 1 b 3 Q 7 Q 2 9 s d W 1 u M S Z x d W 9 0 O y w m c X V v d D s y M D E 4 X G 7 D g 8 K C w 4 L C o 2 0 m c X V v d D s s J n F 1 b 3 Q 7 M j A x N 1 x u w 4 P C g s O C w q N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O D E g K F B h Z 2 U g M T A 4 K S 9 B d X R v U m V t b 3 Z l Z E N v b H V t b n M x L n t D b 2 x 1 b W 4 x L D B 9 J n F 1 b 3 Q 7 L C Z x d W 9 0 O 1 N l Y 3 R p b 2 4 x L 1 R h Y m x l M T g x I C h Q Y W d l I D E w O C k v Q X V 0 b 1 J l b W 9 2 Z W R D b 2 x 1 b W 5 z M S 5 7 M j A x O F x u w 4 P C g s O C w q N t L D F 9 J n F 1 b 3 Q 7 L C Z x d W 9 0 O 1 N l Y 3 R p b 2 4 x L 1 R h Y m x l M T g x I C h Q Y W d l I D E w O C k v Q X V 0 b 1 J l b W 9 2 Z W R D b 2 x 1 b W 5 z M S 5 7 M j A x N 1 x u w 4 P C g s O C w q N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T g x I C h Q Y W d l I D E w O C k v Q X V 0 b 1 J l b W 9 2 Z W R D b 2 x 1 b W 5 z M S 5 7 Q 2 9 s d W 1 u M S w w f S Z x d W 9 0 O y w m c X V v d D t T Z W N 0 a W 9 u M S 9 U Y W J s Z T E 4 M S A o U G F n Z S A x M D g p L 0 F 1 d G 9 S Z W 1 v d m V k Q 2 9 s d W 1 u c z E u e z I w M T h c b s O D w o L D g s K j b S w x f S Z x d W 9 0 O y w m c X V v d D t T Z W N 0 a W 9 u M S 9 U Y W J s Z T E 4 M S A o U G F n Z S A x M D g p L 0 F 1 d G 9 S Z W 1 v d m V k Q 2 9 s d W 1 u c z E u e z I w M T d c b s O D w o L D g s K j b S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Q 3 N i U y M C U y O F B h Z 2 U l M j A x M z Y l M j k l M j A l M j g y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R U M T I 6 M z I 6 N T Y u M D c 0 N D Q 0 N F o i L z 4 8 R W 5 0 c n k g V H l w Z T 0 i R m l s b E N v b H V t b l R 5 c G V z I i B W Y W x 1 Z T 0 i c 0 J n W U d C Z 0 1 H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3 N i A o U G F n Z S A x M z Y p L 0 F 1 d G 9 S Z W 1 v d m V k Q 2 9 s d W 1 u c z E u e 0 N v b H V t b j E s M H 0 m c X V v d D s s J n F 1 b 3 Q 7 U 2 V j d G l v b j E v V G F i b G U 0 N z Y g K F B h Z 2 U g M T M 2 K S 9 B d X R v U m V t b 3 Z l Z E N v b H V t b n M x L n t D b 2 x 1 b W 4 y L D F 9 J n F 1 b 3 Q 7 L C Z x d W 9 0 O 1 N l Y 3 R p b 2 4 x L 1 R h Y m x l N D c 2 I C h Q Y W d l I D E z N i k v Q X V 0 b 1 J l b W 9 2 Z W R D b 2 x 1 b W 5 z M S 5 7 Q 2 9 s d W 1 u M y w y f S Z x d W 9 0 O y w m c X V v d D t T Z W N 0 a W 9 u M S 9 U Y W J s Z T Q 3 N i A o U G F n Z S A x M z Y p L 0 F 1 d G 9 S Z W 1 v d m V k Q 2 9 s d W 1 u c z E u e 0 N v b H V t b j Q s M 3 0 m c X V v d D s s J n F 1 b 3 Q 7 U 2 V j d G l v b j E v V G F i b G U 0 N z Y g K F B h Z 2 U g M T M 2 K S 9 B d X R v U m V t b 3 Z l Z E N v b H V t b n M x L n t D b 2 x 1 b W 4 1 L D R 9 J n F 1 b 3 Q 7 L C Z x d W 9 0 O 1 N l Y 3 R p b 2 4 x L 1 R h Y m x l N D c 2 I C h Q Y W d l I D E z N i k v Q X V 0 b 1 J l b W 9 2 Z W R D b 2 x 1 b W 5 z M S 5 7 Q 2 9 s d W 1 u N i w 1 f S Z x d W 9 0 O y w m c X V v d D t T Z W N 0 a W 9 u M S 9 U Y W J s Z T Q 3 N i A o U G F n Z S A x M z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0 N z Y g K F B h Z 2 U g M T M 2 K S 9 B d X R v U m V t b 3 Z l Z E N v b H V t b n M x L n t D b 2 x 1 b W 4 x L D B 9 J n F 1 b 3 Q 7 L C Z x d W 9 0 O 1 N l Y 3 R p b 2 4 x L 1 R h Y m x l N D c 2 I C h Q Y W d l I D E z N i k v Q X V 0 b 1 J l b W 9 2 Z W R D b 2 x 1 b W 5 z M S 5 7 Q 2 9 s d W 1 u M i w x f S Z x d W 9 0 O y w m c X V v d D t T Z W N 0 a W 9 u M S 9 U Y W J s Z T Q 3 N i A o U G F n Z S A x M z Y p L 0 F 1 d G 9 S Z W 1 v d m V k Q 2 9 s d W 1 u c z E u e 0 N v b H V t b j M s M n 0 m c X V v d D s s J n F 1 b 3 Q 7 U 2 V j d G l v b j E v V G F i b G U 0 N z Y g K F B h Z 2 U g M T M 2 K S 9 B d X R v U m V t b 3 Z l Z E N v b H V t b n M x L n t D b 2 x 1 b W 4 0 L D N 9 J n F 1 b 3 Q 7 L C Z x d W 9 0 O 1 N l Y 3 R p b 2 4 x L 1 R h Y m x l N D c 2 I C h Q Y W d l I D E z N i k v Q X V 0 b 1 J l b W 9 2 Z W R D b 2 x 1 b W 5 z M S 5 7 Q 2 9 s d W 1 u N S w 0 f S Z x d W 9 0 O y w m c X V v d D t T Z W N 0 a W 9 u M S 9 U Y W J s Z T Q 3 N i A o U G F n Z S A x M z Y p L 0 F 1 d G 9 S Z W 1 v d m V k Q 2 9 s d W 1 u c z E u e 0 N v b H V t b j Y s N X 0 m c X V v d D s s J n F 1 b 3 Q 7 U 2 V j d G l v b j E v V G F i b G U 0 N z Y g K F B h Z 2 U g M T M 2 K S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z U 5 J T I w J T I 4 U G F n Z S U y M D E x M C U y O S U y M C U y O D I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F Q x M z o x O T o w N i 4 x M z U 5 N T Y 1 W i I v P j x F b n R y e S B U e X B l P S J G a W x s Q 2 9 s d W 1 u V H l w Z X M i I F Z h b H V l P S J z Q m d N R 0 J n P T 0 i L z 4 8 R W 5 0 c n k g V H l w Z T 0 i R m l s b E N v b H V t b k 5 h b W V z I i B W Y W x 1 Z T 0 i c 1 s m c X V v d D t O b 2 4 t Y 3 V y c m V u d C B h c 3 N l d H M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1 O S A o U G F n Z S A x M T A p L 0 F 1 d G 9 S Z W 1 v d m V k Q 2 9 s d W 1 u c z E u e 0 5 v b i 1 j d X J y Z W 5 0 I G F z c 2 V 0 c y w w f S Z x d W 9 0 O y w m c X V v d D t T Z W N 0 a W 9 u M S 9 U Y W J s Z T M 1 O S A o U G F n Z S A x M T A p L 0 F 1 d G 9 S Z W 1 v d m V k Q 2 9 s d W 1 u c z E u e 0 N v b H V t b j I s M X 0 m c X V v d D s s J n F 1 b 3 Q 7 U 2 V j d G l v b j E v V G F i b G U z N T k g K F B h Z 2 U g M T E w K S 9 B d X R v U m V t b 3 Z l Z E N v b H V t b n M x L n t D b 2 x 1 b W 4 z L D J 9 J n F 1 b 3 Q 7 L C Z x d W 9 0 O 1 N l Y 3 R p b 2 4 x L 1 R h Y m x l M z U 5 I C h Q Y W d l I D E x M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M 1 O S A o U G F n Z S A x M T A p L 0 F 1 d G 9 S Z W 1 v d m V k Q 2 9 s d W 1 u c z E u e 0 5 v b i 1 j d X J y Z W 5 0 I G F z c 2 V 0 c y w w f S Z x d W 9 0 O y w m c X V v d D t T Z W N 0 a W 9 u M S 9 U Y W J s Z T M 1 O S A o U G F n Z S A x M T A p L 0 F 1 d G 9 S Z W 1 v d m V k Q 2 9 s d W 1 u c z E u e 0 N v b H V t b j I s M X 0 m c X V v d D s s J n F 1 b 3 Q 7 U 2 V j d G l v b j E v V G F i b G U z N T k g K F B h Z 2 U g M T E w K S 9 B d X R v U m V t b 3 Z l Z E N v b H V t b n M x L n t D b 2 x 1 b W 4 z L D J 9 J n F 1 b 3 Q 7 L C Z x d W 9 0 O 1 N l Y 3 R p b 2 4 x L 1 R h Y m x l M z U 5 I C h Q Y W d l I D E x M C k v Q X V 0 b 1 J l b W 9 2 Z W R D b 2 x 1 b W 5 z M S 5 7 Q 2 9 s d W 1 u N C w z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Q x N S U y M C U y O F B h Z 2 U l M j A x M D k l M j k l M j A l M j g y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R U M T M 6 N D M 6 N T E u N D Y 2 M z Q 4 O F o i L z 4 8 R W 5 0 c n k g V H l w Z T 0 i R m l s b E N v b H V t b l R 5 c G V z I i B W Y W x 1 Z T 0 i c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D E 1 I C h Q Y W d l I D E w O S k v Q X V 0 b 1 J l b W 9 2 Z W R D b 2 x 1 b W 5 z M S 5 7 Q 2 9 s d W 1 u M S w w f S Z x d W 9 0 O y w m c X V v d D t T Z W N 0 a W 9 u M S 9 U Y W J s Z T Q x N S A o U G F n Z S A x M D k p L 0 F 1 d G 9 S Z W 1 v d m V k Q 2 9 s d W 1 u c z E u e 0 N v b H V t b j I s M X 0 m c X V v d D s s J n F 1 b 3 Q 7 U 2 V j d G l v b j E v V G F i b G U 0 M T U g K F B h Z 2 U g M T A 5 K S 9 B d X R v U m V t b 3 Z l Z E N v b H V t b n M x L n t D b 2 x 1 b W 4 z L D J 9 J n F 1 b 3 Q 7 L C Z x d W 9 0 O 1 N l Y 3 R p b 2 4 x L 1 R h Y m x l N D E 1 I C h Q Y W d l I D E w O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Q x N S A o U G F n Z S A x M D k p L 0 F 1 d G 9 S Z W 1 v d m V k Q 2 9 s d W 1 u c z E u e 0 N v b H V t b j E s M H 0 m c X V v d D s s J n F 1 b 3 Q 7 U 2 V j d G l v b j E v V G F i b G U 0 M T U g K F B h Z 2 U g M T A 5 K S 9 B d X R v U m V t b 3 Z l Z E N v b H V t b n M x L n t D b 2 x 1 b W 4 y L D F 9 J n F 1 b 3 Q 7 L C Z x d W 9 0 O 1 N l Y 3 R p b 2 4 x L 1 R h Y m x l N D E 1 I C h Q Y W d l I D E w O S k v Q X V 0 b 1 J l b W 9 2 Z W R D b 2 x 1 b W 5 z M S 5 7 Q 2 9 s d W 1 u M y w y f S Z x d W 9 0 O y w m c X V v d D t T Z W N 0 a W 9 u M S 9 U Y W J s Z T Q x N S A o U G F n Z S A x M D k p L 0 F 1 d G 9 S Z W 1 v d m V k Q 2 9 s d W 1 u c z E u e 0 N v b H V t b j Q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0 N z g l M j A l M j h Q Y W d l J T I w M T M 3 J T I 5 J T I w J T I 4 M i U y O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0 V D E y O j Q x O j Q y L j E 3 M j g 4 N z F a I i 8 + P E V u d H J 5 I F R 5 c G U 9 I k Z p b G x D b 2 x 1 b W 5 U e X B l c y I g V m F s d W U 9 I n N C Z 0 1 H Q m c 9 P S I v P j x F b n R y e S B U e X B l P S J G a W x s Q 2 9 s d W 1 u T m F t Z X M i I F Z h b H V l P S J z W y Z x d W 9 0 O 0 N v b H V t b j E m c X V v d D s s J n F 1 b 3 Q 7 T m 9 0 Z X M m c X V v d D s s J n F 1 b 3 Q 7 X H U w M E E z b S Z x d W 9 0 O y w m c X V v d D t c d T A w Q T N t X z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3 O C A o U G F n Z S A x M z c p L 0 F 1 d G 9 S Z W 1 v d m V k Q 2 9 s d W 1 u c z E u e 0 N v b H V t b j E s M H 0 m c X V v d D s s J n F 1 b 3 Q 7 U 2 V j d G l v b j E v V G F i b G U 0 N z g g K F B h Z 2 U g M T M 3 K S 9 B d X R v U m V t b 3 Z l Z E N v b H V t b n M x L n t O b 3 R l c y w x f S Z x d W 9 0 O y w m c X V v d D t T Z W N 0 a W 9 u M S 9 U Y W J s Z T Q 3 O C A o U G F n Z S A x M z c p L 0 F 1 d G 9 S Z W 1 v d m V k Q 2 9 s d W 1 u c z E u e 1 x 1 M D B B M 2 0 s M n 0 m c X V v d D s s J n F 1 b 3 Q 7 U 2 V j d G l v b j E v V G F i b G U 0 N z g g K F B h Z 2 U g M T M 3 K S 9 B d X R v U m V t b 3 Z l Z E N v b H V t b n M x L n t c d T A w Q T N t X z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0 N z g g K F B h Z 2 U g M T M 3 K S 9 B d X R v U m V t b 3 Z l Z E N v b H V t b n M x L n t D b 2 x 1 b W 4 x L D B 9 J n F 1 b 3 Q 7 L C Z x d W 9 0 O 1 N l Y 3 R p b 2 4 x L 1 R h Y m x l N D c 4 I C h Q Y W d l I D E z N y k v Q X V 0 b 1 J l b W 9 2 Z W R D b 2 x 1 b W 5 z M S 5 7 T m 9 0 Z X M s M X 0 m c X V v d D s s J n F 1 b 3 Q 7 U 2 V j d G l v b j E v V G F i b G U 0 N z g g K F B h Z 2 U g M T M 3 K S 9 B d X R v U m V t b 3 Z l Z E N v b H V t b n M x L n t c d T A w Q T N t L D J 9 J n F 1 b 3 Q 7 L C Z x d W 9 0 O 1 N l Y 3 R p b 2 4 x L 1 R h Y m x l N D c 4 I C h Q Y W d l I D E z N y k v Q X V 0 b 1 J l b W 9 2 Z W R D b 2 x 1 b W 5 z M S 5 7 X H U w M E E z b V 8 x L D N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N D c 4 J T I w J T I 4 U G F n Z S U y M D E z N y U y O S U y M C U y O D M l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F Q x M j o 0 M T o 0 M i 4 x N z I 4 O D c x W i I v P j x F b n R y e S B U e X B l P S J G a W x s Q 2 9 s d W 1 u V H l w Z X M i I F Z h b H V l P S J z Q m d N R 0 J n P T 0 i L z 4 8 R W 5 0 c n k g V H l w Z T 0 i R m l s b E N v b H V t b k 5 h b W V z I i B W Y W x 1 Z T 0 i c 1 s m c X V v d D t D b 2 x 1 b W 4 x J n F 1 b 3 Q 7 L C Z x d W 9 0 O 0 5 v d G V z J n F 1 b 3 Q 7 L C Z x d W 9 0 O 1 x 1 M D B B M 2 0 m c X V v d D s s J n F 1 b 3 Q 7 X H U w M E E z b V 8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N z g g K F B h Z 2 U g M T M 3 K S 9 B d X R v U m V t b 3 Z l Z E N v b H V t b n M x L n t D b 2 x 1 b W 4 x L D B 9 J n F 1 b 3 Q 7 L C Z x d W 9 0 O 1 N l Y 3 R p b 2 4 x L 1 R h Y m x l N D c 4 I C h Q Y W d l I D E z N y k v Q X V 0 b 1 J l b W 9 2 Z W R D b 2 x 1 b W 5 z M S 5 7 T m 9 0 Z X M s M X 0 m c X V v d D s s J n F 1 b 3 Q 7 U 2 V j d G l v b j E v V G F i b G U 0 N z g g K F B h Z 2 U g M T M 3 K S 9 B d X R v U m V t b 3 Z l Z E N v b H V t b n M x L n t c d T A w Q T N t L D J 9 J n F 1 b 3 Q 7 L C Z x d W 9 0 O 1 N l Y 3 R p b 2 4 x L 1 R h Y m x l N D c 4 I C h Q Y W d l I D E z N y k v Q X V 0 b 1 J l b W 9 2 Z W R D b 2 x 1 b W 5 z M S 5 7 X H U w M E E z b V 8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N D c 4 I C h Q Y W d l I D E z N y k v Q X V 0 b 1 J l b W 9 2 Z W R D b 2 x 1 b W 5 z M S 5 7 Q 2 9 s d W 1 u M S w w f S Z x d W 9 0 O y w m c X V v d D t T Z W N 0 a W 9 u M S 9 U Y W J s Z T Q 3 O C A o U G F n Z S A x M z c p L 0 F 1 d G 9 S Z W 1 v d m V k Q 2 9 s d W 1 u c z E u e 0 5 v d G V z L D F 9 J n F 1 b 3 Q 7 L C Z x d W 9 0 O 1 N l Y 3 R p b 2 4 x L 1 R h Y m x l N D c 4 I C h Q Y W d l I D E z N y k v Q X V 0 b 1 J l b W 9 2 Z W R D b 2 x 1 b W 5 z M S 5 7 X H U w M E E z b S w y f S Z x d W 9 0 O y w m c X V v d D t T Z W N 0 a W 9 u M S 9 U Y W J s Z T Q 3 O C A o U G F n Z S A x M z c p L 0 F 1 d G 9 S Z W 1 v d m V k Q 2 9 s d W 1 u c z E u e 1 x 1 M D B B M 2 1 f M S w z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Q x N y U y M C U y O F B h Z 2 U l M j A x M T A l M j k l M j A l M j g y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R U M T M 6 N D Y 6 M D I u N D E 1 M z U y O V o i L z 4 8 R W 5 0 c n k g V H l w Z T 0 i R m l s b E N v b H V t b l R 5 c G V z I i B W Y W x 1 Z T 0 i c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D E 3 I C h Q Y W d l I D E x M C k v Q X V 0 b 1 J l b W 9 2 Z W R D b 2 x 1 b W 5 z M S 5 7 Q 2 9 s d W 1 u M S w w f S Z x d W 9 0 O y w m c X V v d D t T Z W N 0 a W 9 u M S 9 U Y W J s Z T Q x N y A o U G F n Z S A x M T A p L 0 F 1 d G 9 S Z W 1 v d m V k Q 2 9 s d W 1 u c z E u e 0 N v b H V t b j I s M X 0 m c X V v d D s s J n F 1 b 3 Q 7 U 2 V j d G l v b j E v V G F i b G U 0 M T c g K F B h Z 2 U g M T E w K S 9 B d X R v U m V t b 3 Z l Z E N v b H V t b n M x L n t D b 2 x 1 b W 4 z L D J 9 J n F 1 b 3 Q 7 L C Z x d W 9 0 O 1 N l Y 3 R p b 2 4 x L 1 R h Y m x l N D E 3 I C h Q Y W d l I D E x M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Q x N y A o U G F n Z S A x M T A p L 0 F 1 d G 9 S Z W 1 v d m V k Q 2 9 s d W 1 u c z E u e 0 N v b H V t b j E s M H 0 m c X V v d D s s J n F 1 b 3 Q 7 U 2 V j d G l v b j E v V G F i b G U 0 M T c g K F B h Z 2 U g M T E w K S 9 B d X R v U m V t b 3 Z l Z E N v b H V t b n M x L n t D b 2 x 1 b W 4 y L D F 9 J n F 1 b 3 Q 7 L C Z x d W 9 0 O 1 N l Y 3 R p b 2 4 x L 1 R h Y m x l N D E 3 I C h Q Y W d l I D E x M C k v Q X V 0 b 1 J l b W 9 2 Z W R D b 2 x 1 b W 5 z M S 5 7 Q 2 9 s d W 1 u M y w y f S Z x d W 9 0 O y w m c X V v d D t T Z W N 0 a W 9 u M S 9 U Y W J s Z T Q x N y A o U G F n Z S A x M T A p L 0 F 1 d G 9 S Z W 1 v d m V k Q 2 9 s d W 1 u c z E u e 0 N v b H V t b j Q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0 N D Y l M j A l M j h Q Y W d l J T I w M T Q 1 J T I 5 J T I w J T I 4 M i U y O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0 V D E x O j E w O j U z L j c 3 N z U 5 N j l a I i 8 + P E V u d H J 5 I F R 5 c G U 9 I k Z p b G x D b 2 x 1 b W 5 U e X B l c y I g V m F s d W U 9 I n N C Z 0 1 H Q m c 9 P S I v P j x F b n R y e S B U e X B l P S J G a W x s Q 2 9 s d W 1 u T m F t Z X M i I F Z h b H V l P S J z W y Z x d W 9 0 O 0 N v b H V t b j E m c X V v d D s s J n F 1 b 3 Q 7 T m 9 0 Z X M m c X V v d D s s J n F 1 b 3 Q 7 M j A y M l x u X H U w M E E z b S Z x d W 9 0 O y w m c X V v d D s y M D I x X G 5 c d T A w Q T N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N D Y g K F B h Z 2 U g M T Q 1 K S 9 B d X R v U m V t b 3 Z l Z E N v b H V t b n M x L n t D b 2 x 1 b W 4 x L D B 9 J n F 1 b 3 Q 7 L C Z x d W 9 0 O 1 N l Y 3 R p b 2 4 x L 1 R h Y m x l N D Q 2 I C h Q Y W d l I D E 0 N S k v Q X V 0 b 1 J l b W 9 2 Z W R D b 2 x 1 b W 5 z M S 5 7 T m 9 0 Z X M s M X 0 m c X V v d D s s J n F 1 b 3 Q 7 U 2 V j d G l v b j E v V G F i b G U 0 N D Y g K F B h Z 2 U g M T Q 1 K S 9 B d X R v U m V t b 3 Z l Z E N v b H V t b n M x L n s y M D I y X G 5 c d T A w Q T N t L D J 9 J n F 1 b 3 Q 7 L C Z x d W 9 0 O 1 N l Y 3 R p b 2 4 x L 1 R h Y m x l N D Q 2 I C h Q Y W d l I D E 0 N S k v Q X V 0 b 1 J l b W 9 2 Z W R D b 2 x 1 b W 5 z M S 5 7 M j A y M V x u X H U w M E E z b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Q 0 N i A o U G F n Z S A x N D U p L 0 F 1 d G 9 S Z W 1 v d m V k Q 2 9 s d W 1 u c z E u e 0 N v b H V t b j E s M H 0 m c X V v d D s s J n F 1 b 3 Q 7 U 2 V j d G l v b j E v V G F i b G U 0 N D Y g K F B h Z 2 U g M T Q 1 K S 9 B d X R v U m V t b 3 Z l Z E N v b H V t b n M x L n t O b 3 R l c y w x f S Z x d W 9 0 O y w m c X V v d D t T Z W N 0 a W 9 u M S 9 U Y W J s Z T Q 0 N i A o U G F n Z S A x N D U p L 0 F 1 d G 9 S Z W 1 v d m V k Q 2 9 s d W 1 u c z E u e z I w M j J c b l x 1 M D B B M 2 0 s M n 0 m c X V v d D s s J n F 1 b 3 Q 7 U 2 V j d G l v b j E v V G F i b G U 0 N D Y g K F B h Z 2 U g M T Q 1 K S 9 B d X R v U m V t b 3 Z l Z E N v b H V t b n M x L n s y M D I x X G 5 c d T A w Q T N t L D N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N D Q 2 J T I w J T I 4 U G F n Z S U y M D E 0 N S U y O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Q 2 J T I w J T I 4 U G F n Z S U y M D E 0 N S U y O S 9 U Y W J s Z T Q 0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N D Y l M j A l M j h Q Y W d l J T I w M T Q 1 J T I 5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N D Y l M j A l M j h Q Y W d l J T I w M T Q 1 J T I 5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0 N y U y M C U y O F B h Z 2 U l M j A x N D Y l M j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0 N y U y M C U y O F B h Z 2 U l M j A x N D Y l M j k v V G F i b G U 0 N D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Q 3 J T I w J T I 4 U G F n Z S U y M D E 0 N i U y O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Q 3 J T I w J T I 4 U G F n Z S U y M D E 0 N i U y O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N D k l M j A l M j h Q Y W d l J T I w M T Q 3 J T I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N D k l M j A l M j h Q Y W d l J T I w M T Q 3 J T I 5 L 1 R h Y m x l N D Q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0 O S U y M C U y O F B h Z 2 U l M j A x N D c l M j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0 O S U y M C U y O F B h Z 2 U l M j A x N D c l M j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U w J T I w J T I 4 U G F n Z S U y M D E 0 N y U y O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U w J T I w J T I 4 U G F n Z S U y M D E 0 N y U y O S 9 U Y W J s Z T Q 1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N T A l M j A l M j h Q Y W d l J T I w M T Q 3 J T I 5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1 M S U y M C U y O F B h Z 2 U l M j A x N D c l M j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1 M S U y M C U y O F B h Z 2 U l M j A x N D c l M j k v V G F i b G U 0 N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U x J T I w J T I 4 U G F n Z S U y M D E 0 N y U y O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N T I l M j A l M j h Q Y W d l J T I w M T Q 3 J T I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N T I l M j A l M j h Q Y W d l J T I w M T Q 3 J T I 5 L 1 R h Y m x l N D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1 M i U y M C U y O F B h Z 2 U l M j A x N D c l M j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1 M i U y M C U y O F B h Z 2 U l M j A x N D c l M j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c 0 J T I w J T I 4 U G F n Z S U y M D E z N S U y O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c 0 J T I w J T I 4 U G F n Z S U y M D E z N S U y O S 9 U Y W J s Z T Q 3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N z Q l M j A l M j h Q Y W d l J T I w M T M 1 J T I 5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N z Q l M j A l M j h Q Y W d l J T I w M T M 1 J T I 5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3 N i U y M C U y O F B h Z 2 U l M j A x M z Y l M j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3 N i U y M C U y O F B h Z 2 U l M j A x M z Y l M j k v V G F i b G U 0 N z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c 2 J T I w J T I 4 U G F n Z S U y M D E z N i U y O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N z g l M j A l M j h Q Y W d l J T I w M T M 3 J T I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N z g l M j A l M j h Q Y W d l J T I w M T M 3 J T I 5 L 1 R h Y m x l N D c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3 O C U y M C U y O F B h Z 2 U l M j A x M z c l M j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3 O C U y M C U y O F B h Z 2 U l M j A x M z c l M j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c 5 J T I w J T I 4 U G F n Z S U y M D E z N y U y O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c 5 J T I w J T I 4 U G F n Z S U y M D E z N y U y O S 9 U Y W J s Z T Q 3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N z k l M j A l M j h Q Y W d l J T I w M T M 3 J T I 5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4 M C U y M C U y O F B h Z 2 U l M j A x M z c l M j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4 M C U y M C U y O F B h Z 2 U l M j A x M z c l M j k v V G F i b G U 0 O D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g w J T I w J T I 4 U G F n Z S U y M D E z N y U y O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g w J T I w J T I 4 U G F n Z S U y M D E z N y U y O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O D E l M j A l M j h Q Y W d l J T I w M T M 3 J T I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O D E l M j A l M j h Q Y W d l J T I w M T M 3 J T I 5 L 1 R h Y m x l N D g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4 M S U y M C U y O F B h Z 2 U l M j A x M z c l M j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g w J T I w J T I 4 U G F n Z S U y M D E z N y U y O S U y M C U y O D I l M j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4 M C U y M C U y O F B h Z 2 U l M j A x M z c l M j k l M j A l M j g y J T I 5 L 1 R h Y m x l N D g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4 M C U y M C U y O F B h Z 2 U l M j A x M z c l M j k l M j A l M j g y J T I 5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O D A l M j A l M j h Q Y W d l J T I w M T M 3 J T I 5 J T I w J T I 4 M i U y O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z N T Y l M j A l M j h Q Y W d l J T I w M T A 5 J T I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z N T Y l M j A l M j h Q Y W d l J T I w M T A 5 J T I 5 L 1 R h Y m x l M z U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M 1 N i U y M C U y O F B h Z 2 U l M j A x M D k l M j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z U 3 J T I w J T I 4 U G F n Z S U y M D E w O S U y O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z U 3 J T I w J T I 4 U G F n Z S U y M D E w O S U y O S 9 U Y W J s Z T M 1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z N T c l M j A l M j h Q Y W d l J T I w M T A 5 J T I 5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M 1 O S U y M C U y O F B h Z 2 U l M j A x M T A l M j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M 1 O S U y M C U y O F B h Z 2 U l M j A x M T A l M j k v V G F i b G U z N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z U 5 J T I w J T I 4 U G F n Z S U y M D E x M C U y O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z U 5 J T I w J T I 4 U G F n Z S U y M D E x M C U y O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z N j E l M j A l M j h Q Y W d l J T I w M T E x J T I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z N j E l M j A l M j h Q Y W d l J T I w M T E x J T I 5 L 1 R h Y m x l M z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M 2 M S U y M C U y O F B h Z 2 U l M j A x M T E l M j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z Y y J T I w J T I 4 U G F n Z S U y M D E x M S U y O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z Y y J T I w J T I 4 U G F n Z S U y M D E x M S U y O S 9 U Y W J s Z T M 2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z N j I l M j A l M j h Q Y W d l J T I w M T E x J T I 5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M 2 M y U y M C U y O F B h Z 2 U l M j A x M T E l M j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M 2 M y U y M C U y O F B h Z 2 U l M j A x M T E l M j k v V G F i b G U z N j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z Y z J T I w J T I 4 U G F n Z S U y M D E x M S U y O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z Y z J T I w J T I 4 U G F n Z S U y M D E x M S U y O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M T A l M j A l M j h Q Y W d l J T I w M T A 4 J T I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M T A l M j A l M j h Q Y W d l J T I w M T A 4 J T I 5 L 1 R h Y m x l N D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x M C U y M C U y O F B h Z 2 U l M j A x M D g l M j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x M C U y M C U y O F B h Z 2 U l M j A x M D g l M j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E x J T I w J T I 4 U G F n Z S U y M D E w O C U y O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E x J T I w J T I 4 U G F n Z S U y M D E w O C U y O S 9 U Y W J s Z T Q x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M T E l M j A l M j h Q Y W d l J T I w M T A 4 J T I 5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M T E l M j A l M j h Q Y W d l J T I w M T A 4 J T I 5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x N S U y M C U y O F B h Z 2 U l M j A x M D k l M j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x N S U y M C U y O F B h Z 2 U l M j A x M D k l M j k v V G F i b G U 0 M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E 1 J T I w J T I 4 U G F n Z S U y M D E w O S U y O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M T c l M j A l M j h Q Y W d l J T I w M T E w J T I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M T c l M j A l M j h Q Y W d l J T I w M T E w J T I 5 L 1 R h Y m x l N D E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x N y U y M C U y O F B h Z 2 U l M j A x M T A l M j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T g w J T I w J T I 4 U G F n Z S U y M D E w N y U y O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T g w J T I w J T I 4 U G F n Z S U y M D E w N y U y O S 9 U Y W J s Z T E 4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O D A l M j A l M j h Q Y W d l J T I w M T A 3 J T I 5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4 M S U y M C U y O F B h Z 2 U l M j A x M D g l M j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4 M S U y M C U y O F B h Z 2 U l M j A x M D g l M j k v V G F i b G U x O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T g x J T I w J T I 4 U G F n Z S U y M D E w O C U y O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T g x J T I w J T I 4 U G F n Z S U y M D E w O C U y O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O D I l M j A l M j h Q Y W d l J T I w M T A 5 L T E x M C U y O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T g y J T I w J T I 4 U G F n Z S U y M D E w O S 0 x M T A l M j k v V G F i b G U x O D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T g y J T I w J T I 4 U G F n Z S U y M D E w O S 0 x M T A l M j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T g 0 J T I w J T I 4 U G F n Z S U y M D E x M S U y O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T g 0 J T I w J T I 4 U G F n Z S U y M D E x M S U y O S 9 U Y W J s Z T E 4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O D Q l M j A l M j h Q Y W d l J T I w M T E x J T I 5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O D Q l M j A l M j h Q Y W d l J T I w M T E x J T I 5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4 N S U y M C U y O F B h Z 2 U l M j A x M T I l M j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4 N S U y M C U y O F B h Z 2 U l M j A x M T I l M j k v V G F i b G U x O D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T g 1 J T I w J T I 4 U G F n Z S U y M D E x M i U y O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z N T Y l M j A l M j h Q Y W d l J T I w M T A 5 J T I 5 J T I w J T I 4 M i U y O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z U 2 J T I w J T I 4 U G F n Z S U y M D E w O S U y O S U y M C U y O D I l M j k v V G F i b G U z N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z U 2 J T I w J T I 4 U G F n Z S U y M D E w O S U y O S U y M C U y O D I l M j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z U 3 J T I w J T I 4 U G F n Z S U y M D E w O S U y O S U y M C U y O D I l M j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M 1 N y U y M C U y O F B h Z 2 U l M j A x M D k l M j k l M j A l M j g y J T I 5 L 1 R h Y m x l M z U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M 1 N y U y M C U y O F B h Z 2 U l M j A x M D k l M j k l M j A l M j g y J T I 5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x M C U y M C U y O F B h Z 2 U l M j A x M D g l M j k l M j A l M j g y J T I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M T A l M j A l M j h Q Y W d l J T I w M T A 4 J T I 5 J T I w J T I 4 M i U y O S 9 U Y W J s Z T Q x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M T A l M j A l M j h Q Y W d l J T I w M T A 4 J T I 5 J T I w J T I 4 M i U y O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E w J T I w J T I 4 U G F n Z S U y M D E w O C U y O S U y M C U y O D I l M j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T g w J T I w J T I 4 U G F n Z S U y M D E w N y U y O S U y M C U y O D I l M j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4 M C U y M C U y O F B h Z 2 U l M j A x M D c l M j k l M j A l M j g y J T I 5 L 1 R h Y m x l M T g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4 M C U y M C U y O F B h Z 2 U l M j A x M D c l M j k l M j A l M j g y J T I 5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4 M S U y M C U y O F B h Z 2 U l M j A x M D g l M j k l M j A l M j g y J T I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O D E l M j A l M j h Q Y W d l J T I w M T A 4 J T I 5 J T I w J T I 4 M i U y O S 9 U Y W J s Z T E 4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O D E l M j A l M j h Q Y W d l J T I w M T A 4 J T I 5 J T I w J T I 4 M i U y O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T g x J T I w J T I 4 U G F n Z S U y M D E w O C U y O S U y M C U y O D I l M j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c 2 J T I w J T I 4 U G F n Z S U y M D E z N i U y O S U y M C U y O D I l M j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3 N i U y M C U y O F B h Z 2 U l M j A x M z Y l M j k l M j A l M j g y J T I 5 L 1 R h Y m x l N D c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3 N i U y M C U y O F B h Z 2 U l M j A x M z Y l M j k l M j A l M j g y J T I 5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M 1 O S U y M C U y O F B h Z 2 U l M j A x M T A l M j k l M j A l M j g y J T I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z N T k l M j A l M j h Q Y W d l J T I w M T E w J T I 5 J T I w J T I 4 M i U y O S 9 U Y W J s Z T M 1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z N T k l M j A l M j h Q Y W d l J T I w M T E w J T I 5 J T I w J T I 4 M i U y O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z U 5 J T I w J T I 4 U G F n Z S U y M D E x M C U y O S U y M C U y O D I l M j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E 1 J T I w J T I 4 U G F n Z S U y M D E w O S U y O S U y M C U y O D I l M j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x N S U y M C U y O F B h Z 2 U l M j A x M D k l M j k l M j A l M j g y J T I 5 L 1 R h Y m x l N D E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x N S U y M C U y O F B h Z 2 U l M j A x M D k l M j k l M j A l M j g y J T I 5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3 O C U y M C U y O F B h Z 2 U l M j A x M z c l M j k l M j A l M j g y J T I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N z g l M j A l M j h Q Y W d l J T I w M T M 3 J T I 5 J T I w J T I 4 M i U y O S 9 U Y W J s Z T Q 3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N z g l M j A l M j h Q Y W d l J T I w M T M 3 J T I 5 J T I w J T I 4 M i U y O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c 4 J T I w J T I 4 U G F n Z S U y M D E z N y U y O S U y M C U y O D I l M j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c 4 J T I w J T I 4 U G F n Z S U y M D E z N y U y O S U y M C U y O D M l M j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3 O C U y M C U y O F B h Z 2 U l M j A x M z c l M j k l M j A l M j g z J T I 5 L 1 R h Y m x l N D c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3 O C U y M C U y O F B h Z 2 U l M j A x M z c l M j k l M j A l M j g z J T I 5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N z g l M j A l M j h Q Y W d l J T I w M T M 3 J T I 5 J T I w J T I 4 M y U y O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M T c l M j A l M j h Q Y W d l J T I w M T E w J T I 5 J T I w J T I 4 M i U y O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E 3 J T I w J T I 4 U G F n Z S U y M D E x M C U y O S U y M C U y O D I l M j k v V G F i b G U 0 M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E 3 J T I w J T I 4 U G F n Z S U y M D E x M C U y O S U y M C U y O D I l M j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D Q 2 J T I w J T I 4 U G F n Z S U y M D E 0 N S U y O S U y M C U y O D I l M j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0 N i U y M C U y O F B h Z 2 U l M j A x N D U l M j k l M j A l M j g y J T I 5 L 1 R h Y m x l N D Q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0 N i U y M C U y O F B h Z 2 U l M j A x N D U l M j k l M j A l M j g y J T I 5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N D Y l M j A l M j h Q Y W d l J T I w M T Q 1 J T I 5 J T I w J T I 4 M i U y O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k c K r H h H x Q A c w D Q Y J K o Z I h v c N A Q E B B Q A E g g I A E V W O y D k u V P b 6 / r Z V d 6 A T Z r z U A U D S c H x K h 5 X x j m h + k Q v 1 L a X 4 J O Q u g z E C 9 F a W 2 5 Y N F V h e o + H b n x h X P P 3 R 3 l P z Z K H t / i 3 g 9 L 8 V 0 b H l / 5 I L Z J g e J r B q Z 3 e v b 5 X 0 A r c / 2 H 3 y h r q V c 2 E C E j P 2 6 q J + T 6 D y q h u G Y z I I + A Q X j 9 n N h I 0 3 S S k x K 1 b 7 W 7 1 1 n o 7 j N X H X 2 a E k U 2 / Z y M M + 0 + d X K B 0 p z N K D r D B V j o C g 9 L f c 3 k N L U j b 8 3 P Q V v G x 8 j x a d F 3 J V 7 K 0 x 4 5 r E Z r g v t M R a K X y w 4 5 3 L E B z O F V Y n t e s c T 8 U I K F V 5 i j J C 7 D U M O 2 G W 8 e x a q j U P 3 5 V 3 T U g M R r 4 T R V P W J 3 1 R k i 6 f e a f D o 4 Z s S f F 8 / G b L F R 0 M v F 0 z g N R m y u K 6 n w u 4 p 3 p m N j f k M T C t S L 1 P 3 D k e u h E A 4 c b p L I e k g 2 U H u K d D g v 6 X P f l z f A n M m 9 G 9 I T g x k X v g H U Z P b 3 K + 1 1 D P K i 8 P j j O J F S 7 8 L x f l j 5 3 f b e X R 1 h x U 3 j b J / P M W T 6 5 8 h 2 R d W n s X V D 5 B j 0 T v W i B z 4 U p L s s p O P H I f S L G y m O U K L q R K P k M z B r q I N Y S o Y K H S 1 c R D d 1 p q s 4 r A 0 y w W m s d 1 7 9 y a P K q j u z S W G S 4 w F n 0 6 u w o i S 6 R r h m R L y O S L 5 d T O V b v O 1 M k e D d n D Q 8 l i P f I Y t P Q 3 3 7 M q p 4 M k d M s 6 b C i x x 3 F a k G p P X i 0 D 1 S K Y J p B g Q D I Z l d a u x l e H e w s w f A Y J K o Z I h v c N A Q c B M B 0 G C W C G S A F l A w Q B K g Q Q Z U R y 5 + F 5 x w N b K N L 8 h e l z q I B Q W F 4 G a 0 M 1 n f 3 x 0 k Z i m I 1 2 d n n W f I 9 e d m e t D 4 9 H Q L d P O j 3 N q k X 5 W K 8 z K 9 1 d X e M 0 f 0 S N B n 2 Z y D 9 u A k R f 1 d f e K 1 0 t T U r / 6 I M C U L 0 c b w 6 T a U X h h u U = < / D a t a M a s h u p > 
</file>

<file path=customXml/itemProps1.xml><?xml version="1.0" encoding="utf-8"?>
<ds:datastoreItem xmlns:ds="http://schemas.openxmlformats.org/officeDocument/2006/customXml" ds:itemID="{310B8958-32BB-496A-9671-44B2FF58F0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page </vt:lpstr>
      <vt:lpstr>Raw Data</vt:lpstr>
      <vt:lpstr>IS normalized</vt:lpstr>
      <vt:lpstr>Decomposed SFP</vt:lpstr>
      <vt:lpstr>Assumptions</vt:lpstr>
      <vt:lpstr>CF</vt:lpstr>
      <vt:lpstr>Ratios Tables</vt:lpstr>
      <vt:lpstr>Cost of Capital</vt:lpstr>
      <vt:lpstr>Valution</vt:lpstr>
      <vt:lpstr>United Kingdom 10-Year Bond Yie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ADEBANJO JEBE</dc:creator>
  <cp:keywords/>
  <dc:description/>
  <cp:lastModifiedBy>Microsoft Office User</cp:lastModifiedBy>
  <cp:revision/>
  <dcterms:created xsi:type="dcterms:W3CDTF">2022-11-14T11:04:47Z</dcterms:created>
  <dcterms:modified xsi:type="dcterms:W3CDTF">2023-01-11T21:51:36Z</dcterms:modified>
  <cp:category/>
  <cp:contentStatus/>
</cp:coreProperties>
</file>