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jecaballero\Desktop\polla\"/>
    </mc:Choice>
  </mc:AlternateContent>
  <xr:revisionPtr revIDLastSave="0" documentId="13_ncr:1_{224B3E5F-D838-408D-90AF-D4F155DC2EAE}" xr6:coauthVersionLast="45" xr6:coauthVersionMax="45" xr10:uidLastSave="{00000000-0000-0000-0000-000000000000}"/>
  <bookViews>
    <workbookView xWindow="-60" yWindow="-60" windowWidth="19320" windowHeight="15480" activeTab="1" xr2:uid="{00000000-000D-0000-FFFF-FFFF00000000}"/>
  </bookViews>
  <sheets>
    <sheet name="Terceros" sheetId="14" r:id="rId1"/>
    <sheet name="Posiciones" sheetId="13" r:id="rId2"/>
    <sheet name="A" sheetId="6" r:id="rId3"/>
    <sheet name="B" sheetId="5" r:id="rId4"/>
    <sheet name="C" sheetId="7" r:id="rId5"/>
    <sheet name="D" sheetId="8" r:id="rId6"/>
    <sheet name="E" sheetId="9" r:id="rId7"/>
    <sheet name="F" sheetId="10" r:id="rId8"/>
    <sheet name="H1" sheetId="1" r:id="rId9"/>
    <sheet name="H2" sheetId="2" state="hidden" r:id="rId10"/>
    <sheet name="Hoja1" sheetId="3" state="hidden" r:id="rId11"/>
    <sheet name="Participantes" sheetId="4" r:id="rId12"/>
  </sheets>
  <externalReferences>
    <externalReference r:id="rId13"/>
    <externalReference r:id="rId14"/>
    <externalReference r:id="rId15"/>
  </externalReferences>
  <definedNames>
    <definedName name="PAISES">[1]A!$AO$38:$AO$57</definedName>
  </definedNames>
  <calcPr calcId="191029"/>
  <webPublishing allowPng="1" targetScreenSize="640x480" codePage="65001"/>
  <webPublishObjects count="5">
    <webPublishObject id="27869" divId="posicionesdf2021V2_27869" destinationFile="C:\Users\jecaballero\Desktop\polla\posicionesdf2021V2.mht" autoRepublish="1"/>
    <webPublishObject id="8742" divId="index_8742" destinationFile="C:\Users\jecaballero\Desktop\polla\index.htm" autoRepublish="1"/>
    <webPublishObject id="16845" divId="index_16845" destinationFile="C:\Users\jecaballero\Desktop\polla\index.htm" title="Eurocopa 2021" autoRepublish="1"/>
    <webPublishObject id="26958" divId="index_26958" destinationFile="C:\Users\jecaballero\Desktop\polla\index.htm" autoRepublish="1"/>
    <webPublishObject id="12546" divId="index_12546" destinationFile="C:\Users\jecaballero\Desktop\polla\index.htm" title="Eurocopa 2021" autoRepublish="1"/>
  </webPublishObject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6" i="10" l="1"/>
  <c r="AE7" i="10"/>
  <c r="AE8" i="10"/>
  <c r="AE9" i="10"/>
  <c r="AE10" i="10"/>
  <c r="AE11" i="10"/>
  <c r="AE12" i="10"/>
  <c r="AE13" i="10"/>
  <c r="AE14" i="10"/>
  <c r="AE15" i="10"/>
  <c r="AE16" i="10"/>
  <c r="AE17" i="10"/>
  <c r="AE18" i="10"/>
  <c r="AF18" i="10" s="1"/>
  <c r="AE19" i="10"/>
  <c r="AE20" i="10"/>
  <c r="AE21" i="10"/>
  <c r="AF21" i="10" s="1"/>
  <c r="AE22" i="10"/>
  <c r="AE23" i="10"/>
  <c r="AE24" i="10"/>
  <c r="AE25" i="10"/>
  <c r="AE26" i="10"/>
  <c r="AE27" i="10"/>
  <c r="AE5" i="10"/>
  <c r="AE6" i="9"/>
  <c r="AE7" i="9"/>
  <c r="AE8" i="9"/>
  <c r="AE9" i="9"/>
  <c r="AE10" i="9"/>
  <c r="AE11" i="9"/>
  <c r="AE12" i="9"/>
  <c r="AE13" i="9"/>
  <c r="AE14" i="9"/>
  <c r="AE15" i="9"/>
  <c r="AE16" i="9"/>
  <c r="AE17" i="9"/>
  <c r="AE18" i="9"/>
  <c r="AF18" i="9" s="1"/>
  <c r="AE19" i="9"/>
  <c r="AE20" i="9"/>
  <c r="AE21" i="9"/>
  <c r="AF21" i="9" s="1"/>
  <c r="AE22" i="9"/>
  <c r="AE23" i="9"/>
  <c r="AE24" i="9"/>
  <c r="AE25" i="9"/>
  <c r="AE26" i="9"/>
  <c r="AE27" i="9"/>
  <c r="AE5" i="9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5" i="8"/>
  <c r="AE6" i="7"/>
  <c r="AE7" i="7"/>
  <c r="AE8" i="7"/>
  <c r="AE9" i="7"/>
  <c r="AE10" i="7"/>
  <c r="AE11" i="7"/>
  <c r="AE12" i="7"/>
  <c r="AE13" i="7"/>
  <c r="AE14" i="7"/>
  <c r="AE15" i="7"/>
  <c r="AE16" i="7"/>
  <c r="AE17" i="7"/>
  <c r="AE18" i="7"/>
  <c r="AE19" i="7"/>
  <c r="AE20" i="7"/>
  <c r="AE21" i="7"/>
  <c r="AE22" i="7"/>
  <c r="AE23" i="7"/>
  <c r="AE24" i="7"/>
  <c r="AE25" i="7"/>
  <c r="AE26" i="7"/>
  <c r="AE27" i="7"/>
  <c r="AE5" i="7"/>
  <c r="AE6" i="5"/>
  <c r="AE7" i="5"/>
  <c r="AE8" i="5"/>
  <c r="AE9" i="5"/>
  <c r="AE10" i="5"/>
  <c r="AE11" i="5"/>
  <c r="AE12" i="5"/>
  <c r="AE13" i="5"/>
  <c r="AE14" i="5"/>
  <c r="AE15" i="5"/>
  <c r="AE16" i="5"/>
  <c r="AE17" i="5"/>
  <c r="AE18" i="5"/>
  <c r="AE19" i="5"/>
  <c r="AE20" i="5"/>
  <c r="AE21" i="5"/>
  <c r="AE22" i="5"/>
  <c r="AE23" i="5"/>
  <c r="AE24" i="5"/>
  <c r="AE25" i="5"/>
  <c r="AE26" i="5"/>
  <c r="AE27" i="5"/>
  <c r="AE5" i="5"/>
  <c r="AE6" i="6"/>
  <c r="AE7" i="6"/>
  <c r="AE8" i="6"/>
  <c r="AE9" i="6"/>
  <c r="AE10" i="6"/>
  <c r="AE11" i="6"/>
  <c r="AE12" i="6"/>
  <c r="AE13" i="6"/>
  <c r="AE14" i="6"/>
  <c r="AE15" i="6"/>
  <c r="AE16" i="6"/>
  <c r="AE17" i="6"/>
  <c r="AE18" i="6"/>
  <c r="AE19" i="6"/>
  <c r="AE20" i="6"/>
  <c r="AE21" i="6"/>
  <c r="AE22" i="6"/>
  <c r="AE23" i="6"/>
  <c r="AE24" i="6"/>
  <c r="AE25" i="6"/>
  <c r="AE26" i="6"/>
  <c r="AE27" i="6"/>
  <c r="AE5" i="6"/>
  <c r="AC3" i="10"/>
  <c r="AA3" i="10"/>
  <c r="AC27" i="10"/>
  <c r="AA27" i="10"/>
  <c r="AC26" i="10"/>
  <c r="AA26" i="10"/>
  <c r="AC25" i="10"/>
  <c r="AD25" i="10" s="1"/>
  <c r="AA25" i="10"/>
  <c r="AC24" i="10"/>
  <c r="AD24" i="10" s="1"/>
  <c r="AA24" i="10"/>
  <c r="AC23" i="10"/>
  <c r="AA23" i="10"/>
  <c r="AF22" i="10"/>
  <c r="AC22" i="10"/>
  <c r="AA22" i="10"/>
  <c r="AC21" i="10"/>
  <c r="AD21" i="10" s="1"/>
  <c r="AA21" i="10"/>
  <c r="AC20" i="10"/>
  <c r="AA20" i="10"/>
  <c r="AC19" i="10"/>
  <c r="AA19" i="10"/>
  <c r="AB19" i="10" s="1"/>
  <c r="AC18" i="10"/>
  <c r="AA18" i="10"/>
  <c r="AC17" i="10"/>
  <c r="AA17" i="10"/>
  <c r="AC16" i="10"/>
  <c r="AA16" i="10"/>
  <c r="AB16" i="10" s="1"/>
  <c r="AC15" i="10"/>
  <c r="AA15" i="10"/>
  <c r="AB15" i="10" s="1"/>
  <c r="AF14" i="10"/>
  <c r="AC14" i="10"/>
  <c r="AA14" i="10"/>
  <c r="AC13" i="10"/>
  <c r="AA13" i="10"/>
  <c r="AC12" i="10"/>
  <c r="AD12" i="10" s="1"/>
  <c r="AA12" i="10"/>
  <c r="AB12" i="10" s="1"/>
  <c r="AC11" i="10"/>
  <c r="AA11" i="10"/>
  <c r="AC10" i="10"/>
  <c r="AA10" i="10"/>
  <c r="AC9" i="10"/>
  <c r="AA9" i="10"/>
  <c r="AC8" i="10"/>
  <c r="AD8" i="10" s="1"/>
  <c r="AA8" i="10"/>
  <c r="AC7" i="10"/>
  <c r="AA7" i="10"/>
  <c r="AF6" i="10"/>
  <c r="AC6" i="10"/>
  <c r="AA6" i="10"/>
  <c r="AF5" i="10"/>
  <c r="AC5" i="10"/>
  <c r="AD5" i="10" s="1"/>
  <c r="AA5" i="10"/>
  <c r="AC3" i="9"/>
  <c r="AA3" i="9"/>
  <c r="AF14" i="9" s="1"/>
  <c r="AC27" i="9"/>
  <c r="AA27" i="9"/>
  <c r="AC26" i="9"/>
  <c r="AA26" i="9"/>
  <c r="AF25" i="9"/>
  <c r="AC25" i="9"/>
  <c r="AD25" i="9" s="1"/>
  <c r="AA25" i="9"/>
  <c r="AC24" i="9"/>
  <c r="AA24" i="9"/>
  <c r="AC23" i="9"/>
  <c r="AA23" i="9"/>
  <c r="AF22" i="9"/>
  <c r="AC22" i="9"/>
  <c r="AA22" i="9"/>
  <c r="AC21" i="9"/>
  <c r="AA21" i="9"/>
  <c r="AC20" i="9"/>
  <c r="AA20" i="9"/>
  <c r="AC19" i="9"/>
  <c r="AA19" i="9"/>
  <c r="AB19" i="9" s="1"/>
  <c r="AC18" i="9"/>
  <c r="AA18" i="9"/>
  <c r="AC17" i="9"/>
  <c r="AA17" i="9"/>
  <c r="AC16" i="9"/>
  <c r="AD16" i="9" s="1"/>
  <c r="AA16" i="9"/>
  <c r="AB16" i="9" s="1"/>
  <c r="AC15" i="9"/>
  <c r="AA15" i="9"/>
  <c r="AB15" i="9" s="1"/>
  <c r="AC14" i="9"/>
  <c r="AA14" i="9"/>
  <c r="AC13" i="9"/>
  <c r="AD13" i="9" s="1"/>
  <c r="AA13" i="9"/>
  <c r="AC12" i="9"/>
  <c r="AD12" i="9" s="1"/>
  <c r="AA12" i="9"/>
  <c r="AB12" i="9" s="1"/>
  <c r="AC11" i="9"/>
  <c r="AA11" i="9"/>
  <c r="AC10" i="9"/>
  <c r="AA10" i="9"/>
  <c r="AF9" i="9"/>
  <c r="AC9" i="9"/>
  <c r="AA9" i="9"/>
  <c r="AC8" i="9"/>
  <c r="AA8" i="9"/>
  <c r="AC7" i="9"/>
  <c r="AA7" i="9"/>
  <c r="AF6" i="9"/>
  <c r="AC6" i="9"/>
  <c r="AA6" i="9"/>
  <c r="AF5" i="9"/>
  <c r="AC5" i="9"/>
  <c r="AA5" i="9"/>
  <c r="AC27" i="8"/>
  <c r="AA27" i="8"/>
  <c r="AC26" i="8"/>
  <c r="AA26" i="8"/>
  <c r="AC25" i="8"/>
  <c r="AA25" i="8"/>
  <c r="AC24" i="8"/>
  <c r="AA24" i="8"/>
  <c r="AC23" i="8"/>
  <c r="AA23" i="8"/>
  <c r="AC22" i="8"/>
  <c r="AA22" i="8"/>
  <c r="AC21" i="8"/>
  <c r="AA21" i="8"/>
  <c r="AC20" i="8"/>
  <c r="AA20" i="8"/>
  <c r="AC19" i="8"/>
  <c r="AA19" i="8"/>
  <c r="AC18" i="8"/>
  <c r="AA18" i="8"/>
  <c r="AC17" i="8"/>
  <c r="AA17" i="8"/>
  <c r="AC16" i="8"/>
  <c r="AA16" i="8"/>
  <c r="AC15" i="8"/>
  <c r="AA15" i="8"/>
  <c r="AC14" i="8"/>
  <c r="AA14" i="8"/>
  <c r="AC13" i="8"/>
  <c r="AA13" i="8"/>
  <c r="AC12" i="8"/>
  <c r="AA12" i="8"/>
  <c r="AC11" i="8"/>
  <c r="AA11" i="8"/>
  <c r="AC10" i="8"/>
  <c r="AA10" i="8"/>
  <c r="AC9" i="8"/>
  <c r="AA9" i="8"/>
  <c r="AC8" i="8"/>
  <c r="AA8" i="8"/>
  <c r="AC7" i="8"/>
  <c r="AA7" i="8"/>
  <c r="AC6" i="8"/>
  <c r="AA6" i="8"/>
  <c r="AC5" i="8"/>
  <c r="AA5" i="8"/>
  <c r="M28" i="14"/>
  <c r="L28" i="14"/>
  <c r="K28" i="14"/>
  <c r="Q28" i="14" s="1"/>
  <c r="J28" i="14"/>
  <c r="I28" i="14"/>
  <c r="H28" i="14"/>
  <c r="G28" i="14"/>
  <c r="F28" i="14"/>
  <c r="E28" i="14"/>
  <c r="D28" i="14"/>
  <c r="C28" i="14"/>
  <c r="B28" i="14"/>
  <c r="A28" i="14"/>
  <c r="M27" i="14"/>
  <c r="R27" i="14" s="1"/>
  <c r="L27" i="14"/>
  <c r="K27" i="14"/>
  <c r="J27" i="14"/>
  <c r="I27" i="14"/>
  <c r="H27" i="14"/>
  <c r="G27" i="14"/>
  <c r="F27" i="14"/>
  <c r="E27" i="14"/>
  <c r="D27" i="14"/>
  <c r="C27" i="14"/>
  <c r="B27" i="14"/>
  <c r="A27" i="14"/>
  <c r="M26" i="14"/>
  <c r="L26" i="14"/>
  <c r="K26" i="14"/>
  <c r="J26" i="14"/>
  <c r="I26" i="14"/>
  <c r="H26" i="14"/>
  <c r="G26" i="14"/>
  <c r="F26" i="14"/>
  <c r="E26" i="14"/>
  <c r="D26" i="14"/>
  <c r="C26" i="14"/>
  <c r="B26" i="14"/>
  <c r="A26" i="14"/>
  <c r="M25" i="14"/>
  <c r="L25" i="14"/>
  <c r="K25" i="14"/>
  <c r="J25" i="14"/>
  <c r="I25" i="14"/>
  <c r="H25" i="14"/>
  <c r="G25" i="14"/>
  <c r="F25" i="14"/>
  <c r="E25" i="14"/>
  <c r="D25" i="14"/>
  <c r="C25" i="14"/>
  <c r="B25" i="14"/>
  <c r="A25" i="14"/>
  <c r="Q24" i="14"/>
  <c r="M24" i="14"/>
  <c r="L24" i="14"/>
  <c r="K24" i="14"/>
  <c r="J24" i="14"/>
  <c r="I24" i="14"/>
  <c r="H24" i="14"/>
  <c r="N24" i="14" s="1"/>
  <c r="G24" i="14"/>
  <c r="F24" i="14"/>
  <c r="E24" i="14"/>
  <c r="D24" i="14"/>
  <c r="C24" i="14"/>
  <c r="B24" i="14"/>
  <c r="A24" i="14"/>
  <c r="R23" i="14"/>
  <c r="Q23" i="14"/>
  <c r="M23" i="14"/>
  <c r="L23" i="14"/>
  <c r="K23" i="14"/>
  <c r="J23" i="14"/>
  <c r="I23" i="14"/>
  <c r="H23" i="14"/>
  <c r="G23" i="14"/>
  <c r="F23" i="14"/>
  <c r="E23" i="14"/>
  <c r="D23" i="14"/>
  <c r="C23" i="14"/>
  <c r="B23" i="14"/>
  <c r="A23" i="14"/>
  <c r="M22" i="14"/>
  <c r="L22" i="14"/>
  <c r="R22" i="14" s="1"/>
  <c r="K22" i="14"/>
  <c r="J22" i="14"/>
  <c r="I22" i="14"/>
  <c r="H22" i="14"/>
  <c r="G22" i="14"/>
  <c r="F22" i="14"/>
  <c r="E22" i="14"/>
  <c r="D22" i="14"/>
  <c r="C22" i="14"/>
  <c r="B22" i="14"/>
  <c r="A22" i="14"/>
  <c r="M21" i="14"/>
  <c r="L21" i="14"/>
  <c r="K21" i="14"/>
  <c r="J21" i="14"/>
  <c r="N21" i="14" s="1"/>
  <c r="I21" i="14"/>
  <c r="H21" i="14"/>
  <c r="G21" i="14"/>
  <c r="F21" i="14"/>
  <c r="E21" i="14"/>
  <c r="D21" i="14"/>
  <c r="C21" i="14"/>
  <c r="B21" i="14"/>
  <c r="A21" i="14"/>
  <c r="M20" i="14"/>
  <c r="L20" i="14"/>
  <c r="K20" i="14"/>
  <c r="Q20" i="14" s="1"/>
  <c r="J20" i="14"/>
  <c r="I20" i="14"/>
  <c r="H20" i="14"/>
  <c r="G20" i="14"/>
  <c r="F20" i="14"/>
  <c r="E20" i="14"/>
  <c r="D20" i="14"/>
  <c r="C20" i="14"/>
  <c r="B20" i="14"/>
  <c r="A20" i="14"/>
  <c r="R19" i="14"/>
  <c r="M19" i="14"/>
  <c r="L19" i="14"/>
  <c r="K19" i="14"/>
  <c r="J19" i="14"/>
  <c r="I19" i="14"/>
  <c r="H19" i="14"/>
  <c r="G19" i="14"/>
  <c r="F19" i="14"/>
  <c r="E19" i="14"/>
  <c r="D19" i="14"/>
  <c r="C19" i="14"/>
  <c r="B19" i="14"/>
  <c r="A19" i="14"/>
  <c r="M18" i="14"/>
  <c r="L18" i="14"/>
  <c r="K18" i="14"/>
  <c r="J18" i="14"/>
  <c r="I18" i="14"/>
  <c r="H18" i="14"/>
  <c r="G18" i="14"/>
  <c r="F18" i="14"/>
  <c r="E18" i="14"/>
  <c r="D18" i="14"/>
  <c r="C18" i="14"/>
  <c r="B18" i="14"/>
  <c r="A18" i="14"/>
  <c r="M17" i="14"/>
  <c r="L17" i="14"/>
  <c r="K17" i="14"/>
  <c r="J17" i="14"/>
  <c r="I17" i="14"/>
  <c r="H17" i="14"/>
  <c r="G17" i="14"/>
  <c r="F17" i="14"/>
  <c r="E17" i="14"/>
  <c r="D17" i="14"/>
  <c r="C17" i="14"/>
  <c r="B17" i="14"/>
  <c r="A17" i="14"/>
  <c r="M16" i="14"/>
  <c r="L16" i="14"/>
  <c r="K16" i="14"/>
  <c r="Q16" i="14" s="1"/>
  <c r="J16" i="14"/>
  <c r="I16" i="14"/>
  <c r="H16" i="14"/>
  <c r="N16" i="14" s="1"/>
  <c r="G16" i="14"/>
  <c r="F16" i="14"/>
  <c r="E16" i="14"/>
  <c r="D16" i="14"/>
  <c r="C16" i="14"/>
  <c r="B16" i="14"/>
  <c r="A16" i="14"/>
  <c r="R15" i="14"/>
  <c r="M15" i="14"/>
  <c r="L15" i="14"/>
  <c r="K15" i="14"/>
  <c r="Q15" i="14" s="1"/>
  <c r="J15" i="14"/>
  <c r="I15" i="14"/>
  <c r="H15" i="14"/>
  <c r="G15" i="14"/>
  <c r="F15" i="14"/>
  <c r="E15" i="14"/>
  <c r="D15" i="14"/>
  <c r="C15" i="14"/>
  <c r="B15" i="14"/>
  <c r="A15" i="14"/>
  <c r="M14" i="14"/>
  <c r="N14" i="14" s="1"/>
  <c r="L14" i="14"/>
  <c r="K14" i="14"/>
  <c r="J14" i="14"/>
  <c r="I14" i="14"/>
  <c r="H14" i="14"/>
  <c r="G14" i="14"/>
  <c r="F14" i="14"/>
  <c r="E14" i="14"/>
  <c r="D14" i="14"/>
  <c r="C14" i="14"/>
  <c r="B14" i="14"/>
  <c r="A14" i="14"/>
  <c r="M13" i="14"/>
  <c r="L13" i="14"/>
  <c r="R13" i="14" s="1"/>
  <c r="K13" i="14"/>
  <c r="Q13" i="14" s="1"/>
  <c r="J13" i="14"/>
  <c r="I13" i="14"/>
  <c r="H13" i="14"/>
  <c r="G13" i="14"/>
  <c r="F13" i="14"/>
  <c r="E13" i="14"/>
  <c r="D13" i="14"/>
  <c r="C13" i="14"/>
  <c r="B13" i="14"/>
  <c r="A13" i="14"/>
  <c r="M12" i="14"/>
  <c r="L12" i="14"/>
  <c r="K12" i="14"/>
  <c r="J12" i="14"/>
  <c r="I12" i="14"/>
  <c r="H12" i="14"/>
  <c r="G12" i="14"/>
  <c r="F12" i="14"/>
  <c r="E12" i="14"/>
  <c r="D12" i="14"/>
  <c r="C12" i="14"/>
  <c r="B12" i="14"/>
  <c r="A12" i="14"/>
  <c r="R11" i="14"/>
  <c r="M11" i="14"/>
  <c r="L11" i="14"/>
  <c r="K11" i="14"/>
  <c r="Q11" i="14" s="1"/>
  <c r="J11" i="14"/>
  <c r="I11" i="14"/>
  <c r="H11" i="14"/>
  <c r="G11" i="14"/>
  <c r="F11" i="14"/>
  <c r="E11" i="14"/>
  <c r="D11" i="14"/>
  <c r="C11" i="14"/>
  <c r="B11" i="14"/>
  <c r="A11" i="14"/>
  <c r="M10" i="14"/>
  <c r="N10" i="14" s="1"/>
  <c r="L10" i="14"/>
  <c r="K10" i="14"/>
  <c r="J10" i="14"/>
  <c r="I10" i="14"/>
  <c r="H10" i="14"/>
  <c r="G10" i="14"/>
  <c r="F10" i="14"/>
  <c r="E10" i="14"/>
  <c r="D10" i="14"/>
  <c r="C10" i="14"/>
  <c r="B10" i="14"/>
  <c r="A10" i="14"/>
  <c r="M9" i="14"/>
  <c r="L9" i="14"/>
  <c r="K9" i="14"/>
  <c r="J9" i="14"/>
  <c r="P9" i="14" s="1"/>
  <c r="I9" i="14"/>
  <c r="H9" i="14"/>
  <c r="G9" i="14"/>
  <c r="F9" i="14"/>
  <c r="E9" i="14"/>
  <c r="D9" i="14"/>
  <c r="C9" i="14"/>
  <c r="B9" i="14"/>
  <c r="A9" i="14"/>
  <c r="M8" i="14"/>
  <c r="L8" i="14"/>
  <c r="K8" i="14"/>
  <c r="J8" i="14"/>
  <c r="I8" i="14"/>
  <c r="H8" i="14"/>
  <c r="Q8" i="14" s="1"/>
  <c r="G8" i="14"/>
  <c r="F8" i="14"/>
  <c r="E8" i="14"/>
  <c r="D8" i="14"/>
  <c r="C8" i="14"/>
  <c r="B8" i="14"/>
  <c r="A8" i="14"/>
  <c r="M7" i="14"/>
  <c r="L7" i="14"/>
  <c r="K7" i="14"/>
  <c r="J7" i="14"/>
  <c r="I7" i="14"/>
  <c r="H7" i="14"/>
  <c r="G7" i="14"/>
  <c r="F7" i="14"/>
  <c r="E7" i="14"/>
  <c r="D7" i="14"/>
  <c r="C7" i="14"/>
  <c r="B7" i="14"/>
  <c r="A7" i="14"/>
  <c r="M6" i="14"/>
  <c r="L6" i="14"/>
  <c r="K6" i="14"/>
  <c r="J6" i="14"/>
  <c r="I6" i="14"/>
  <c r="O6" i="14" s="1"/>
  <c r="H6" i="14"/>
  <c r="G6" i="14"/>
  <c r="F6" i="14"/>
  <c r="E6" i="14"/>
  <c r="D6" i="14"/>
  <c r="C6" i="14"/>
  <c r="B6" i="14"/>
  <c r="A6" i="14"/>
  <c r="J4" i="14"/>
  <c r="I4" i="14"/>
  <c r="H4" i="14"/>
  <c r="AF9" i="10" l="1"/>
  <c r="AD9" i="10"/>
  <c r="AD16" i="10"/>
  <c r="AD13" i="10"/>
  <c r="AF17" i="10"/>
  <c r="AD26" i="10"/>
  <c r="AB7" i="10"/>
  <c r="AF13" i="10"/>
  <c r="AB20" i="10"/>
  <c r="AB23" i="10"/>
  <c r="AF26" i="10"/>
  <c r="AD27" i="10"/>
  <c r="AF10" i="10"/>
  <c r="AD17" i="10"/>
  <c r="AD20" i="10"/>
  <c r="AB27" i="10"/>
  <c r="AG27" i="10" s="1"/>
  <c r="AB8" i="10"/>
  <c r="AB11" i="10"/>
  <c r="AB24" i="10"/>
  <c r="AF8" i="10"/>
  <c r="AF12" i="10"/>
  <c r="AG12" i="10" s="1"/>
  <c r="AF16" i="10"/>
  <c r="AF20" i="10"/>
  <c r="AF24" i="10"/>
  <c r="AF25" i="10"/>
  <c r="AB6" i="10"/>
  <c r="AD11" i="10"/>
  <c r="AB14" i="10"/>
  <c r="AB18" i="10"/>
  <c r="AB26" i="10"/>
  <c r="AF7" i="10"/>
  <c r="AF11" i="10"/>
  <c r="AF15" i="10"/>
  <c r="AF19" i="10"/>
  <c r="AF23" i="10"/>
  <c r="AF27" i="10"/>
  <c r="AD7" i="10"/>
  <c r="AB10" i="10"/>
  <c r="AD15" i="10"/>
  <c r="AD19" i="10"/>
  <c r="AB22" i="10"/>
  <c r="AD23" i="10"/>
  <c r="AB5" i="10"/>
  <c r="AG5" i="10" s="1"/>
  <c r="AD6" i="10"/>
  <c r="AB9" i="10"/>
  <c r="AG9" i="10" s="1"/>
  <c r="AD10" i="10"/>
  <c r="AB13" i="10"/>
  <c r="AD14" i="10"/>
  <c r="AB17" i="10"/>
  <c r="AD18" i="10"/>
  <c r="AB21" i="10"/>
  <c r="AG21" i="10" s="1"/>
  <c r="AD22" i="10"/>
  <c r="AB25" i="10"/>
  <c r="AD9" i="9"/>
  <c r="AD26" i="9"/>
  <c r="AB7" i="9"/>
  <c r="AF13" i="9"/>
  <c r="AB20" i="9"/>
  <c r="AB23" i="9"/>
  <c r="AF10" i="9"/>
  <c r="AD17" i="9"/>
  <c r="AD20" i="9"/>
  <c r="AF26" i="9"/>
  <c r="AB8" i="9"/>
  <c r="AB11" i="9"/>
  <c r="AF17" i="9"/>
  <c r="AB24" i="9"/>
  <c r="AB27" i="9"/>
  <c r="AD5" i="9"/>
  <c r="AD8" i="9"/>
  <c r="AD21" i="9"/>
  <c r="AD24" i="9"/>
  <c r="AF8" i="9"/>
  <c r="AF12" i="9"/>
  <c r="AG12" i="9" s="1"/>
  <c r="AF16" i="9"/>
  <c r="AG16" i="9" s="1"/>
  <c r="AF20" i="9"/>
  <c r="AF24" i="9"/>
  <c r="AF7" i="9"/>
  <c r="AF11" i="9"/>
  <c r="AF15" i="9"/>
  <c r="AF19" i="9"/>
  <c r="AF23" i="9"/>
  <c r="AF27" i="9"/>
  <c r="AB6" i="9"/>
  <c r="AD7" i="9"/>
  <c r="AB10" i="9"/>
  <c r="AD11" i="9"/>
  <c r="AB14" i="9"/>
  <c r="AD15" i="9"/>
  <c r="AB18" i="9"/>
  <c r="AD19" i="9"/>
  <c r="AB22" i="9"/>
  <c r="AD23" i="9"/>
  <c r="AB26" i="9"/>
  <c r="AD27" i="9"/>
  <c r="AB5" i="9"/>
  <c r="AD6" i="9"/>
  <c r="AB9" i="9"/>
  <c r="AD10" i="9"/>
  <c r="AB13" i="9"/>
  <c r="AD14" i="9"/>
  <c r="AB17" i="9"/>
  <c r="AD18" i="9"/>
  <c r="AB21" i="9"/>
  <c r="AG21" i="9" s="1"/>
  <c r="AD22" i="9"/>
  <c r="AB25" i="9"/>
  <c r="AG25" i="9" s="1"/>
  <c r="R16" i="14"/>
  <c r="R24" i="14"/>
  <c r="O11" i="14"/>
  <c r="P12" i="14"/>
  <c r="P16" i="14"/>
  <c r="P17" i="14"/>
  <c r="P20" i="14"/>
  <c r="R25" i="14"/>
  <c r="N28" i="14"/>
  <c r="R6" i="14"/>
  <c r="Q12" i="14"/>
  <c r="Q19" i="14"/>
  <c r="P24" i="14"/>
  <c r="P25" i="14"/>
  <c r="P28" i="14"/>
  <c r="Q9" i="14"/>
  <c r="N20" i="14"/>
  <c r="O14" i="14"/>
  <c r="Q27" i="14"/>
  <c r="S8" i="14"/>
  <c r="N13" i="14"/>
  <c r="R12" i="14"/>
  <c r="R17" i="14"/>
  <c r="Q7" i="14"/>
  <c r="O10" i="14"/>
  <c r="Q6" i="14"/>
  <c r="R9" i="14"/>
  <c r="R26" i="14"/>
  <c r="R7" i="14"/>
  <c r="T9" i="14"/>
  <c r="O18" i="14"/>
  <c r="S18" i="14"/>
  <c r="N9" i="14"/>
  <c r="V9" i="14"/>
  <c r="P14" i="14"/>
  <c r="T13" i="14" s="1"/>
  <c r="P21" i="14"/>
  <c r="O22" i="14"/>
  <c r="S22" i="14"/>
  <c r="N25" i="14"/>
  <c r="P8" i="14"/>
  <c r="O15" i="14"/>
  <c r="S15" i="14"/>
  <c r="O23" i="14"/>
  <c r="S23" i="14"/>
  <c r="Q25" i="14"/>
  <c r="N26" i="14"/>
  <c r="P7" i="14"/>
  <c r="P11" i="14"/>
  <c r="P15" i="14"/>
  <c r="O16" i="14"/>
  <c r="S16" i="14"/>
  <c r="Q18" i="14"/>
  <c r="N19" i="14"/>
  <c r="P23" i="14"/>
  <c r="O24" i="14"/>
  <c r="V23" i="14" s="1"/>
  <c r="S24" i="14"/>
  <c r="Q26" i="14"/>
  <c r="N27" i="14"/>
  <c r="P6" i="14"/>
  <c r="R8" i="14"/>
  <c r="S10" i="14"/>
  <c r="S14" i="14"/>
  <c r="O21" i="14"/>
  <c r="S21" i="14"/>
  <c r="N6" i="14"/>
  <c r="P10" i="14"/>
  <c r="N12" i="14"/>
  <c r="N17" i="14"/>
  <c r="S7" i="14"/>
  <c r="O9" i="14"/>
  <c r="S11" i="14"/>
  <c r="Q17" i="14"/>
  <c r="N18" i="14"/>
  <c r="P22" i="14"/>
  <c r="O12" i="14"/>
  <c r="S12" i="14"/>
  <c r="O17" i="14"/>
  <c r="S17" i="14"/>
  <c r="R18" i="14"/>
  <c r="O25" i="14"/>
  <c r="S25" i="14"/>
  <c r="S9" i="14"/>
  <c r="O26" i="14"/>
  <c r="S26" i="14"/>
  <c r="S6" i="14"/>
  <c r="O7" i="14"/>
  <c r="N8" i="14"/>
  <c r="Q10" i="14"/>
  <c r="O13" i="14"/>
  <c r="S13" i="14"/>
  <c r="U12" i="14" s="1"/>
  <c r="Q14" i="14"/>
  <c r="P18" i="14"/>
  <c r="O19" i="14"/>
  <c r="S19" i="14"/>
  <c r="R20" i="14"/>
  <c r="Q21" i="14"/>
  <c r="N22" i="14"/>
  <c r="P26" i="14"/>
  <c r="O27" i="14"/>
  <c r="S27" i="14"/>
  <c r="R28" i="14"/>
  <c r="U27" i="14" s="1"/>
  <c r="R10" i="14"/>
  <c r="N11" i="14"/>
  <c r="P13" i="14"/>
  <c r="R14" i="14"/>
  <c r="N15" i="14"/>
  <c r="P19" i="14"/>
  <c r="O20" i="14"/>
  <c r="S20" i="14"/>
  <c r="R21" i="14"/>
  <c r="Q22" i="14"/>
  <c r="N23" i="14"/>
  <c r="P27" i="14"/>
  <c r="O28" i="14"/>
  <c r="S28" i="14"/>
  <c r="AG16" i="10" l="1"/>
  <c r="AG6" i="10"/>
  <c r="AG13" i="10"/>
  <c r="AG23" i="10"/>
  <c r="AG11" i="9"/>
  <c r="AG22" i="9"/>
  <c r="AG6" i="9"/>
  <c r="AG9" i="9"/>
  <c r="AG18" i="9"/>
  <c r="AG26" i="9"/>
  <c r="AG13" i="9"/>
  <c r="AG7" i="10"/>
  <c r="AG11" i="10"/>
  <c r="AG20" i="10"/>
  <c r="AG17" i="10"/>
  <c r="AG22" i="10"/>
  <c r="AG19" i="10"/>
  <c r="AG15" i="10"/>
  <c r="AG10" i="10"/>
  <c r="AG26" i="10"/>
  <c r="AG24" i="10"/>
  <c r="AG25" i="10"/>
  <c r="AG18" i="10"/>
  <c r="AG8" i="10"/>
  <c r="AG14" i="10"/>
  <c r="AG5" i="9"/>
  <c r="AG8" i="9"/>
  <c r="AG19" i="9"/>
  <c r="AG20" i="9"/>
  <c r="AG27" i="9"/>
  <c r="AG17" i="9"/>
  <c r="AG15" i="9"/>
  <c r="AG23" i="9"/>
  <c r="AG7" i="9"/>
  <c r="AG24" i="9"/>
  <c r="AG14" i="9"/>
  <c r="AG10" i="9"/>
  <c r="V20" i="14"/>
  <c r="V15" i="14"/>
  <c r="X27" i="14"/>
  <c r="W13" i="14"/>
  <c r="W15" i="14"/>
  <c r="U19" i="14"/>
  <c r="U13" i="14"/>
  <c r="U23" i="14"/>
  <c r="X23" i="14"/>
  <c r="X12" i="14"/>
  <c r="W23" i="14"/>
  <c r="X9" i="14"/>
  <c r="X13" i="14"/>
  <c r="W19" i="14"/>
  <c r="X8" i="14"/>
  <c r="U8" i="14"/>
  <c r="T8" i="14"/>
  <c r="W8" i="14"/>
  <c r="V8" i="14"/>
  <c r="X19" i="14"/>
  <c r="X10" i="14"/>
  <c r="W10" i="14"/>
  <c r="U10" i="14"/>
  <c r="T10" i="14"/>
  <c r="V10" i="14"/>
  <c r="V13" i="14"/>
  <c r="X7" i="14"/>
  <c r="U7" i="14"/>
  <c r="T7" i="14"/>
  <c r="V7" i="14"/>
  <c r="W7" i="14"/>
  <c r="W20" i="14"/>
  <c r="X17" i="14"/>
  <c r="W17" i="14"/>
  <c r="U17" i="14"/>
  <c r="T17" i="14"/>
  <c r="V17" i="14"/>
  <c r="V5" i="14"/>
  <c r="W5" i="14"/>
  <c r="U5" i="14"/>
  <c r="T5" i="14"/>
  <c r="X5" i="14"/>
  <c r="X24" i="14"/>
  <c r="W24" i="14"/>
  <c r="U24" i="14"/>
  <c r="T24" i="14"/>
  <c r="V24" i="14"/>
  <c r="T23" i="14"/>
  <c r="W9" i="14"/>
  <c r="W27" i="14"/>
  <c r="V12" i="14"/>
  <c r="X16" i="14"/>
  <c r="W16" i="14"/>
  <c r="U16" i="14"/>
  <c r="T16" i="14"/>
  <c r="V16" i="14"/>
  <c r="V27" i="14"/>
  <c r="X22" i="14"/>
  <c r="W22" i="14"/>
  <c r="U22" i="14"/>
  <c r="T22" i="14"/>
  <c r="V22" i="14"/>
  <c r="X21" i="14"/>
  <c r="W21" i="14"/>
  <c r="U21" i="14"/>
  <c r="T21" i="14"/>
  <c r="V21" i="14"/>
  <c r="T20" i="14"/>
  <c r="X11" i="14"/>
  <c r="W11" i="14"/>
  <c r="U11" i="14"/>
  <c r="T11" i="14"/>
  <c r="V11" i="14"/>
  <c r="X15" i="14"/>
  <c r="T27" i="14"/>
  <c r="U20" i="14"/>
  <c r="U9" i="14"/>
  <c r="W6" i="14"/>
  <c r="T6" i="14"/>
  <c r="V6" i="14"/>
  <c r="U6" i="14"/>
  <c r="X6" i="14"/>
  <c r="X20" i="14"/>
  <c r="X25" i="14"/>
  <c r="W25" i="14"/>
  <c r="U25" i="14"/>
  <c r="T25" i="14"/>
  <c r="V25" i="14"/>
  <c r="T12" i="14"/>
  <c r="X18" i="14"/>
  <c r="W18" i="14"/>
  <c r="U18" i="14"/>
  <c r="T18" i="14"/>
  <c r="V18" i="14"/>
  <c r="V19" i="14"/>
  <c r="T15" i="14"/>
  <c r="T19" i="14"/>
  <c r="W12" i="14"/>
  <c r="X14" i="14"/>
  <c r="W14" i="14"/>
  <c r="U14" i="14"/>
  <c r="T14" i="14"/>
  <c r="V14" i="14"/>
  <c r="U15" i="14"/>
  <c r="X26" i="14"/>
  <c r="W26" i="14"/>
  <c r="U26" i="14"/>
  <c r="T26" i="14"/>
  <c r="V26" i="14"/>
  <c r="L4" i="14" l="1"/>
  <c r="K4" i="14" l="1"/>
  <c r="R4" i="14" s="1"/>
  <c r="M4" i="14"/>
  <c r="P4" i="14" s="1"/>
  <c r="O4" i="14"/>
  <c r="N4" i="14"/>
  <c r="Q4" i="14" l="1"/>
  <c r="S4" i="14"/>
  <c r="T4" i="14" s="1"/>
  <c r="E4" i="14"/>
  <c r="F4" i="14"/>
  <c r="G4" i="14" l="1"/>
  <c r="D4" i="14" l="1"/>
  <c r="B4" i="14"/>
  <c r="C4" i="14"/>
  <c r="AJ6" i="6" l="1"/>
  <c r="AJ7" i="6"/>
  <c r="AJ8" i="6"/>
  <c r="AJ9" i="6"/>
  <c r="AJ10" i="6"/>
  <c r="AJ11" i="6"/>
  <c r="AJ12" i="6"/>
  <c r="AJ13" i="6"/>
  <c r="AJ14" i="6"/>
  <c r="AJ15" i="6"/>
  <c r="AJ16" i="6"/>
  <c r="AJ17" i="6"/>
  <c r="AJ18" i="6"/>
  <c r="AJ19" i="6"/>
  <c r="AJ20" i="6"/>
  <c r="AJ21" i="6"/>
  <c r="AJ22" i="6"/>
  <c r="AJ23" i="6"/>
  <c r="AJ24" i="6"/>
  <c r="AJ25" i="6"/>
  <c r="AJ26" i="6"/>
  <c r="AJ27" i="6"/>
  <c r="AK6" i="6"/>
  <c r="AK7" i="6"/>
  <c r="AK8" i="6"/>
  <c r="AK9" i="6"/>
  <c r="AK10" i="6"/>
  <c r="AK11" i="6"/>
  <c r="AK12" i="6"/>
  <c r="AK13" i="6"/>
  <c r="AK14" i="6"/>
  <c r="AK15" i="6"/>
  <c r="AK16" i="6"/>
  <c r="AK17" i="6"/>
  <c r="AK18" i="6"/>
  <c r="AK19" i="6"/>
  <c r="AK20" i="6"/>
  <c r="AK21" i="6"/>
  <c r="AK22" i="6"/>
  <c r="AK23" i="6"/>
  <c r="AK24" i="6"/>
  <c r="AK25" i="6"/>
  <c r="AK26" i="6"/>
  <c r="AK27" i="6"/>
  <c r="AM6" i="6"/>
  <c r="AM7" i="6"/>
  <c r="AM8" i="6"/>
  <c r="AM9" i="6"/>
  <c r="AM10" i="6"/>
  <c r="AM11" i="6"/>
  <c r="AM12" i="6"/>
  <c r="AM13" i="6"/>
  <c r="AM14" i="6"/>
  <c r="AM15" i="6"/>
  <c r="AM16" i="6"/>
  <c r="AM17" i="6"/>
  <c r="AM18" i="6"/>
  <c r="AM19" i="6"/>
  <c r="AM20" i="6"/>
  <c r="AM21" i="6"/>
  <c r="AM22" i="6"/>
  <c r="AM23" i="6"/>
  <c r="AM24" i="6"/>
  <c r="AM25" i="6"/>
  <c r="AM26" i="6"/>
  <c r="AM27" i="6"/>
  <c r="AM5" i="6"/>
  <c r="AL6" i="6"/>
  <c r="AL7" i="6"/>
  <c r="AL8" i="6"/>
  <c r="AL9" i="6"/>
  <c r="AL10" i="6"/>
  <c r="AL11" i="6"/>
  <c r="AL12" i="6"/>
  <c r="AL13" i="6"/>
  <c r="AL14" i="6"/>
  <c r="AL15" i="6"/>
  <c r="AL16" i="6"/>
  <c r="AL17" i="6"/>
  <c r="AL18" i="6"/>
  <c r="AL19" i="6"/>
  <c r="AL20" i="6"/>
  <c r="AL21" i="6"/>
  <c r="AL22" i="6"/>
  <c r="AL23" i="6"/>
  <c r="AL24" i="6"/>
  <c r="AL25" i="6"/>
  <c r="AL26" i="6"/>
  <c r="AL27" i="6"/>
  <c r="AL5" i="6"/>
  <c r="AC27" i="7"/>
  <c r="AA27" i="7"/>
  <c r="AC26" i="7"/>
  <c r="AA26" i="7"/>
  <c r="AC25" i="7"/>
  <c r="AA25" i="7"/>
  <c r="AC24" i="7"/>
  <c r="AA24" i="7"/>
  <c r="AC23" i="7"/>
  <c r="AA23" i="7"/>
  <c r="AC22" i="7"/>
  <c r="AA22" i="7"/>
  <c r="AC21" i="7"/>
  <c r="AA21" i="7"/>
  <c r="AC20" i="7"/>
  <c r="AA20" i="7"/>
  <c r="AC19" i="7"/>
  <c r="AA19" i="7"/>
  <c r="AC18" i="7"/>
  <c r="AA18" i="7"/>
  <c r="AC17" i="7"/>
  <c r="AA17" i="7"/>
  <c r="AC16" i="7"/>
  <c r="AA16" i="7"/>
  <c r="AC15" i="7"/>
  <c r="AA15" i="7"/>
  <c r="AC14" i="7"/>
  <c r="AA14" i="7"/>
  <c r="AC13" i="7"/>
  <c r="AA13" i="7"/>
  <c r="AC12" i="7"/>
  <c r="AA12" i="7"/>
  <c r="AC11" i="7"/>
  <c r="AA11" i="7"/>
  <c r="AC10" i="7"/>
  <c r="AA10" i="7"/>
  <c r="AC9" i="7"/>
  <c r="AA9" i="7"/>
  <c r="AC8" i="7"/>
  <c r="AA8" i="7"/>
  <c r="AC7" i="7"/>
  <c r="AA7" i="7"/>
  <c r="AC6" i="7"/>
  <c r="AA6" i="7"/>
  <c r="AC5" i="7"/>
  <c r="AA5" i="7"/>
  <c r="AC27" i="5"/>
  <c r="AA27" i="5"/>
  <c r="AC26" i="5"/>
  <c r="AA26" i="5"/>
  <c r="AC25" i="5"/>
  <c r="AA25" i="5"/>
  <c r="AC24" i="5"/>
  <c r="AA24" i="5"/>
  <c r="AC23" i="5"/>
  <c r="AA23" i="5"/>
  <c r="AC22" i="5"/>
  <c r="AA22" i="5"/>
  <c r="AC21" i="5"/>
  <c r="AA21" i="5"/>
  <c r="AC20" i="5"/>
  <c r="AA20" i="5"/>
  <c r="AC19" i="5"/>
  <c r="AA19" i="5"/>
  <c r="AC18" i="5"/>
  <c r="AA18" i="5"/>
  <c r="AC17" i="5"/>
  <c r="AA17" i="5"/>
  <c r="AC16" i="5"/>
  <c r="AA16" i="5"/>
  <c r="AC15" i="5"/>
  <c r="AA15" i="5"/>
  <c r="AC14" i="5"/>
  <c r="AA14" i="5"/>
  <c r="AC13" i="5"/>
  <c r="AA13" i="5"/>
  <c r="AC12" i="5"/>
  <c r="AA12" i="5"/>
  <c r="AC11" i="5"/>
  <c r="AA11" i="5"/>
  <c r="AC10" i="5"/>
  <c r="AA10" i="5"/>
  <c r="AC9" i="5"/>
  <c r="AA9" i="5"/>
  <c r="AC8" i="5"/>
  <c r="AA8" i="5"/>
  <c r="AC7" i="5"/>
  <c r="AA7" i="5"/>
  <c r="AC6" i="5"/>
  <c r="AA6" i="5"/>
  <c r="AC5" i="5"/>
  <c r="AA5" i="5"/>
  <c r="AK5" i="10"/>
  <c r="AJ5" i="10"/>
  <c r="AM5" i="10"/>
  <c r="AJ5" i="6"/>
  <c r="F32" i="13"/>
  <c r="C3" i="7"/>
  <c r="C21" i="13"/>
  <c r="C9" i="13"/>
  <c r="C20" i="13"/>
  <c r="C17" i="13"/>
  <c r="C3" i="13"/>
  <c r="C23" i="13"/>
  <c r="C4" i="13"/>
  <c r="C6" i="13"/>
  <c r="C15" i="13"/>
  <c r="C2" i="13"/>
  <c r="C7" i="13"/>
  <c r="C13" i="13"/>
  <c r="C14" i="13"/>
  <c r="C19" i="13"/>
  <c r="C11" i="13"/>
  <c r="C12" i="13"/>
  <c r="C5" i="13"/>
  <c r="C8" i="13"/>
  <c r="C10" i="13"/>
  <c r="C24" i="13"/>
  <c r="C18" i="13"/>
  <c r="C22" i="13"/>
  <c r="C16" i="13"/>
  <c r="A21" i="13" l="1"/>
  <c r="A9" i="13"/>
  <c r="A20" i="13"/>
  <c r="A17" i="13"/>
  <c r="A3" i="13"/>
  <c r="A23" i="13"/>
  <c r="A4" i="13"/>
  <c r="A6" i="13"/>
  <c r="A15" i="13"/>
  <c r="A2" i="13"/>
  <c r="A7" i="13"/>
  <c r="A13" i="13"/>
  <c r="A14" i="13"/>
  <c r="A19" i="13"/>
  <c r="A11" i="13"/>
  <c r="A12" i="13"/>
  <c r="A5" i="13"/>
  <c r="A8" i="13"/>
  <c r="A10" i="13"/>
  <c r="A24" i="13"/>
  <c r="A18" i="13"/>
  <c r="A22" i="13"/>
  <c r="A16" i="13"/>
  <c r="B3" i="6"/>
  <c r="C3" i="6"/>
  <c r="F3" i="6"/>
  <c r="G3" i="6"/>
  <c r="J3" i="6"/>
  <c r="K3" i="6"/>
  <c r="N3" i="6"/>
  <c r="O3" i="6"/>
  <c r="R3" i="6"/>
  <c r="S3" i="6"/>
  <c r="V3" i="6"/>
  <c r="W3" i="6"/>
  <c r="AA10" i="1"/>
  <c r="AW14" i="6"/>
  <c r="D8" i="6" l="1"/>
  <c r="D16" i="6"/>
  <c r="D24" i="6"/>
  <c r="D10" i="6"/>
  <c r="D26" i="6"/>
  <c r="D13" i="6"/>
  <c r="D14" i="6"/>
  <c r="D23" i="6"/>
  <c r="D9" i="6"/>
  <c r="D17" i="6"/>
  <c r="D25" i="6"/>
  <c r="D18" i="6"/>
  <c r="D21" i="6"/>
  <c r="D22" i="6"/>
  <c r="D7" i="6"/>
  <c r="D11" i="6"/>
  <c r="D19" i="6"/>
  <c r="D27" i="6"/>
  <c r="D12" i="6"/>
  <c r="D20" i="6"/>
  <c r="D5" i="6"/>
  <c r="D6" i="6"/>
  <c r="D15" i="6"/>
  <c r="X8" i="6"/>
  <c r="X16" i="6"/>
  <c r="X24" i="6"/>
  <c r="X18" i="6"/>
  <c r="X21" i="6"/>
  <c r="X22" i="6"/>
  <c r="X7" i="6"/>
  <c r="X9" i="6"/>
  <c r="X17" i="6"/>
  <c r="X25" i="6"/>
  <c r="X10" i="6"/>
  <c r="X26" i="6"/>
  <c r="X6" i="6"/>
  <c r="X23" i="6"/>
  <c r="X11" i="6"/>
  <c r="X19" i="6"/>
  <c r="X27" i="6"/>
  <c r="X12" i="6"/>
  <c r="X20" i="6"/>
  <c r="X5" i="6"/>
  <c r="X13" i="6"/>
  <c r="X14" i="6"/>
  <c r="X15" i="6"/>
  <c r="T9" i="6"/>
  <c r="T17" i="6"/>
  <c r="T25" i="6"/>
  <c r="T10" i="6"/>
  <c r="T18" i="6"/>
  <c r="T26" i="6"/>
  <c r="T12" i="6"/>
  <c r="T20" i="6"/>
  <c r="T21" i="6"/>
  <c r="T14" i="6"/>
  <c r="T11" i="6"/>
  <c r="T19" i="6"/>
  <c r="T27" i="6"/>
  <c r="T5" i="6"/>
  <c r="T13" i="6"/>
  <c r="T6" i="6"/>
  <c r="T7" i="6"/>
  <c r="T15" i="6"/>
  <c r="T23" i="6"/>
  <c r="T8" i="6"/>
  <c r="T16" i="6"/>
  <c r="T24" i="6"/>
  <c r="T22" i="6"/>
  <c r="P13" i="6"/>
  <c r="P21" i="6"/>
  <c r="P6" i="6"/>
  <c r="P14" i="6"/>
  <c r="P22" i="6"/>
  <c r="P15" i="6"/>
  <c r="P8" i="6"/>
  <c r="P16" i="6"/>
  <c r="P24" i="6"/>
  <c r="P9" i="6"/>
  <c r="P17" i="6"/>
  <c r="P25" i="6"/>
  <c r="P10" i="6"/>
  <c r="P18" i="6"/>
  <c r="P26" i="6"/>
  <c r="P11" i="6"/>
  <c r="P19" i="6"/>
  <c r="P27" i="6"/>
  <c r="P12" i="6"/>
  <c r="P20" i="6"/>
  <c r="P5" i="6"/>
  <c r="P7" i="6"/>
  <c r="P23" i="6"/>
  <c r="L6" i="6"/>
  <c r="L14" i="6"/>
  <c r="L22" i="6"/>
  <c r="L7" i="6"/>
  <c r="L15" i="6"/>
  <c r="L23" i="6"/>
  <c r="L8" i="6"/>
  <c r="L16" i="6"/>
  <c r="L24" i="6"/>
  <c r="L9" i="6"/>
  <c r="L25" i="6"/>
  <c r="L10" i="6"/>
  <c r="L18" i="6"/>
  <c r="L26" i="6"/>
  <c r="L11" i="6"/>
  <c r="L19" i="6"/>
  <c r="L27" i="6"/>
  <c r="L12" i="6"/>
  <c r="L20" i="6"/>
  <c r="L5" i="6"/>
  <c r="L13" i="6"/>
  <c r="L21" i="6"/>
  <c r="L17" i="6"/>
  <c r="H6" i="6"/>
  <c r="H14" i="6"/>
  <c r="H22" i="6"/>
  <c r="H15" i="6"/>
  <c r="H23" i="6"/>
  <c r="H16" i="6"/>
  <c r="H24" i="6"/>
  <c r="H9" i="6"/>
  <c r="H7" i="6"/>
  <c r="H25" i="6"/>
  <c r="H10" i="6"/>
  <c r="H18" i="6"/>
  <c r="H26" i="6"/>
  <c r="H11" i="6"/>
  <c r="H19" i="6"/>
  <c r="H27" i="6"/>
  <c r="H12" i="6"/>
  <c r="H20" i="6"/>
  <c r="H5" i="6"/>
  <c r="H13" i="6"/>
  <c r="H21" i="6"/>
  <c r="H8" i="6"/>
  <c r="H17" i="6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5" i="10"/>
  <c r="A5" i="9"/>
  <c r="A5" i="8"/>
  <c r="A5" i="7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5" i="5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5" i="6"/>
  <c r="AM6" i="10"/>
  <c r="AM7" i="10"/>
  <c r="AM8" i="10"/>
  <c r="AM9" i="10"/>
  <c r="AM10" i="10"/>
  <c r="AM11" i="10"/>
  <c r="AM12" i="10"/>
  <c r="AM13" i="10"/>
  <c r="AM14" i="10"/>
  <c r="AM15" i="10"/>
  <c r="AM16" i="10"/>
  <c r="AM17" i="10"/>
  <c r="AM18" i="10"/>
  <c r="AM19" i="10"/>
  <c r="AM20" i="10"/>
  <c r="AM21" i="10"/>
  <c r="AM22" i="10"/>
  <c r="AM23" i="10"/>
  <c r="AM24" i="10"/>
  <c r="AM25" i="10"/>
  <c r="AM26" i="10"/>
  <c r="AM27" i="10"/>
  <c r="AL6" i="10"/>
  <c r="AL7" i="10"/>
  <c r="AL8" i="10"/>
  <c r="AL9" i="10"/>
  <c r="AL10" i="10"/>
  <c r="AL11" i="10"/>
  <c r="AL12" i="10"/>
  <c r="AL13" i="10"/>
  <c r="AL14" i="10"/>
  <c r="AL15" i="10"/>
  <c r="AL16" i="10"/>
  <c r="AL17" i="10"/>
  <c r="AL18" i="10"/>
  <c r="AL19" i="10"/>
  <c r="AL20" i="10"/>
  <c r="AL21" i="10"/>
  <c r="AL22" i="10"/>
  <c r="AL23" i="10"/>
  <c r="AL24" i="10"/>
  <c r="AL25" i="10"/>
  <c r="AL26" i="10"/>
  <c r="AL27" i="10"/>
  <c r="AL5" i="10"/>
  <c r="AK6" i="10"/>
  <c r="AK7" i="10"/>
  <c r="AK8" i="10"/>
  <c r="AK9" i="10"/>
  <c r="AK10" i="10"/>
  <c r="AK11" i="10"/>
  <c r="AK12" i="10"/>
  <c r="AK13" i="10"/>
  <c r="AK14" i="10"/>
  <c r="AK15" i="10"/>
  <c r="AK16" i="10"/>
  <c r="AK17" i="10"/>
  <c r="AK18" i="10"/>
  <c r="AK19" i="10"/>
  <c r="AK20" i="10"/>
  <c r="AK21" i="10"/>
  <c r="AK22" i="10"/>
  <c r="AK23" i="10"/>
  <c r="AK24" i="10"/>
  <c r="AK25" i="10"/>
  <c r="AK26" i="10"/>
  <c r="AK27" i="10"/>
  <c r="AJ6" i="10"/>
  <c r="AJ7" i="10"/>
  <c r="AJ8" i="10"/>
  <c r="AJ9" i="10"/>
  <c r="AJ10" i="10"/>
  <c r="AJ11" i="10"/>
  <c r="AJ12" i="10"/>
  <c r="AJ13" i="10"/>
  <c r="AJ14" i="10"/>
  <c r="AJ15" i="10"/>
  <c r="AJ16" i="10"/>
  <c r="AJ17" i="10"/>
  <c r="AJ18" i="10"/>
  <c r="AJ19" i="10"/>
  <c r="AJ20" i="10"/>
  <c r="AJ21" i="10"/>
  <c r="AJ22" i="10"/>
  <c r="AJ23" i="10"/>
  <c r="AJ24" i="10"/>
  <c r="AJ25" i="10"/>
  <c r="AJ26" i="10"/>
  <c r="AJ27" i="10"/>
  <c r="W3" i="10"/>
  <c r="V3" i="10"/>
  <c r="S3" i="10"/>
  <c r="R3" i="10"/>
  <c r="O3" i="10"/>
  <c r="N3" i="10"/>
  <c r="K3" i="10"/>
  <c r="J3" i="10"/>
  <c r="G3" i="10"/>
  <c r="F3" i="10"/>
  <c r="C3" i="10"/>
  <c r="B3" i="10"/>
  <c r="AJ6" i="9"/>
  <c r="AK6" i="9"/>
  <c r="AL6" i="9"/>
  <c r="AM6" i="9"/>
  <c r="AJ7" i="9"/>
  <c r="AK7" i="9"/>
  <c r="AL7" i="9"/>
  <c r="AM7" i="9"/>
  <c r="AJ8" i="9"/>
  <c r="AK8" i="9"/>
  <c r="AL8" i="9"/>
  <c r="AM8" i="9"/>
  <c r="AJ9" i="9"/>
  <c r="AK9" i="9"/>
  <c r="AL9" i="9"/>
  <c r="AM9" i="9"/>
  <c r="AJ10" i="9"/>
  <c r="AK10" i="9"/>
  <c r="AL10" i="9"/>
  <c r="AM10" i="9"/>
  <c r="AJ11" i="9"/>
  <c r="AK11" i="9"/>
  <c r="AL11" i="9"/>
  <c r="AM11" i="9"/>
  <c r="AJ12" i="9"/>
  <c r="AK12" i="9"/>
  <c r="AL12" i="9"/>
  <c r="AM12" i="9"/>
  <c r="AJ13" i="9"/>
  <c r="AK13" i="9"/>
  <c r="AL13" i="9"/>
  <c r="AM13" i="9"/>
  <c r="AJ14" i="9"/>
  <c r="AK14" i="9"/>
  <c r="AL14" i="9"/>
  <c r="AM14" i="9"/>
  <c r="AJ15" i="9"/>
  <c r="AK15" i="9"/>
  <c r="AL15" i="9"/>
  <c r="AM15" i="9"/>
  <c r="AJ16" i="9"/>
  <c r="AK16" i="9"/>
  <c r="AL16" i="9"/>
  <c r="AM16" i="9"/>
  <c r="AJ17" i="9"/>
  <c r="AK17" i="9"/>
  <c r="AL17" i="9"/>
  <c r="AM17" i="9"/>
  <c r="AJ18" i="9"/>
  <c r="AK18" i="9"/>
  <c r="AL18" i="9"/>
  <c r="AM18" i="9"/>
  <c r="AJ19" i="9"/>
  <c r="AK19" i="9"/>
  <c r="AL19" i="9"/>
  <c r="AM19" i="9"/>
  <c r="AJ20" i="9"/>
  <c r="AK20" i="9"/>
  <c r="AL20" i="9"/>
  <c r="AM20" i="9"/>
  <c r="AJ21" i="9"/>
  <c r="AK21" i="9"/>
  <c r="AL21" i="9"/>
  <c r="AM21" i="9"/>
  <c r="AJ22" i="9"/>
  <c r="AK22" i="9"/>
  <c r="AL22" i="9"/>
  <c r="AM22" i="9"/>
  <c r="AJ23" i="9"/>
  <c r="AK23" i="9"/>
  <c r="AL23" i="9"/>
  <c r="AM23" i="9"/>
  <c r="AJ24" i="9"/>
  <c r="AK24" i="9"/>
  <c r="AL24" i="9"/>
  <c r="AM24" i="9"/>
  <c r="AJ25" i="9"/>
  <c r="AK25" i="9"/>
  <c r="AL25" i="9"/>
  <c r="AM25" i="9"/>
  <c r="AJ26" i="9"/>
  <c r="AK26" i="9"/>
  <c r="AL26" i="9"/>
  <c r="AM26" i="9"/>
  <c r="AJ27" i="9"/>
  <c r="AK27" i="9"/>
  <c r="AL27" i="9"/>
  <c r="AM27" i="9"/>
  <c r="W3" i="9"/>
  <c r="V3" i="9"/>
  <c r="S3" i="9"/>
  <c r="R3" i="9"/>
  <c r="O3" i="9"/>
  <c r="N3" i="9"/>
  <c r="K3" i="9"/>
  <c r="J3" i="9"/>
  <c r="G3" i="9"/>
  <c r="F3" i="9"/>
  <c r="C3" i="9"/>
  <c r="B3" i="9"/>
  <c r="AM5" i="9"/>
  <c r="AL5" i="9"/>
  <c r="AK5" i="9"/>
  <c r="AJ5" i="9"/>
  <c r="AJ6" i="8"/>
  <c r="AJ7" i="8"/>
  <c r="AJ8" i="8"/>
  <c r="AJ9" i="8"/>
  <c r="AJ10" i="8"/>
  <c r="AJ11" i="8"/>
  <c r="AJ12" i="8"/>
  <c r="AJ13" i="8"/>
  <c r="AJ14" i="8"/>
  <c r="AJ15" i="8"/>
  <c r="AJ16" i="8"/>
  <c r="AJ17" i="8"/>
  <c r="AJ18" i="8"/>
  <c r="AJ19" i="8"/>
  <c r="AJ20" i="8"/>
  <c r="AJ21" i="8"/>
  <c r="AJ22" i="8"/>
  <c r="AJ23" i="8"/>
  <c r="AJ24" i="8"/>
  <c r="AJ25" i="8"/>
  <c r="AJ26" i="8"/>
  <c r="AJ27" i="8"/>
  <c r="AK6" i="8"/>
  <c r="AK7" i="8"/>
  <c r="AK8" i="8"/>
  <c r="AK9" i="8"/>
  <c r="AK10" i="8"/>
  <c r="AK11" i="8"/>
  <c r="AK12" i="8"/>
  <c r="AK13" i="8"/>
  <c r="AK14" i="8"/>
  <c r="AK15" i="8"/>
  <c r="AK16" i="8"/>
  <c r="AK17" i="8"/>
  <c r="AK18" i="8"/>
  <c r="AK19" i="8"/>
  <c r="AK20" i="8"/>
  <c r="AK21" i="8"/>
  <c r="AK22" i="8"/>
  <c r="AK23" i="8"/>
  <c r="AK24" i="8"/>
  <c r="AK25" i="8"/>
  <c r="AK26" i="8"/>
  <c r="AK27" i="8"/>
  <c r="AL6" i="8"/>
  <c r="AL7" i="8"/>
  <c r="AL8" i="8"/>
  <c r="AL9" i="8"/>
  <c r="AL10" i="8"/>
  <c r="AL11" i="8"/>
  <c r="AL12" i="8"/>
  <c r="AL13" i="8"/>
  <c r="AL14" i="8"/>
  <c r="AL15" i="8"/>
  <c r="AL16" i="8"/>
  <c r="AL17" i="8"/>
  <c r="AL18" i="8"/>
  <c r="AL19" i="8"/>
  <c r="AL20" i="8"/>
  <c r="AL21" i="8"/>
  <c r="AL22" i="8"/>
  <c r="AL23" i="8"/>
  <c r="AL24" i="8"/>
  <c r="AL25" i="8"/>
  <c r="AL26" i="8"/>
  <c r="AL27" i="8"/>
  <c r="AM6" i="8"/>
  <c r="AM7" i="8"/>
  <c r="AM8" i="8"/>
  <c r="AM9" i="8"/>
  <c r="AM10" i="8"/>
  <c r="AM11" i="8"/>
  <c r="AM12" i="8"/>
  <c r="AM13" i="8"/>
  <c r="AM14" i="8"/>
  <c r="AM15" i="8"/>
  <c r="AM16" i="8"/>
  <c r="AM17" i="8"/>
  <c r="AM18" i="8"/>
  <c r="AM19" i="8"/>
  <c r="AM20" i="8"/>
  <c r="AM21" i="8"/>
  <c r="AM22" i="8"/>
  <c r="AM23" i="8"/>
  <c r="AM24" i="8"/>
  <c r="AM25" i="8"/>
  <c r="AM26" i="8"/>
  <c r="AM27" i="8"/>
  <c r="AL5" i="8"/>
  <c r="AJ5" i="8"/>
  <c r="W3" i="8"/>
  <c r="V3" i="8"/>
  <c r="S3" i="8"/>
  <c r="R3" i="8"/>
  <c r="O3" i="8"/>
  <c r="N3" i="8"/>
  <c r="K3" i="8"/>
  <c r="J3" i="8"/>
  <c r="G3" i="8"/>
  <c r="F3" i="8"/>
  <c r="C3" i="8"/>
  <c r="B3" i="8"/>
  <c r="AM5" i="8"/>
  <c r="AK5" i="8"/>
  <c r="AJ6" i="7"/>
  <c r="AK6" i="7"/>
  <c r="AL6" i="7"/>
  <c r="AM6" i="7"/>
  <c r="AJ7" i="7"/>
  <c r="AK7" i="7"/>
  <c r="AL7" i="7"/>
  <c r="AM7" i="7"/>
  <c r="AJ8" i="7"/>
  <c r="AK8" i="7"/>
  <c r="AL8" i="7"/>
  <c r="AM8" i="7"/>
  <c r="AJ9" i="7"/>
  <c r="AK9" i="7"/>
  <c r="AL9" i="7"/>
  <c r="AM9" i="7"/>
  <c r="AJ10" i="7"/>
  <c r="AK10" i="7"/>
  <c r="AL10" i="7"/>
  <c r="AM10" i="7"/>
  <c r="AJ11" i="7"/>
  <c r="AK11" i="7"/>
  <c r="AL11" i="7"/>
  <c r="AM11" i="7"/>
  <c r="AJ12" i="7"/>
  <c r="AK12" i="7"/>
  <c r="AL12" i="7"/>
  <c r="AM12" i="7"/>
  <c r="AJ13" i="7"/>
  <c r="AK13" i="7"/>
  <c r="AL13" i="7"/>
  <c r="AM13" i="7"/>
  <c r="AJ14" i="7"/>
  <c r="AK14" i="7"/>
  <c r="AL14" i="7"/>
  <c r="AM14" i="7"/>
  <c r="AJ15" i="7"/>
  <c r="AK15" i="7"/>
  <c r="AL15" i="7"/>
  <c r="AM15" i="7"/>
  <c r="AJ16" i="7"/>
  <c r="AK16" i="7"/>
  <c r="AL16" i="7"/>
  <c r="AM16" i="7"/>
  <c r="AJ17" i="7"/>
  <c r="AK17" i="7"/>
  <c r="AL17" i="7"/>
  <c r="AM17" i="7"/>
  <c r="AJ18" i="7"/>
  <c r="AK18" i="7"/>
  <c r="AL18" i="7"/>
  <c r="AM18" i="7"/>
  <c r="AJ19" i="7"/>
  <c r="AK19" i="7"/>
  <c r="AL19" i="7"/>
  <c r="AM19" i="7"/>
  <c r="AJ20" i="7"/>
  <c r="AK20" i="7"/>
  <c r="AL20" i="7"/>
  <c r="AM20" i="7"/>
  <c r="AJ21" i="7"/>
  <c r="AK21" i="7"/>
  <c r="AL21" i="7"/>
  <c r="AM21" i="7"/>
  <c r="AJ22" i="7"/>
  <c r="AK22" i="7"/>
  <c r="AL22" i="7"/>
  <c r="AM22" i="7"/>
  <c r="AJ23" i="7"/>
  <c r="AK23" i="7"/>
  <c r="AL23" i="7"/>
  <c r="AM23" i="7"/>
  <c r="AJ24" i="7"/>
  <c r="AK24" i="7"/>
  <c r="AL24" i="7"/>
  <c r="AM24" i="7"/>
  <c r="AJ25" i="7"/>
  <c r="AK25" i="7"/>
  <c r="AL25" i="7"/>
  <c r="AM25" i="7"/>
  <c r="AJ26" i="7"/>
  <c r="AK26" i="7"/>
  <c r="AL26" i="7"/>
  <c r="AM26" i="7"/>
  <c r="AJ27" i="7"/>
  <c r="AK27" i="7"/>
  <c r="AL27" i="7"/>
  <c r="AM27" i="7"/>
  <c r="AM5" i="7"/>
  <c r="AL5" i="7"/>
  <c r="AK5" i="7"/>
  <c r="AJ5" i="7"/>
  <c r="W3" i="7"/>
  <c r="V3" i="7"/>
  <c r="S3" i="7"/>
  <c r="R3" i="7"/>
  <c r="O3" i="7"/>
  <c r="N3" i="7"/>
  <c r="K3" i="7"/>
  <c r="J3" i="7"/>
  <c r="G3" i="7"/>
  <c r="F3" i="7"/>
  <c r="B3" i="7"/>
  <c r="AK6" i="5"/>
  <c r="AL6" i="5"/>
  <c r="AM6" i="5"/>
  <c r="AK7" i="5"/>
  <c r="AL7" i="5"/>
  <c r="AM7" i="5"/>
  <c r="AK8" i="5"/>
  <c r="AL8" i="5"/>
  <c r="AM8" i="5"/>
  <c r="AK9" i="5"/>
  <c r="AL9" i="5"/>
  <c r="AM9" i="5"/>
  <c r="AK10" i="5"/>
  <c r="AL10" i="5"/>
  <c r="AM10" i="5"/>
  <c r="AK11" i="5"/>
  <c r="AL11" i="5"/>
  <c r="AM11" i="5"/>
  <c r="AK12" i="5"/>
  <c r="AL12" i="5"/>
  <c r="AM12" i="5"/>
  <c r="AK13" i="5"/>
  <c r="AL13" i="5"/>
  <c r="AM13" i="5"/>
  <c r="AK14" i="5"/>
  <c r="AL14" i="5"/>
  <c r="AM14" i="5"/>
  <c r="AK15" i="5"/>
  <c r="AL15" i="5"/>
  <c r="AM15" i="5"/>
  <c r="AK16" i="5"/>
  <c r="AL16" i="5"/>
  <c r="AM16" i="5"/>
  <c r="AK17" i="5"/>
  <c r="AL17" i="5"/>
  <c r="AM17" i="5"/>
  <c r="AK18" i="5"/>
  <c r="AL18" i="5"/>
  <c r="AM18" i="5"/>
  <c r="AK19" i="5"/>
  <c r="AL19" i="5"/>
  <c r="AM19" i="5"/>
  <c r="AK20" i="5"/>
  <c r="AL20" i="5"/>
  <c r="AM20" i="5"/>
  <c r="AK21" i="5"/>
  <c r="AL21" i="5"/>
  <c r="AM21" i="5"/>
  <c r="AK22" i="5"/>
  <c r="AL22" i="5"/>
  <c r="AM22" i="5"/>
  <c r="AK23" i="5"/>
  <c r="AL23" i="5"/>
  <c r="AM23" i="5"/>
  <c r="AK24" i="5"/>
  <c r="AL24" i="5"/>
  <c r="AM24" i="5"/>
  <c r="AK25" i="5"/>
  <c r="AL25" i="5"/>
  <c r="AM25" i="5"/>
  <c r="AK26" i="5"/>
  <c r="AL26" i="5"/>
  <c r="AM26" i="5"/>
  <c r="AK27" i="5"/>
  <c r="AL27" i="5"/>
  <c r="AM27" i="5"/>
  <c r="AM5" i="5"/>
  <c r="AL5" i="5"/>
  <c r="AK5" i="5"/>
  <c r="AJ6" i="5"/>
  <c r="AJ7" i="5"/>
  <c r="AJ8" i="5"/>
  <c r="AJ9" i="5"/>
  <c r="AJ10" i="5"/>
  <c r="AJ11" i="5"/>
  <c r="AJ12" i="5"/>
  <c r="AJ13" i="5"/>
  <c r="AJ14" i="5"/>
  <c r="AJ15" i="5"/>
  <c r="AJ16" i="5"/>
  <c r="AJ17" i="5"/>
  <c r="AJ18" i="5"/>
  <c r="AJ19" i="5"/>
  <c r="AJ20" i="5"/>
  <c r="AJ21" i="5"/>
  <c r="AJ22" i="5"/>
  <c r="AJ23" i="5"/>
  <c r="AJ24" i="5"/>
  <c r="AJ25" i="5"/>
  <c r="AJ26" i="5"/>
  <c r="AJ27" i="5"/>
  <c r="AJ5" i="5"/>
  <c r="W3" i="5"/>
  <c r="V3" i="5"/>
  <c r="S3" i="5"/>
  <c r="R3" i="5"/>
  <c r="O3" i="5"/>
  <c r="N3" i="5"/>
  <c r="K3" i="5"/>
  <c r="J3" i="5"/>
  <c r="G3" i="5"/>
  <c r="F3" i="5"/>
  <c r="C3" i="5"/>
  <c r="B3" i="5"/>
  <c r="X27" i="10" l="1"/>
  <c r="X19" i="10"/>
  <c r="X17" i="10"/>
  <c r="X16" i="10"/>
  <c r="X23" i="10"/>
  <c r="X15" i="10"/>
  <c r="X7" i="10"/>
  <c r="X22" i="10"/>
  <c r="X14" i="10"/>
  <c r="X6" i="10"/>
  <c r="X21" i="10"/>
  <c r="X13" i="10"/>
  <c r="X5" i="10"/>
  <c r="X20" i="10"/>
  <c r="X12" i="10"/>
  <c r="X11" i="10"/>
  <c r="X26" i="10"/>
  <c r="X18" i="10"/>
  <c r="X10" i="10"/>
  <c r="X25" i="10"/>
  <c r="X9" i="10"/>
  <c r="X24" i="10"/>
  <c r="X8" i="10"/>
  <c r="T10" i="10"/>
  <c r="T17" i="10"/>
  <c r="T24" i="10"/>
  <c r="T8" i="10"/>
  <c r="T23" i="10"/>
  <c r="T7" i="10"/>
  <c r="T22" i="10"/>
  <c r="T14" i="10"/>
  <c r="T6" i="10"/>
  <c r="T21" i="10"/>
  <c r="T13" i="10"/>
  <c r="T5" i="10"/>
  <c r="T20" i="10"/>
  <c r="T12" i="10"/>
  <c r="T27" i="10"/>
  <c r="T19" i="10"/>
  <c r="T11" i="10"/>
  <c r="T26" i="10"/>
  <c r="T18" i="10"/>
  <c r="T25" i="10"/>
  <c r="T9" i="10"/>
  <c r="T16" i="10"/>
  <c r="T15" i="10"/>
  <c r="T23" i="9"/>
  <c r="T15" i="9"/>
  <c r="T7" i="9"/>
  <c r="T22" i="9"/>
  <c r="T14" i="9"/>
  <c r="T6" i="9"/>
  <c r="T21" i="9"/>
  <c r="T13" i="9"/>
  <c r="T5" i="9"/>
  <c r="T20" i="9"/>
  <c r="T12" i="9"/>
  <c r="T27" i="9"/>
  <c r="T19" i="9"/>
  <c r="T11" i="9"/>
  <c r="T26" i="9"/>
  <c r="T18" i="9"/>
  <c r="T10" i="9"/>
  <c r="T25" i="9"/>
  <c r="T17" i="9"/>
  <c r="T9" i="9"/>
  <c r="T24" i="9"/>
  <c r="T16" i="9"/>
  <c r="T8" i="9"/>
  <c r="X25" i="9"/>
  <c r="X17" i="9"/>
  <c r="X9" i="9"/>
  <c r="X24" i="9"/>
  <c r="X16" i="9"/>
  <c r="X8" i="9"/>
  <c r="X23" i="9"/>
  <c r="X15" i="9"/>
  <c r="X7" i="9"/>
  <c r="X22" i="9"/>
  <c r="X14" i="9"/>
  <c r="X6" i="9"/>
  <c r="X21" i="9"/>
  <c r="X13" i="9"/>
  <c r="X5" i="9"/>
  <c r="X20" i="9"/>
  <c r="X12" i="9"/>
  <c r="X27" i="9"/>
  <c r="X19" i="9"/>
  <c r="X11" i="9"/>
  <c r="X26" i="9"/>
  <c r="X18" i="9"/>
  <c r="X10" i="9"/>
  <c r="X25" i="8"/>
  <c r="X24" i="8"/>
  <c r="X16" i="8"/>
  <c r="X8" i="8"/>
  <c r="X14" i="8"/>
  <c r="X21" i="8"/>
  <c r="X10" i="8"/>
  <c r="X9" i="8"/>
  <c r="X23" i="8"/>
  <c r="X15" i="8"/>
  <c r="X7" i="8"/>
  <c r="X22" i="8"/>
  <c r="X6" i="8"/>
  <c r="X13" i="8"/>
  <c r="X5" i="8"/>
  <c r="X17" i="8"/>
  <c r="X20" i="8"/>
  <c r="X12" i="8"/>
  <c r="X27" i="8"/>
  <c r="X19" i="8"/>
  <c r="X11" i="8"/>
  <c r="X26" i="8"/>
  <c r="X18" i="8"/>
  <c r="T21" i="8"/>
  <c r="T13" i="8"/>
  <c r="T5" i="8"/>
  <c r="T20" i="8"/>
  <c r="T12" i="8"/>
  <c r="T25" i="8"/>
  <c r="T24" i="8"/>
  <c r="T15" i="8"/>
  <c r="T22" i="8"/>
  <c r="T27" i="8"/>
  <c r="T19" i="8"/>
  <c r="T11" i="8"/>
  <c r="T26" i="8"/>
  <c r="T18" i="8"/>
  <c r="T10" i="8"/>
  <c r="T17" i="8"/>
  <c r="T9" i="8"/>
  <c r="T16" i="8"/>
  <c r="T8" i="8"/>
  <c r="T23" i="8"/>
  <c r="T7" i="8"/>
  <c r="T14" i="8"/>
  <c r="T6" i="8"/>
  <c r="X26" i="7"/>
  <c r="X18" i="7"/>
  <c r="X10" i="7"/>
  <c r="X24" i="7"/>
  <c r="X8" i="7"/>
  <c r="X21" i="7"/>
  <c r="X11" i="7"/>
  <c r="X25" i="7"/>
  <c r="X17" i="7"/>
  <c r="X9" i="7"/>
  <c r="X16" i="7"/>
  <c r="X13" i="7"/>
  <c r="X20" i="7"/>
  <c r="X19" i="7"/>
  <c r="X23" i="7"/>
  <c r="X15" i="7"/>
  <c r="X7" i="7"/>
  <c r="X22" i="7"/>
  <c r="X14" i="7"/>
  <c r="X6" i="7"/>
  <c r="X5" i="7"/>
  <c r="X12" i="7"/>
  <c r="X27" i="7"/>
  <c r="T22" i="7"/>
  <c r="T14" i="7"/>
  <c r="T6" i="7"/>
  <c r="T12" i="7"/>
  <c r="T17" i="7"/>
  <c r="T16" i="7"/>
  <c r="T7" i="7"/>
  <c r="T21" i="7"/>
  <c r="T13" i="7"/>
  <c r="T5" i="7"/>
  <c r="T20" i="7"/>
  <c r="T9" i="7"/>
  <c r="T24" i="7"/>
  <c r="T23" i="7"/>
  <c r="T27" i="7"/>
  <c r="T19" i="7"/>
  <c r="T11" i="7"/>
  <c r="T26" i="7"/>
  <c r="T18" i="7"/>
  <c r="T10" i="7"/>
  <c r="T25" i="7"/>
  <c r="T8" i="7"/>
  <c r="T15" i="7"/>
  <c r="T26" i="5"/>
  <c r="T18" i="5"/>
  <c r="T10" i="5"/>
  <c r="T27" i="5"/>
  <c r="T25" i="5"/>
  <c r="T17" i="5"/>
  <c r="T9" i="5"/>
  <c r="T24" i="5"/>
  <c r="T8" i="5"/>
  <c r="T12" i="5"/>
  <c r="T16" i="5"/>
  <c r="T19" i="5"/>
  <c r="T23" i="5"/>
  <c r="T15" i="5"/>
  <c r="T7" i="5"/>
  <c r="T22" i="5"/>
  <c r="T14" i="5"/>
  <c r="T6" i="5"/>
  <c r="T21" i="5"/>
  <c r="T13" i="5"/>
  <c r="T5" i="5"/>
  <c r="T20" i="5"/>
  <c r="T11" i="5"/>
  <c r="X23" i="5"/>
  <c r="X15" i="5"/>
  <c r="X7" i="5"/>
  <c r="X17" i="5"/>
  <c r="X8" i="5"/>
  <c r="X22" i="5"/>
  <c r="X14" i="5"/>
  <c r="X6" i="5"/>
  <c r="X13" i="5"/>
  <c r="X5" i="5"/>
  <c r="X16" i="5"/>
  <c r="X21" i="5"/>
  <c r="X20" i="5"/>
  <c r="X12" i="5"/>
  <c r="X27" i="5"/>
  <c r="X19" i="5"/>
  <c r="X11" i="5"/>
  <c r="X26" i="5"/>
  <c r="X18" i="5"/>
  <c r="X10" i="5"/>
  <c r="X25" i="5"/>
  <c r="X9" i="5"/>
  <c r="X24" i="5"/>
  <c r="P27" i="9"/>
  <c r="P19" i="9"/>
  <c r="P11" i="9"/>
  <c r="P10" i="9"/>
  <c r="P17" i="9"/>
  <c r="P12" i="9"/>
  <c r="P26" i="9"/>
  <c r="P18" i="9"/>
  <c r="P25" i="9"/>
  <c r="P9" i="9"/>
  <c r="P24" i="9"/>
  <c r="P16" i="9"/>
  <c r="P8" i="9"/>
  <c r="P23" i="9"/>
  <c r="P15" i="9"/>
  <c r="P7" i="9"/>
  <c r="P22" i="9"/>
  <c r="P14" i="9"/>
  <c r="P6" i="9"/>
  <c r="P21" i="9"/>
  <c r="P13" i="9"/>
  <c r="P5" i="9"/>
  <c r="P20" i="9"/>
  <c r="P25" i="10"/>
  <c r="P17" i="10"/>
  <c r="P9" i="10"/>
  <c r="P14" i="10"/>
  <c r="P26" i="10"/>
  <c r="P24" i="10"/>
  <c r="P16" i="10"/>
  <c r="P8" i="10"/>
  <c r="P23" i="10"/>
  <c r="P15" i="10"/>
  <c r="P7" i="10"/>
  <c r="P22" i="10"/>
  <c r="P6" i="10"/>
  <c r="P18" i="10"/>
  <c r="P21" i="10"/>
  <c r="P13" i="10"/>
  <c r="P5" i="10"/>
  <c r="P20" i="10"/>
  <c r="P12" i="10"/>
  <c r="P27" i="10"/>
  <c r="P19" i="10"/>
  <c r="P11" i="10"/>
  <c r="P10" i="10"/>
  <c r="L25" i="10"/>
  <c r="L17" i="10"/>
  <c r="L9" i="10"/>
  <c r="L24" i="10"/>
  <c r="L16" i="10"/>
  <c r="L8" i="10"/>
  <c r="L23" i="10"/>
  <c r="L15" i="10"/>
  <c r="L7" i="10"/>
  <c r="L22" i="10"/>
  <c r="L14" i="10"/>
  <c r="L6" i="10"/>
  <c r="L21" i="10"/>
  <c r="L13" i="10"/>
  <c r="L5" i="10"/>
  <c r="L20" i="10"/>
  <c r="L12" i="10"/>
  <c r="L27" i="10"/>
  <c r="L19" i="10"/>
  <c r="L11" i="10"/>
  <c r="L26" i="10"/>
  <c r="L18" i="10"/>
  <c r="L10" i="10"/>
  <c r="P24" i="8"/>
  <c r="P16" i="8"/>
  <c r="P8" i="8"/>
  <c r="P23" i="8"/>
  <c r="P15" i="8"/>
  <c r="P7" i="8"/>
  <c r="P22" i="8"/>
  <c r="P14" i="8"/>
  <c r="P6" i="8"/>
  <c r="P21" i="8"/>
  <c r="P20" i="8"/>
  <c r="P12" i="8"/>
  <c r="P19" i="8"/>
  <c r="P11" i="8"/>
  <c r="P26" i="8"/>
  <c r="P18" i="8"/>
  <c r="P10" i="8"/>
  <c r="P25" i="8"/>
  <c r="P9" i="8"/>
  <c r="P13" i="8"/>
  <c r="P27" i="8"/>
  <c r="P17" i="8"/>
  <c r="P5" i="8"/>
  <c r="L26" i="8"/>
  <c r="L18" i="8"/>
  <c r="L10" i="8"/>
  <c r="L17" i="8"/>
  <c r="L16" i="8"/>
  <c r="L25" i="8"/>
  <c r="L9" i="8"/>
  <c r="L8" i="8"/>
  <c r="L23" i="8"/>
  <c r="L15" i="8"/>
  <c r="L7" i="8"/>
  <c r="L22" i="8"/>
  <c r="L14" i="8"/>
  <c r="L6" i="8"/>
  <c r="L21" i="8"/>
  <c r="L13" i="8"/>
  <c r="L5" i="8"/>
  <c r="L20" i="8"/>
  <c r="L12" i="8"/>
  <c r="L27" i="8"/>
  <c r="L19" i="8"/>
  <c r="L11" i="8"/>
  <c r="L24" i="8"/>
  <c r="L22" i="9"/>
  <c r="L14" i="9"/>
  <c r="L6" i="9"/>
  <c r="L20" i="9"/>
  <c r="L12" i="9"/>
  <c r="L19" i="9"/>
  <c r="L11" i="9"/>
  <c r="L26" i="9"/>
  <c r="L18" i="9"/>
  <c r="L10" i="9"/>
  <c r="L25" i="9"/>
  <c r="L17" i="9"/>
  <c r="L9" i="9"/>
  <c r="L24" i="9"/>
  <c r="L16" i="9"/>
  <c r="L8" i="9"/>
  <c r="L21" i="9"/>
  <c r="L13" i="9"/>
  <c r="L5" i="9"/>
  <c r="L27" i="9"/>
  <c r="L23" i="9"/>
  <c r="L15" i="9"/>
  <c r="L7" i="9"/>
  <c r="P22" i="7"/>
  <c r="P14" i="7"/>
  <c r="P6" i="7"/>
  <c r="P12" i="7"/>
  <c r="P19" i="7"/>
  <c r="P11" i="7"/>
  <c r="P26" i="7"/>
  <c r="P17" i="7"/>
  <c r="P16" i="7"/>
  <c r="P23" i="7"/>
  <c r="P21" i="7"/>
  <c r="P13" i="7"/>
  <c r="P5" i="7"/>
  <c r="P20" i="7"/>
  <c r="P27" i="7"/>
  <c r="P18" i="7"/>
  <c r="P10" i="7"/>
  <c r="P25" i="7"/>
  <c r="P9" i="7"/>
  <c r="P24" i="7"/>
  <c r="P8" i="7"/>
  <c r="P15" i="7"/>
  <c r="P7" i="7"/>
  <c r="P23" i="5"/>
  <c r="P15" i="5"/>
  <c r="P7" i="5"/>
  <c r="P22" i="5"/>
  <c r="P14" i="5"/>
  <c r="P6" i="5"/>
  <c r="P21" i="5"/>
  <c r="P13" i="5"/>
  <c r="P5" i="5"/>
  <c r="P20" i="5"/>
  <c r="P12" i="5"/>
  <c r="P27" i="5"/>
  <c r="P19" i="5"/>
  <c r="P11" i="5"/>
  <c r="P24" i="5"/>
  <c r="P8" i="5"/>
  <c r="P26" i="5"/>
  <c r="P18" i="5"/>
  <c r="P10" i="5"/>
  <c r="P25" i="5"/>
  <c r="P17" i="5"/>
  <c r="P9" i="5"/>
  <c r="P16" i="5"/>
  <c r="L22" i="7"/>
  <c r="L14" i="7"/>
  <c r="L6" i="7"/>
  <c r="L25" i="7"/>
  <c r="L17" i="7"/>
  <c r="L9" i="7"/>
  <c r="L24" i="7"/>
  <c r="L16" i="7"/>
  <c r="L8" i="7"/>
  <c r="L23" i="7"/>
  <c r="L15" i="7"/>
  <c r="L7" i="7"/>
  <c r="L21" i="7"/>
  <c r="L13" i="7"/>
  <c r="L5" i="7"/>
  <c r="L20" i="7"/>
  <c r="L12" i="7"/>
  <c r="L19" i="7"/>
  <c r="L11" i="7"/>
  <c r="L26" i="7"/>
  <c r="L18" i="7"/>
  <c r="L10" i="7"/>
  <c r="L27" i="7"/>
  <c r="L23" i="5"/>
  <c r="L15" i="5"/>
  <c r="L7" i="5"/>
  <c r="L14" i="5"/>
  <c r="L6" i="5"/>
  <c r="L5" i="5"/>
  <c r="L27" i="5"/>
  <c r="L19" i="5"/>
  <c r="L11" i="5"/>
  <c r="L26" i="5"/>
  <c r="L18" i="5"/>
  <c r="L10" i="5"/>
  <c r="L17" i="5"/>
  <c r="L9" i="5"/>
  <c r="L16" i="5"/>
  <c r="L8" i="5"/>
  <c r="L22" i="5"/>
  <c r="L21" i="5"/>
  <c r="L13" i="5"/>
  <c r="L20" i="5"/>
  <c r="L12" i="5"/>
  <c r="L25" i="5"/>
  <c r="L24" i="5"/>
  <c r="H21" i="10"/>
  <c r="H13" i="10"/>
  <c r="H5" i="10"/>
  <c r="H27" i="10"/>
  <c r="H11" i="10"/>
  <c r="H16" i="10"/>
  <c r="H23" i="10"/>
  <c r="H6" i="10"/>
  <c r="H20" i="10"/>
  <c r="H12" i="10"/>
  <c r="H19" i="10"/>
  <c r="H24" i="10"/>
  <c r="H15" i="10"/>
  <c r="H14" i="10"/>
  <c r="H26" i="10"/>
  <c r="H18" i="10"/>
  <c r="H10" i="10"/>
  <c r="H25" i="10"/>
  <c r="H17" i="10"/>
  <c r="H9" i="10"/>
  <c r="H8" i="10"/>
  <c r="H7" i="10"/>
  <c r="H22" i="10"/>
  <c r="H26" i="9"/>
  <c r="H18" i="9"/>
  <c r="H10" i="9"/>
  <c r="H25" i="9"/>
  <c r="H17" i="9"/>
  <c r="H9" i="9"/>
  <c r="H24" i="9"/>
  <c r="H16" i="9"/>
  <c r="H8" i="9"/>
  <c r="H23" i="9"/>
  <c r="H15" i="9"/>
  <c r="H7" i="9"/>
  <c r="H22" i="9"/>
  <c r="H14" i="9"/>
  <c r="H6" i="9"/>
  <c r="H21" i="9"/>
  <c r="H13" i="9"/>
  <c r="H5" i="9"/>
  <c r="H20" i="9"/>
  <c r="H12" i="9"/>
  <c r="H27" i="9"/>
  <c r="H19" i="9"/>
  <c r="H11" i="9"/>
  <c r="D21" i="9"/>
  <c r="D13" i="9"/>
  <c r="D5" i="9"/>
  <c r="D20" i="9"/>
  <c r="D12" i="9"/>
  <c r="D27" i="9"/>
  <c r="D19" i="9"/>
  <c r="D11" i="9"/>
  <c r="D26" i="9"/>
  <c r="D18" i="9"/>
  <c r="D10" i="9"/>
  <c r="D25" i="9"/>
  <c r="D17" i="9"/>
  <c r="D9" i="9"/>
  <c r="D24" i="9"/>
  <c r="D16" i="9"/>
  <c r="D8" i="9"/>
  <c r="D23" i="9"/>
  <c r="D15" i="9"/>
  <c r="D7" i="9"/>
  <c r="D22" i="9"/>
  <c r="D14" i="9"/>
  <c r="D6" i="9"/>
  <c r="H23" i="8"/>
  <c r="H15" i="8"/>
  <c r="H7" i="8"/>
  <c r="H27" i="8"/>
  <c r="H18" i="8"/>
  <c r="H17" i="8"/>
  <c r="H16" i="8"/>
  <c r="H22" i="8"/>
  <c r="H14" i="8"/>
  <c r="H6" i="8"/>
  <c r="H11" i="8"/>
  <c r="H25" i="8"/>
  <c r="H24" i="8"/>
  <c r="H21" i="8"/>
  <c r="H13" i="8"/>
  <c r="H5" i="8"/>
  <c r="H19" i="8"/>
  <c r="H26" i="8"/>
  <c r="H9" i="8"/>
  <c r="H20" i="8"/>
  <c r="H12" i="8"/>
  <c r="H10" i="8"/>
  <c r="H8" i="8"/>
  <c r="H21" i="7"/>
  <c r="H13" i="7"/>
  <c r="H5" i="7"/>
  <c r="H19" i="7"/>
  <c r="H11" i="7"/>
  <c r="H26" i="7"/>
  <c r="H10" i="7"/>
  <c r="H25" i="7"/>
  <c r="H9" i="7"/>
  <c r="H24" i="7"/>
  <c r="H8" i="7"/>
  <c r="H23" i="7"/>
  <c r="H7" i="7"/>
  <c r="H14" i="7"/>
  <c r="H20" i="7"/>
  <c r="H12" i="7"/>
  <c r="H27" i="7"/>
  <c r="H18" i="7"/>
  <c r="H17" i="7"/>
  <c r="H16" i="7"/>
  <c r="H15" i="7"/>
  <c r="H22" i="7"/>
  <c r="H6" i="7"/>
  <c r="D27" i="7"/>
  <c r="D19" i="7"/>
  <c r="D11" i="7"/>
  <c r="D18" i="7"/>
  <c r="D10" i="7"/>
  <c r="D17" i="7"/>
  <c r="D9" i="7"/>
  <c r="D22" i="7"/>
  <c r="D21" i="7"/>
  <c r="D20" i="7"/>
  <c r="D26" i="7"/>
  <c r="D25" i="7"/>
  <c r="D6" i="7"/>
  <c r="D13" i="7"/>
  <c r="D12" i="7"/>
  <c r="D24" i="7"/>
  <c r="D16" i="7"/>
  <c r="D8" i="7"/>
  <c r="D23" i="7"/>
  <c r="D15" i="7"/>
  <c r="D7" i="7"/>
  <c r="D14" i="7"/>
  <c r="D5" i="7"/>
  <c r="D27" i="8"/>
  <c r="D19" i="8"/>
  <c r="D11" i="8"/>
  <c r="D7" i="8"/>
  <c r="D6" i="8"/>
  <c r="D26" i="8"/>
  <c r="D18" i="8"/>
  <c r="D10" i="8"/>
  <c r="D22" i="8"/>
  <c r="D5" i="8"/>
  <c r="D20" i="8"/>
  <c r="D25" i="8"/>
  <c r="D17" i="8"/>
  <c r="D9" i="8"/>
  <c r="D15" i="8"/>
  <c r="D21" i="8"/>
  <c r="D24" i="8"/>
  <c r="D16" i="8"/>
  <c r="D8" i="8"/>
  <c r="D23" i="8"/>
  <c r="D14" i="8"/>
  <c r="D13" i="8"/>
  <c r="D12" i="8"/>
  <c r="H26" i="5"/>
  <c r="H18" i="5"/>
  <c r="H10" i="5"/>
  <c r="H25" i="5"/>
  <c r="H17" i="5"/>
  <c r="H9" i="5"/>
  <c r="H24" i="5"/>
  <c r="H16" i="5"/>
  <c r="H8" i="5"/>
  <c r="H27" i="5"/>
  <c r="H11" i="5"/>
  <c r="H23" i="5"/>
  <c r="H15" i="5"/>
  <c r="H7" i="5"/>
  <c r="H22" i="5"/>
  <c r="H14" i="5"/>
  <c r="H6" i="5"/>
  <c r="H21" i="5"/>
  <c r="H13" i="5"/>
  <c r="H5" i="5"/>
  <c r="H20" i="5"/>
  <c r="H12" i="5"/>
  <c r="H19" i="5"/>
  <c r="D11" i="5"/>
  <c r="D19" i="5"/>
  <c r="D27" i="5"/>
  <c r="D12" i="5"/>
  <c r="D20" i="5"/>
  <c r="D5" i="5"/>
  <c r="D15" i="5"/>
  <c r="D16" i="5"/>
  <c r="D17" i="5"/>
  <c r="D10" i="5"/>
  <c r="D26" i="5"/>
  <c r="D13" i="5"/>
  <c r="D21" i="5"/>
  <c r="D6" i="5"/>
  <c r="D14" i="5"/>
  <c r="D22" i="5"/>
  <c r="D7" i="5"/>
  <c r="D23" i="5"/>
  <c r="D8" i="5"/>
  <c r="D24" i="5"/>
  <c r="D9" i="5"/>
  <c r="D25" i="5"/>
  <c r="D18" i="5"/>
  <c r="D27" i="10"/>
  <c r="D19" i="10"/>
  <c r="D11" i="10"/>
  <c r="D20" i="10"/>
  <c r="D26" i="10"/>
  <c r="D18" i="10"/>
  <c r="D10" i="10"/>
  <c r="D25" i="10"/>
  <c r="D17" i="10"/>
  <c r="D9" i="10"/>
  <c r="D14" i="10"/>
  <c r="D13" i="10"/>
  <c r="D5" i="10"/>
  <c r="D12" i="10"/>
  <c r="D24" i="10"/>
  <c r="D16" i="10"/>
  <c r="D8" i="10"/>
  <c r="D23" i="10"/>
  <c r="D15" i="10"/>
  <c r="D7" i="10"/>
  <c r="D22" i="10"/>
  <c r="D6" i="10"/>
  <c r="D21" i="10"/>
  <c r="AO5" i="10"/>
  <c r="AQ5" i="8"/>
  <c r="AN5" i="8"/>
  <c r="AP5" i="8"/>
  <c r="AQ5" i="9"/>
  <c r="AN5" i="9"/>
  <c r="AO5" i="9"/>
  <c r="AP5" i="9"/>
  <c r="AQ5" i="10"/>
  <c r="AP5" i="10"/>
  <c r="AN5" i="10"/>
  <c r="AO5" i="8"/>
  <c r="AP5" i="7"/>
  <c r="AQ5" i="7"/>
  <c r="AO5" i="7"/>
  <c r="AN5" i="7"/>
  <c r="Z23" i="10" l="1"/>
  <c r="Z27" i="10"/>
  <c r="Z17" i="10"/>
  <c r="Z16" i="10"/>
  <c r="Z13" i="10"/>
  <c r="Z22" i="10"/>
  <c r="Z5" i="8"/>
  <c r="Z10" i="10"/>
  <c r="Z12" i="10"/>
  <c r="Z11" i="10"/>
  <c r="Z13" i="9"/>
  <c r="Z20" i="10"/>
  <c r="Z26" i="10"/>
  <c r="Z27" i="9"/>
  <c r="Z20" i="9"/>
  <c r="Z19" i="9"/>
  <c r="Z15" i="10"/>
  <c r="Z8" i="10"/>
  <c r="Z23" i="9"/>
  <c r="Z9" i="10"/>
  <c r="Z14" i="10"/>
  <c r="Z18" i="10"/>
  <c r="Z26" i="9"/>
  <c r="Z25" i="9"/>
  <c r="Z6" i="10"/>
  <c r="Z25" i="10"/>
  <c r="Z5" i="6"/>
  <c r="Z7" i="10"/>
  <c r="Z5" i="10"/>
  <c r="Z7" i="9"/>
  <c r="Z5" i="9"/>
  <c r="AR5" i="8"/>
  <c r="Z15" i="9"/>
  <c r="Z10" i="9"/>
  <c r="Z12" i="9"/>
  <c r="Z18" i="9"/>
  <c r="Z11" i="9"/>
  <c r="AS5" i="9"/>
  <c r="Z22" i="9"/>
  <c r="Z24" i="9"/>
  <c r="Z14" i="9"/>
  <c r="AR5" i="9"/>
  <c r="Z16" i="9"/>
  <c r="Z6" i="9"/>
  <c r="Z9" i="9"/>
  <c r="Z17" i="9"/>
  <c r="Z8" i="9"/>
  <c r="Z21" i="9"/>
  <c r="Z21" i="10"/>
  <c r="Z19" i="10"/>
  <c r="Z24" i="10"/>
  <c r="AS5" i="10"/>
  <c r="AR5" i="10"/>
  <c r="AS5" i="8"/>
  <c r="Z13" i="7"/>
  <c r="Z21" i="7"/>
  <c r="Z20" i="7"/>
  <c r="Z27" i="7"/>
  <c r="Z6" i="7"/>
  <c r="Z14" i="7"/>
  <c r="Z22" i="7"/>
  <c r="Z8" i="7"/>
  <c r="Z18" i="7"/>
  <c r="Z9" i="7"/>
  <c r="Z16" i="7"/>
  <c r="Z17" i="7"/>
  <c r="Z26" i="7"/>
  <c r="Z25" i="7"/>
  <c r="Z12" i="7"/>
  <c r="Z24" i="7"/>
  <c r="Z11" i="7"/>
  <c r="Z5" i="7"/>
  <c r="Z7" i="7"/>
  <c r="Z19" i="7"/>
  <c r="Z15" i="7"/>
  <c r="Z23" i="7"/>
  <c r="Z10" i="7"/>
  <c r="AS5" i="7"/>
  <c r="AR5" i="7"/>
  <c r="C26" i="13" l="1"/>
  <c r="AP26" i="10"/>
  <c r="AN26" i="10"/>
  <c r="AO25" i="10"/>
  <c r="AQ23" i="10"/>
  <c r="AQ22" i="10"/>
  <c r="AQ21" i="10"/>
  <c r="AP21" i="10"/>
  <c r="AO21" i="10"/>
  <c r="AN21" i="10"/>
  <c r="AQ18" i="10"/>
  <c r="AQ17" i="10"/>
  <c r="AO17" i="10"/>
  <c r="AN17" i="10"/>
  <c r="AQ16" i="10"/>
  <c r="AP16" i="10"/>
  <c r="AO16" i="10"/>
  <c r="AQ15" i="10"/>
  <c r="AP15" i="10"/>
  <c r="AO15" i="10"/>
  <c r="AN15" i="10"/>
  <c r="AN14" i="10"/>
  <c r="AP13" i="10"/>
  <c r="AO13" i="10"/>
  <c r="AP11" i="10"/>
  <c r="AQ7" i="10"/>
  <c r="AO7" i="10"/>
  <c r="AN6" i="10"/>
  <c r="AQ27" i="9"/>
  <c r="AP27" i="9"/>
  <c r="AN27" i="9"/>
  <c r="AP26" i="9"/>
  <c r="AO26" i="9"/>
  <c r="AN26" i="9"/>
  <c r="AO25" i="9"/>
  <c r="AP24" i="9"/>
  <c r="AQ22" i="9"/>
  <c r="AN22" i="9"/>
  <c r="AP22" i="9"/>
  <c r="AQ21" i="9"/>
  <c r="AP21" i="9"/>
  <c r="AO21" i="9"/>
  <c r="AN21" i="9"/>
  <c r="AP20" i="9"/>
  <c r="AO19" i="9"/>
  <c r="AO17" i="9"/>
  <c r="AN17" i="9"/>
  <c r="AO15" i="9"/>
  <c r="AQ15" i="9"/>
  <c r="AQ14" i="9"/>
  <c r="AN14" i="9"/>
  <c r="AQ13" i="9"/>
  <c r="AN12" i="9"/>
  <c r="AQ11" i="9"/>
  <c r="AP11" i="9"/>
  <c r="AO11" i="9"/>
  <c r="AP10" i="9"/>
  <c r="AO10" i="9"/>
  <c r="AN10" i="9"/>
  <c r="AN9" i="9"/>
  <c r="AN8" i="9"/>
  <c r="AQ6" i="9"/>
  <c r="AN6" i="9"/>
  <c r="Z27" i="8"/>
  <c r="AO26" i="8"/>
  <c r="Z24" i="8"/>
  <c r="AQ23" i="8"/>
  <c r="AP23" i="8"/>
  <c r="AO23" i="8"/>
  <c r="Z23" i="8"/>
  <c r="AP22" i="8"/>
  <c r="AO22" i="8"/>
  <c r="AN22" i="8"/>
  <c r="AN21" i="8"/>
  <c r="AQ19" i="8"/>
  <c r="AO17" i="8"/>
  <c r="AN17" i="8"/>
  <c r="AN16" i="8"/>
  <c r="Z16" i="8"/>
  <c r="AQ15" i="8"/>
  <c r="AP15" i="8"/>
  <c r="AO15" i="8"/>
  <c r="AN15" i="8"/>
  <c r="AP14" i="8"/>
  <c r="AO14" i="8"/>
  <c r="AN13" i="8"/>
  <c r="Z13" i="8"/>
  <c r="AQ10" i="8"/>
  <c r="AP10" i="8"/>
  <c r="AQ9" i="8"/>
  <c r="AP9" i="8"/>
  <c r="AO9" i="8"/>
  <c r="AN9" i="8"/>
  <c r="Z9" i="8"/>
  <c r="AN8" i="8"/>
  <c r="Z8" i="8"/>
  <c r="AQ6" i="8"/>
  <c r="AQ27" i="7"/>
  <c r="AP27" i="7"/>
  <c r="AO27" i="7"/>
  <c r="AP26" i="7"/>
  <c r="AO26" i="7"/>
  <c r="AN26" i="7"/>
  <c r="AQ26" i="7"/>
  <c r="AO25" i="7"/>
  <c r="AQ24" i="7"/>
  <c r="AP24" i="7"/>
  <c r="AO24" i="7"/>
  <c r="AN24" i="7"/>
  <c r="AQ23" i="7"/>
  <c r="AQ22" i="7"/>
  <c r="AN22" i="7"/>
  <c r="AQ21" i="7"/>
  <c r="AP21" i="7"/>
  <c r="AO21" i="7"/>
  <c r="AN21" i="7"/>
  <c r="AN20" i="7"/>
  <c r="AO20" i="7"/>
  <c r="AQ19" i="7"/>
  <c r="AP19" i="7"/>
  <c r="AO19" i="7"/>
  <c r="AP18" i="7"/>
  <c r="AO18" i="7"/>
  <c r="AN18" i="7"/>
  <c r="AQ18" i="7"/>
  <c r="AQ17" i="7"/>
  <c r="AO17" i="7"/>
  <c r="AQ16" i="7"/>
  <c r="AP16" i="7"/>
  <c r="AO16" i="7"/>
  <c r="AN16" i="7"/>
  <c r="AP15" i="7"/>
  <c r="AN15" i="7"/>
  <c r="AQ14" i="7"/>
  <c r="AP13" i="7"/>
  <c r="AO13" i="7"/>
  <c r="AN13" i="7"/>
  <c r="AQ13" i="7"/>
  <c r="AN12" i="7"/>
  <c r="AQ11" i="7"/>
  <c r="AP11" i="7"/>
  <c r="AO11" i="7"/>
  <c r="AN11" i="7"/>
  <c r="AO10" i="7"/>
  <c r="AN10" i="7"/>
  <c r="AQ10" i="7"/>
  <c r="AQ9" i="7"/>
  <c r="AO9" i="7"/>
  <c r="AQ8" i="7"/>
  <c r="AP8" i="7"/>
  <c r="AO8" i="7"/>
  <c r="AN8" i="7"/>
  <c r="AP7" i="7"/>
  <c r="AN7" i="7"/>
  <c r="AQ6" i="7"/>
  <c r="Z11" i="6"/>
  <c r="AK5" i="6"/>
  <c r="AP27" i="5"/>
  <c r="AN27" i="5"/>
  <c r="AP26" i="5"/>
  <c r="AO26" i="5"/>
  <c r="AQ25" i="5"/>
  <c r="AO25" i="5"/>
  <c r="AQ24" i="5"/>
  <c r="AO24" i="5"/>
  <c r="AN24" i="5"/>
  <c r="AO23" i="5"/>
  <c r="AQ23" i="5"/>
  <c r="AN23" i="5"/>
  <c r="AQ22" i="5"/>
  <c r="AO22" i="5"/>
  <c r="AN22" i="5"/>
  <c r="AQ21" i="5"/>
  <c r="AP21" i="5"/>
  <c r="AO21" i="5"/>
  <c r="AQ20" i="5"/>
  <c r="AN20" i="5"/>
  <c r="AP20" i="5"/>
  <c r="AO20" i="5"/>
  <c r="AP19" i="5"/>
  <c r="AO19" i="5"/>
  <c r="AP18" i="5"/>
  <c r="AO18" i="5"/>
  <c r="AQ17" i="5"/>
  <c r="AO17" i="5"/>
  <c r="AQ16" i="5"/>
  <c r="AO16" i="5"/>
  <c r="AP16" i="5"/>
  <c r="AO15" i="5"/>
  <c r="AQ15" i="5"/>
  <c r="AN15" i="5"/>
  <c r="AQ14" i="5"/>
  <c r="AP14" i="5"/>
  <c r="AN14" i="5"/>
  <c r="AQ13" i="5"/>
  <c r="AP13" i="5"/>
  <c r="AO13" i="5"/>
  <c r="AQ12" i="5"/>
  <c r="AO12" i="5"/>
  <c r="AN12" i="5"/>
  <c r="AP12" i="5"/>
  <c r="AP11" i="5"/>
  <c r="AN11" i="5"/>
  <c r="AP10" i="5"/>
  <c r="AO10" i="5"/>
  <c r="AQ9" i="5"/>
  <c r="AO9" i="5"/>
  <c r="AQ8" i="5"/>
  <c r="AO8" i="5"/>
  <c r="AP8" i="5"/>
  <c r="AO7" i="5"/>
  <c r="AQ7" i="5"/>
  <c r="AN7" i="5"/>
  <c r="AN24" i="6" l="1"/>
  <c r="AO23" i="6"/>
  <c r="AN18" i="6"/>
  <c r="AP16" i="6"/>
  <c r="AQ22" i="6"/>
  <c r="AN10" i="6"/>
  <c r="AQ19" i="6"/>
  <c r="AN21" i="6"/>
  <c r="AN26" i="6"/>
  <c r="AQ16" i="6"/>
  <c r="AP14" i="6"/>
  <c r="AQ14" i="6"/>
  <c r="AN17" i="6"/>
  <c r="AQ23" i="6"/>
  <c r="AO11" i="6"/>
  <c r="AN8" i="6"/>
  <c r="AP8" i="6"/>
  <c r="AQ8" i="6"/>
  <c r="AO16" i="6"/>
  <c r="AP18" i="6"/>
  <c r="AO8" i="6"/>
  <c r="AO21" i="6"/>
  <c r="AQ24" i="6"/>
  <c r="AO26" i="6"/>
  <c r="AP21" i="6"/>
  <c r="AO14" i="6"/>
  <c r="AP9" i="6"/>
  <c r="AO24" i="6"/>
  <c r="AQ9" i="6"/>
  <c r="AN14" i="6"/>
  <c r="AO15" i="6"/>
  <c r="AP11" i="6"/>
  <c r="AQ12" i="6"/>
  <c r="AO18" i="6"/>
  <c r="AN7" i="6"/>
  <c r="AQ11" i="6"/>
  <c r="AP24" i="6"/>
  <c r="AN25" i="6"/>
  <c r="AP26" i="6"/>
  <c r="AO6" i="6"/>
  <c r="AN11" i="6"/>
  <c r="Z13" i="6"/>
  <c r="AQ13" i="6"/>
  <c r="AN15" i="6"/>
  <c r="AN16" i="6"/>
  <c r="AN20" i="6"/>
  <c r="AQ21" i="6"/>
  <c r="AO22" i="6"/>
  <c r="AQ26" i="6"/>
  <c r="AN23" i="6"/>
  <c r="AN5" i="6"/>
  <c r="AP20" i="6"/>
  <c r="AO9" i="6"/>
  <c r="Z7" i="6"/>
  <c r="AQ15" i="6"/>
  <c r="AO10" i="6"/>
  <c r="AN12" i="6"/>
  <c r="AQ18" i="6"/>
  <c r="AR15" i="8"/>
  <c r="AR11" i="7"/>
  <c r="AQ5" i="6"/>
  <c r="AS20" i="5"/>
  <c r="AP6" i="5"/>
  <c r="AQ6" i="5"/>
  <c r="AN6" i="5"/>
  <c r="AQ5" i="5"/>
  <c r="AO5" i="5"/>
  <c r="AP5" i="5"/>
  <c r="Z10" i="6"/>
  <c r="Z14" i="8"/>
  <c r="Z22" i="8"/>
  <c r="Z20" i="5"/>
  <c r="Z26" i="5"/>
  <c r="Z27" i="6"/>
  <c r="Z19" i="5"/>
  <c r="Z23" i="6"/>
  <c r="Z19" i="8"/>
  <c r="Z17" i="5"/>
  <c r="Z21" i="6"/>
  <c r="Z24" i="6"/>
  <c r="Z26" i="8"/>
  <c r="Z12" i="5"/>
  <c r="Z19" i="6"/>
  <c r="Z20" i="6"/>
  <c r="Z26" i="6"/>
  <c r="Z7" i="8"/>
  <c r="Z8" i="6"/>
  <c r="Z16" i="5"/>
  <c r="Z11" i="8"/>
  <c r="Z20" i="8"/>
  <c r="Z5" i="5"/>
  <c r="Z16" i="6"/>
  <c r="Z6" i="8"/>
  <c r="Z12" i="8"/>
  <c r="Z15" i="8"/>
  <c r="Z17" i="8"/>
  <c r="Z25" i="8"/>
  <c r="Z18" i="6"/>
  <c r="Z8" i="5"/>
  <c r="Z9" i="5"/>
  <c r="Z11" i="5"/>
  <c r="Z14" i="5"/>
  <c r="Z23" i="5"/>
  <c r="Z6" i="5"/>
  <c r="Z18" i="5"/>
  <c r="Z10" i="5"/>
  <c r="Z15" i="5"/>
  <c r="Z7" i="5"/>
  <c r="Z21" i="5"/>
  <c r="Z24" i="5"/>
  <c r="Z25" i="5"/>
  <c r="Z27" i="5"/>
  <c r="Z13" i="5"/>
  <c r="Z22" i="5"/>
  <c r="AN27" i="6"/>
  <c r="AP27" i="6"/>
  <c r="AS21" i="7"/>
  <c r="AR21" i="7"/>
  <c r="AO13" i="8"/>
  <c r="AP26" i="8"/>
  <c r="Z15" i="6"/>
  <c r="AS8" i="7"/>
  <c r="AR8" i="7"/>
  <c r="AO8" i="8"/>
  <c r="AP13" i="8"/>
  <c r="AQ10" i="10"/>
  <c r="AO10" i="10"/>
  <c r="AN10" i="10"/>
  <c r="AP10" i="10"/>
  <c r="AP11" i="8"/>
  <c r="AO11" i="8"/>
  <c r="AP24" i="8"/>
  <c r="AN24" i="8"/>
  <c r="AN6" i="8"/>
  <c r="AO18" i="8"/>
  <c r="AQ18" i="8"/>
  <c r="AQ24" i="8"/>
  <c r="AP8" i="10"/>
  <c r="AN8" i="10"/>
  <c r="AO5" i="6"/>
  <c r="AP5" i="6"/>
  <c r="AO7" i="6"/>
  <c r="AN13" i="6"/>
  <c r="AQ27" i="6"/>
  <c r="AS18" i="7"/>
  <c r="AR18" i="7"/>
  <c r="AN23" i="7"/>
  <c r="AN7" i="8"/>
  <c r="AQ7" i="8"/>
  <c r="AN11" i="8"/>
  <c r="AS15" i="8"/>
  <c r="AP18" i="8"/>
  <c r="AS26" i="7"/>
  <c r="AR26" i="7"/>
  <c r="AO20" i="8"/>
  <c r="AN20" i="8"/>
  <c r="AP20" i="8"/>
  <c r="AQ20" i="8"/>
  <c r="AN19" i="6"/>
  <c r="AP19" i="6"/>
  <c r="AQ11" i="8"/>
  <c r="AP18" i="9"/>
  <c r="AO18" i="9"/>
  <c r="AN18" i="9"/>
  <c r="AR21" i="9"/>
  <c r="AS21" i="9"/>
  <c r="AP7" i="6"/>
  <c r="AO13" i="6"/>
  <c r="AO23" i="7"/>
  <c r="AQ7" i="9"/>
  <c r="AO7" i="9"/>
  <c r="AN14" i="7"/>
  <c r="AP14" i="7"/>
  <c r="AN16" i="9"/>
  <c r="AQ16" i="9"/>
  <c r="AO16" i="9"/>
  <c r="AN6" i="6"/>
  <c r="AQ6" i="6"/>
  <c r="AP6" i="6"/>
  <c r="AN6" i="7"/>
  <c r="AP6" i="7"/>
  <c r="AR16" i="7"/>
  <c r="AS16" i="7"/>
  <c r="AN26" i="8"/>
  <c r="AQ26" i="8"/>
  <c r="AN7" i="9"/>
  <c r="AQ6" i="10"/>
  <c r="AP6" i="10"/>
  <c r="AO6" i="10"/>
  <c r="AO7" i="8"/>
  <c r="Z22" i="6"/>
  <c r="AS24" i="7"/>
  <c r="Z6" i="6"/>
  <c r="AQ10" i="6"/>
  <c r="AP12" i="6"/>
  <c r="AP13" i="6"/>
  <c r="Z17" i="6"/>
  <c r="Z25" i="6"/>
  <c r="AS13" i="7"/>
  <c r="AR13" i="7"/>
  <c r="AQ20" i="7"/>
  <c r="AP22" i="7"/>
  <c r="AP23" i="7"/>
  <c r="AQ25" i="7"/>
  <c r="AO6" i="8"/>
  <c r="AP6" i="8"/>
  <c r="AP17" i="8"/>
  <c r="AQ17" i="8"/>
  <c r="AP19" i="8"/>
  <c r="AQ25" i="8"/>
  <c r="AP25" i="8"/>
  <c r="AN25" i="8"/>
  <c r="AO25" i="8"/>
  <c r="AO27" i="8"/>
  <c r="AN27" i="8"/>
  <c r="AN13" i="9"/>
  <c r="AP13" i="9"/>
  <c r="AO13" i="9"/>
  <c r="AQ19" i="9"/>
  <c r="AN24" i="9"/>
  <c r="AO24" i="9"/>
  <c r="AQ24" i="9"/>
  <c r="AN19" i="10"/>
  <c r="AQ19" i="10"/>
  <c r="AP19" i="10"/>
  <c r="AQ26" i="10"/>
  <c r="AO26" i="10"/>
  <c r="AQ12" i="8"/>
  <c r="AP12" i="8"/>
  <c r="AO12" i="8"/>
  <c r="AN12" i="8"/>
  <c r="AQ13" i="8"/>
  <c r="AP16" i="9"/>
  <c r="AQ8" i="10"/>
  <c r="Z9" i="6"/>
  <c r="AN9" i="6"/>
  <c r="Z14" i="6"/>
  <c r="AO17" i="6"/>
  <c r="AO19" i="6"/>
  <c r="AO20" i="6"/>
  <c r="AN22" i="6"/>
  <c r="AO25" i="6"/>
  <c r="AO27" i="6"/>
  <c r="AO6" i="7"/>
  <c r="AO7" i="7"/>
  <c r="AN9" i="7"/>
  <c r="AS11" i="7"/>
  <c r="AO12" i="7"/>
  <c r="AO14" i="7"/>
  <c r="AO15" i="7"/>
  <c r="AN17" i="7"/>
  <c r="AN19" i="7"/>
  <c r="AR24" i="7"/>
  <c r="AN25" i="7"/>
  <c r="AN27" i="7"/>
  <c r="AP7" i="8"/>
  <c r="AS9" i="8"/>
  <c r="AR9" i="8"/>
  <c r="AQ21" i="8"/>
  <c r="AP25" i="9"/>
  <c r="AO24" i="10"/>
  <c r="AQ24" i="10"/>
  <c r="AP17" i="6"/>
  <c r="AP25" i="6"/>
  <c r="AP12" i="7"/>
  <c r="AQ20" i="10"/>
  <c r="AO20" i="10"/>
  <c r="AN20" i="10"/>
  <c r="AP10" i="6"/>
  <c r="Z12" i="6"/>
  <c r="AO12" i="6"/>
  <c r="AP15" i="6"/>
  <c r="AQ17" i="6"/>
  <c r="AQ20" i="6"/>
  <c r="AP22" i="6"/>
  <c r="AP23" i="6"/>
  <c r="AQ25" i="6"/>
  <c r="AQ7" i="7"/>
  <c r="AP9" i="7"/>
  <c r="AP10" i="7"/>
  <c r="AR10" i="7" s="1"/>
  <c r="AQ12" i="7"/>
  <c r="AQ15" i="7"/>
  <c r="AP17" i="7"/>
  <c r="AP20" i="7"/>
  <c r="AO22" i="7"/>
  <c r="AP25" i="7"/>
  <c r="AN19" i="8"/>
  <c r="AO19" i="8"/>
  <c r="AQ11" i="10"/>
  <c r="AO21" i="8"/>
  <c r="AP27" i="8"/>
  <c r="AO12" i="9"/>
  <c r="AQ8" i="8"/>
  <c r="Z10" i="8"/>
  <c r="AN10" i="8"/>
  <c r="AQ14" i="8"/>
  <c r="AO16" i="8"/>
  <c r="Z21" i="8"/>
  <c r="AP21" i="8"/>
  <c r="AN23" i="8"/>
  <c r="AQ27" i="8"/>
  <c r="AO6" i="9"/>
  <c r="AQ8" i="9"/>
  <c r="AO8" i="9"/>
  <c r="AO9" i="9"/>
  <c r="AP12" i="9"/>
  <c r="AP15" i="9"/>
  <c r="AO12" i="10"/>
  <c r="AP12" i="10"/>
  <c r="AQ18" i="9"/>
  <c r="AQ27" i="10"/>
  <c r="AP27" i="10"/>
  <c r="AO10" i="8"/>
  <c r="AN14" i="8"/>
  <c r="AP16" i="8"/>
  <c r="AP6" i="9"/>
  <c r="AP9" i="9"/>
  <c r="AQ12" i="9"/>
  <c r="AP17" i="9"/>
  <c r="AP23" i="9"/>
  <c r="AO23" i="9"/>
  <c r="AN23" i="9"/>
  <c r="AO9" i="10"/>
  <c r="AQ9" i="10"/>
  <c r="AN9" i="10"/>
  <c r="AQ12" i="10"/>
  <c r="AP8" i="8"/>
  <c r="AO18" i="10"/>
  <c r="AN18" i="10"/>
  <c r="AP18" i="10"/>
  <c r="AQ16" i="8"/>
  <c r="Z18" i="8"/>
  <c r="AN18" i="8"/>
  <c r="AQ22" i="8"/>
  <c r="AS22" i="8" s="1"/>
  <c r="AO24" i="8"/>
  <c r="AP8" i="9"/>
  <c r="AQ9" i="9"/>
  <c r="AN15" i="9"/>
  <c r="AQ17" i="9"/>
  <c r="AN19" i="9"/>
  <c r="AP19" i="9"/>
  <c r="AO20" i="9"/>
  <c r="AN20" i="9"/>
  <c r="AO22" i="9"/>
  <c r="AR22" i="9" s="1"/>
  <c r="AQ23" i="9"/>
  <c r="AN25" i="9"/>
  <c r="AN7" i="10"/>
  <c r="AP9" i="10"/>
  <c r="AN12" i="10"/>
  <c r="AS21" i="10"/>
  <c r="AR21" i="10"/>
  <c r="AQ25" i="9"/>
  <c r="AO27" i="9"/>
  <c r="AR27" i="9" s="1"/>
  <c r="AO14" i="10"/>
  <c r="AN11" i="9"/>
  <c r="AO14" i="9"/>
  <c r="AQ20" i="9"/>
  <c r="AQ26" i="9"/>
  <c r="AR26" i="9" s="1"/>
  <c r="AN13" i="10"/>
  <c r="AQ13" i="10"/>
  <c r="AP14" i="10"/>
  <c r="AP7" i="9"/>
  <c r="AQ10" i="9"/>
  <c r="AS10" i="9" s="1"/>
  <c r="AP14" i="9"/>
  <c r="AP7" i="10"/>
  <c r="AN22" i="10"/>
  <c r="AQ14" i="10"/>
  <c r="AN16" i="10"/>
  <c r="AP23" i="10"/>
  <c r="AO23" i="10"/>
  <c r="AN23" i="10"/>
  <c r="AO8" i="10"/>
  <c r="AN11" i="10"/>
  <c r="AO22" i="10"/>
  <c r="AN25" i="10"/>
  <c r="AO11" i="10"/>
  <c r="AS15" i="10"/>
  <c r="AR15" i="10"/>
  <c r="AP17" i="10"/>
  <c r="AR17" i="10" s="1"/>
  <c r="AP22" i="10"/>
  <c r="AN24" i="10"/>
  <c r="AP24" i="10"/>
  <c r="AO19" i="10"/>
  <c r="AP25" i="10"/>
  <c r="AQ25" i="10"/>
  <c r="AN27" i="10"/>
  <c r="AP20" i="10"/>
  <c r="AO27" i="10"/>
  <c r="AR12" i="5"/>
  <c r="AP7" i="5"/>
  <c r="AR7" i="5" s="1"/>
  <c r="AN9" i="5"/>
  <c r="AQ10" i="5"/>
  <c r="AP15" i="5"/>
  <c r="AS15" i="5" s="1"/>
  <c r="AN17" i="5"/>
  <c r="AQ18" i="5"/>
  <c r="AP23" i="5"/>
  <c r="AR23" i="5" s="1"/>
  <c r="AN25" i="5"/>
  <c r="AQ26" i="5"/>
  <c r="AP9" i="5"/>
  <c r="AO14" i="5"/>
  <c r="AR14" i="5" s="1"/>
  <c r="AP17" i="5"/>
  <c r="AO11" i="5"/>
  <c r="AN16" i="5"/>
  <c r="AR20" i="5"/>
  <c r="AP22" i="5"/>
  <c r="AS22" i="5" s="1"/>
  <c r="AO27" i="5"/>
  <c r="AN5" i="5"/>
  <c r="AS12" i="5"/>
  <c r="AN13" i="5"/>
  <c r="AN21" i="5"/>
  <c r="AO6" i="5"/>
  <c r="AN19" i="5"/>
  <c r="AP25" i="5"/>
  <c r="AN8" i="5"/>
  <c r="AN10" i="5"/>
  <c r="AQ11" i="5"/>
  <c r="AN18" i="5"/>
  <c r="AQ19" i="5"/>
  <c r="AP24" i="5"/>
  <c r="AR24" i="5" s="1"/>
  <c r="AN26" i="5"/>
  <c r="AQ27" i="5"/>
  <c r="D13" i="13" l="1"/>
  <c r="D21" i="13"/>
  <c r="D9" i="13"/>
  <c r="D17" i="13"/>
  <c r="D7" i="13"/>
  <c r="D24" i="13"/>
  <c r="D12" i="13"/>
  <c r="D2" i="13"/>
  <c r="D20" i="13"/>
  <c r="D16" i="13"/>
  <c r="D19" i="13"/>
  <c r="D11" i="13"/>
  <c r="D10" i="13"/>
  <c r="D23" i="13"/>
  <c r="D5" i="13"/>
  <c r="D3" i="13"/>
  <c r="D4" i="13"/>
  <c r="D22" i="13"/>
  <c r="D8" i="13"/>
  <c r="D15" i="13"/>
  <c r="D6" i="13"/>
  <c r="D14" i="13"/>
  <c r="D18" i="13"/>
  <c r="BJ20" i="13"/>
  <c r="AS26" i="9"/>
  <c r="AS24" i="6"/>
  <c r="AC24" i="6" s="1"/>
  <c r="AD24" i="6" s="1"/>
  <c r="AS23" i="6"/>
  <c r="AC23" i="6" s="1"/>
  <c r="AD23" i="6" s="1"/>
  <c r="AR17" i="9"/>
  <c r="AR17" i="6"/>
  <c r="AR16" i="6"/>
  <c r="AS18" i="6"/>
  <c r="AC18" i="6" s="1"/>
  <c r="AD18" i="6" s="1"/>
  <c r="AR23" i="6"/>
  <c r="AR18" i="6"/>
  <c r="AS14" i="6"/>
  <c r="AC14" i="6" s="1"/>
  <c r="AD14" i="6" s="1"/>
  <c r="AS16" i="6"/>
  <c r="AC16" i="6" s="1"/>
  <c r="AD16" i="6" s="1"/>
  <c r="AS12" i="9"/>
  <c r="AR11" i="6"/>
  <c r="AS11" i="6"/>
  <c r="AC11" i="6" s="1"/>
  <c r="AD11" i="6" s="1"/>
  <c r="AS17" i="9"/>
  <c r="AS8" i="6"/>
  <c r="AC8" i="6" s="1"/>
  <c r="AD8" i="6" s="1"/>
  <c r="AR8" i="6"/>
  <c r="AR14" i="6"/>
  <c r="AS21" i="6"/>
  <c r="AC21" i="6" s="1"/>
  <c r="AD21" i="6" s="1"/>
  <c r="AS26" i="6"/>
  <c r="AC26" i="6" s="1"/>
  <c r="AD26" i="6" s="1"/>
  <c r="AR24" i="6"/>
  <c r="AR10" i="6"/>
  <c r="AS8" i="9"/>
  <c r="AR10" i="9"/>
  <c r="AS7" i="6"/>
  <c r="AC7" i="6" s="1"/>
  <c r="AD7" i="6" s="1"/>
  <c r="AR20" i="6"/>
  <c r="AR26" i="6"/>
  <c r="AR15" i="6"/>
  <c r="AR21" i="6"/>
  <c r="AS25" i="6"/>
  <c r="AC25" i="6" s="1"/>
  <c r="AD25" i="6" s="1"/>
  <c r="AR5" i="6"/>
  <c r="AR6" i="10"/>
  <c r="AS26" i="10"/>
  <c r="AS6" i="10"/>
  <c r="AS17" i="10"/>
  <c r="AS14" i="10"/>
  <c r="AR8" i="9"/>
  <c r="AR12" i="9"/>
  <c r="AS22" i="9"/>
  <c r="BJ7" i="13"/>
  <c r="AS17" i="8"/>
  <c r="AS21" i="8"/>
  <c r="AR22" i="8"/>
  <c r="AR17" i="8"/>
  <c r="AS16" i="8"/>
  <c r="AR16" i="8"/>
  <c r="AS13" i="8"/>
  <c r="AS8" i="8"/>
  <c r="AR8" i="8"/>
  <c r="AR21" i="8"/>
  <c r="AS7" i="7"/>
  <c r="AR12" i="7"/>
  <c r="BJ13" i="13"/>
  <c r="AS15" i="7"/>
  <c r="AS6" i="5"/>
  <c r="AS7" i="5"/>
  <c r="AR7" i="6"/>
  <c r="AS15" i="6"/>
  <c r="AC15" i="6" s="1"/>
  <c r="AD15" i="6" s="1"/>
  <c r="AR25" i="6"/>
  <c r="AS5" i="6"/>
  <c r="AR6" i="5"/>
  <c r="AS27" i="5"/>
  <c r="AS11" i="5"/>
  <c r="AS14" i="5"/>
  <c r="AR27" i="5"/>
  <c r="AS24" i="5"/>
  <c r="BJ16" i="13"/>
  <c r="BJ12" i="13"/>
  <c r="BJ11" i="13"/>
  <c r="BJ21" i="13"/>
  <c r="BJ3" i="13"/>
  <c r="BJ10" i="13"/>
  <c r="BJ23" i="13"/>
  <c r="BJ17" i="13"/>
  <c r="BJ8" i="13"/>
  <c r="BJ15" i="13"/>
  <c r="BJ19" i="13"/>
  <c r="BJ9" i="13"/>
  <c r="BJ18" i="13"/>
  <c r="BJ6" i="13"/>
  <c r="BJ24" i="13"/>
  <c r="BJ14" i="13"/>
  <c r="BJ4" i="13"/>
  <c r="BJ2" i="13"/>
  <c r="BJ5" i="13"/>
  <c r="BJ22" i="13"/>
  <c r="AS25" i="10"/>
  <c r="AR25" i="10"/>
  <c r="AR7" i="9"/>
  <c r="AS7" i="9"/>
  <c r="AS24" i="8"/>
  <c r="AR24" i="8"/>
  <c r="AS22" i="10"/>
  <c r="AR22" i="10"/>
  <c r="AR15" i="7"/>
  <c r="AS10" i="7"/>
  <c r="AS11" i="10"/>
  <c r="AR11" i="10"/>
  <c r="AS16" i="10"/>
  <c r="AR16" i="10"/>
  <c r="AS7" i="10"/>
  <c r="AR7" i="10"/>
  <c r="AS23" i="9"/>
  <c r="AR23" i="9"/>
  <c r="AS22" i="7"/>
  <c r="AR22" i="7"/>
  <c r="AR17" i="7"/>
  <c r="AS17" i="7"/>
  <c r="AS17" i="6"/>
  <c r="AC17" i="6" s="1"/>
  <c r="AD17" i="6" s="1"/>
  <c r="AS25" i="8"/>
  <c r="AR25" i="8"/>
  <c r="AR11" i="8"/>
  <c r="AS11" i="8"/>
  <c r="AS27" i="6"/>
  <c r="AC27" i="6" s="1"/>
  <c r="AD27" i="6" s="1"/>
  <c r="AR27" i="6"/>
  <c r="AS19" i="7"/>
  <c r="AR19" i="7"/>
  <c r="AS24" i="9"/>
  <c r="AR24" i="9"/>
  <c r="AS16" i="9"/>
  <c r="AR16" i="9"/>
  <c r="AS19" i="9"/>
  <c r="AR19" i="9"/>
  <c r="AR6" i="6"/>
  <c r="AS6" i="6"/>
  <c r="AC6" i="6" s="1"/>
  <c r="AD6" i="6" s="1"/>
  <c r="AS20" i="8"/>
  <c r="AR20" i="8"/>
  <c r="AR26" i="10"/>
  <c r="AR9" i="10"/>
  <c r="AS9" i="10"/>
  <c r="AS14" i="8"/>
  <c r="AR14" i="8"/>
  <c r="AS20" i="7"/>
  <c r="AS27" i="9"/>
  <c r="AS19" i="10"/>
  <c r="AR19" i="10"/>
  <c r="AR7" i="8"/>
  <c r="AS7" i="8"/>
  <c r="AS13" i="6"/>
  <c r="AC13" i="6" s="1"/>
  <c r="AD13" i="6" s="1"/>
  <c r="AR13" i="6"/>
  <c r="AS27" i="10"/>
  <c r="AR27" i="10"/>
  <c r="AR25" i="9"/>
  <c r="AS25" i="9"/>
  <c r="AR19" i="8"/>
  <c r="AS19" i="8"/>
  <c r="AS10" i="6"/>
  <c r="AC10" i="6" s="1"/>
  <c r="AD10" i="6" s="1"/>
  <c r="AS25" i="7"/>
  <c r="AR25" i="7"/>
  <c r="AS12" i="7"/>
  <c r="AS12" i="8"/>
  <c r="AR12" i="8"/>
  <c r="AR13" i="9"/>
  <c r="AS13" i="9"/>
  <c r="AR7" i="7"/>
  <c r="AS20" i="6"/>
  <c r="AC20" i="6" s="1"/>
  <c r="AD20" i="6" s="1"/>
  <c r="AR14" i="10"/>
  <c r="AR13" i="8"/>
  <c r="AR20" i="10"/>
  <c r="AS20" i="10"/>
  <c r="AS14" i="7"/>
  <c r="AR14" i="7"/>
  <c r="AS10" i="10"/>
  <c r="AR10" i="10"/>
  <c r="AS23" i="10"/>
  <c r="AR23" i="10"/>
  <c r="AR13" i="10"/>
  <c r="AS13" i="10"/>
  <c r="AS14" i="9"/>
  <c r="AR14" i="9"/>
  <c r="AS18" i="8"/>
  <c r="AR18" i="8"/>
  <c r="AR23" i="8"/>
  <c r="AS23" i="8"/>
  <c r="AS9" i="6"/>
  <c r="AC9" i="6" s="1"/>
  <c r="AD9" i="6" s="1"/>
  <c r="AR9" i="6"/>
  <c r="AR26" i="8"/>
  <c r="AS26" i="8"/>
  <c r="AS19" i="6"/>
  <c r="AC19" i="6" s="1"/>
  <c r="AD19" i="6" s="1"/>
  <c r="AR19" i="6"/>
  <c r="AS23" i="7"/>
  <c r="AR23" i="7"/>
  <c r="AR8" i="10"/>
  <c r="AS8" i="10"/>
  <c r="AS6" i="8"/>
  <c r="AR6" i="8"/>
  <c r="AR20" i="9"/>
  <c r="AS20" i="9"/>
  <c r="AS18" i="10"/>
  <c r="AR18" i="10"/>
  <c r="AS6" i="9"/>
  <c r="AR6" i="9"/>
  <c r="AS10" i="8"/>
  <c r="AR10" i="8"/>
  <c r="AR12" i="6"/>
  <c r="AS12" i="6"/>
  <c r="AC12" i="6" s="1"/>
  <c r="AD12" i="6" s="1"/>
  <c r="AS27" i="7"/>
  <c r="AR27" i="7"/>
  <c r="AR24" i="10"/>
  <c r="AS24" i="10"/>
  <c r="AS11" i="9"/>
  <c r="AR11" i="9"/>
  <c r="AS12" i="10"/>
  <c r="AR12" i="10"/>
  <c r="AS15" i="9"/>
  <c r="AR15" i="9"/>
  <c r="AR9" i="9"/>
  <c r="AS9" i="9"/>
  <c r="AR9" i="7"/>
  <c r="AS9" i="7"/>
  <c r="AR22" i="6"/>
  <c r="AS22" i="6"/>
  <c r="AC22" i="6" s="1"/>
  <c r="AD22" i="6" s="1"/>
  <c r="AR27" i="8"/>
  <c r="AS27" i="8"/>
  <c r="AS6" i="7"/>
  <c r="AR6" i="7"/>
  <c r="AS18" i="9"/>
  <c r="AR18" i="9"/>
  <c r="AR20" i="7"/>
  <c r="AS18" i="5"/>
  <c r="AR18" i="5"/>
  <c r="AS21" i="5"/>
  <c r="AR21" i="5"/>
  <c r="AR15" i="5"/>
  <c r="AS13" i="5"/>
  <c r="AR13" i="5"/>
  <c r="AR16" i="5"/>
  <c r="AS16" i="5"/>
  <c r="AS10" i="5"/>
  <c r="AR10" i="5"/>
  <c r="AS8" i="5"/>
  <c r="AR8" i="5"/>
  <c r="AS5" i="5"/>
  <c r="AR5" i="5"/>
  <c r="AS9" i="5"/>
  <c r="AR9" i="5"/>
  <c r="AR11" i="5"/>
  <c r="AR22" i="5"/>
  <c r="AS23" i="5"/>
  <c r="AS25" i="5"/>
  <c r="AR25" i="5"/>
  <c r="AS17" i="5"/>
  <c r="AR17" i="5"/>
  <c r="AS26" i="5"/>
  <c r="AR26" i="5"/>
  <c r="AR19" i="5"/>
  <c r="AS19" i="5"/>
  <c r="H58" i="2" l="1"/>
  <c r="K18" i="2"/>
  <c r="J6" i="1" s="1"/>
  <c r="J13" i="1" s="1"/>
  <c r="J20" i="1" s="1"/>
  <c r="J27" i="1" s="1"/>
  <c r="J34" i="1" s="1"/>
  <c r="J41" i="1" s="1"/>
  <c r="J48" i="1" s="1"/>
  <c r="K17" i="2"/>
  <c r="I47" i="1" s="1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  <c r="C1" i="2"/>
  <c r="K69" i="2" s="1"/>
  <c r="S59" i="1"/>
  <c r="N59" i="1"/>
  <c r="V58" i="1"/>
  <c r="V59" i="1" s="1"/>
  <c r="S58" i="1"/>
  <c r="N58" i="1"/>
  <c r="I1" i="1" s="1"/>
  <c r="S56" i="1"/>
  <c r="N56" i="1"/>
  <c r="V55" i="1"/>
  <c r="V56" i="1" s="1"/>
  <c r="S55" i="1"/>
  <c r="N55" i="1"/>
  <c r="S52" i="1"/>
  <c r="V51" i="1"/>
  <c r="V52" i="1" s="1"/>
  <c r="S51" i="1"/>
  <c r="S49" i="1"/>
  <c r="V48" i="1"/>
  <c r="V49" i="1" s="1"/>
  <c r="S48" i="1"/>
  <c r="S45" i="1"/>
  <c r="A45" i="1"/>
  <c r="B45" i="1" s="1"/>
  <c r="V44" i="1"/>
  <c r="V45" i="1" s="1"/>
  <c r="S44" i="1"/>
  <c r="A44" i="1"/>
  <c r="B44" i="1" s="1"/>
  <c r="A43" i="1"/>
  <c r="B43" i="1" s="1"/>
  <c r="S42" i="1"/>
  <c r="A42" i="1"/>
  <c r="B42" i="1" s="1"/>
  <c r="V41" i="1"/>
  <c r="V42" i="1" s="1"/>
  <c r="S41" i="1"/>
  <c r="A41" i="1"/>
  <c r="B41" i="1" s="1"/>
  <c r="A40" i="1"/>
  <c r="B40" i="1" s="1"/>
  <c r="S38" i="1"/>
  <c r="A38" i="1"/>
  <c r="B38" i="1" s="1"/>
  <c r="V37" i="1"/>
  <c r="U33" i="1" s="1"/>
  <c r="S37" i="1"/>
  <c r="A37" i="1"/>
  <c r="B37" i="1" s="1"/>
  <c r="A36" i="1"/>
  <c r="B36" i="1" s="1"/>
  <c r="S35" i="1"/>
  <c r="A35" i="1"/>
  <c r="B35" i="1" s="1"/>
  <c r="V34" i="1"/>
  <c r="V35" i="1" s="1"/>
  <c r="S34" i="1"/>
  <c r="A34" i="1"/>
  <c r="B34" i="1" s="1"/>
  <c r="A33" i="1"/>
  <c r="B33" i="1" s="1"/>
  <c r="A31" i="1"/>
  <c r="B31" i="1" s="1"/>
  <c r="V30" i="1"/>
  <c r="V31" i="1" s="1"/>
  <c r="A30" i="1"/>
  <c r="B30" i="1" s="1"/>
  <c r="A29" i="1"/>
  <c r="B29" i="1" s="1"/>
  <c r="A28" i="1"/>
  <c r="B28" i="1" s="1"/>
  <c r="V27" i="1"/>
  <c r="V28" i="1" s="1"/>
  <c r="A27" i="1"/>
  <c r="B27" i="1" s="1"/>
  <c r="A26" i="1"/>
  <c r="B26" i="1" s="1"/>
  <c r="A24" i="1"/>
  <c r="B24" i="1" s="1"/>
  <c r="V23" i="1"/>
  <c r="V24" i="1" s="1"/>
  <c r="A23" i="1"/>
  <c r="B23" i="1" s="1"/>
  <c r="A22" i="1"/>
  <c r="B22" i="1" s="1"/>
  <c r="A21" i="1"/>
  <c r="B21" i="1" s="1"/>
  <c r="V20" i="1"/>
  <c r="V21" i="1" s="1"/>
  <c r="A20" i="1"/>
  <c r="B20" i="1" s="1"/>
  <c r="A19" i="1"/>
  <c r="B19" i="1" s="1"/>
  <c r="A17" i="1"/>
  <c r="B17" i="1" s="1"/>
  <c r="V16" i="1"/>
  <c r="V17" i="1" s="1"/>
  <c r="A16" i="1"/>
  <c r="B16" i="1" s="1"/>
  <c r="A15" i="1"/>
  <c r="B15" i="1" s="1"/>
  <c r="A14" i="1"/>
  <c r="B14" i="1" s="1"/>
  <c r="V13" i="1"/>
  <c r="V14" i="1" s="1"/>
  <c r="A13" i="1"/>
  <c r="B13" i="1" s="1"/>
  <c r="A12" i="1"/>
  <c r="B12" i="1" s="1"/>
  <c r="A10" i="1"/>
  <c r="B10" i="1" s="1"/>
  <c r="V9" i="1"/>
  <c r="V10" i="1" s="1"/>
  <c r="A9" i="1"/>
  <c r="B9" i="1" s="1"/>
  <c r="A8" i="1"/>
  <c r="B8" i="1" s="1"/>
  <c r="A7" i="1"/>
  <c r="B7" i="1" s="1"/>
  <c r="V6" i="1"/>
  <c r="V7" i="1" s="1"/>
  <c r="A6" i="1"/>
  <c r="B6" i="1" s="1"/>
  <c r="A5" i="1"/>
  <c r="K51" i="2" l="1"/>
  <c r="K55" i="2"/>
  <c r="K19" i="2"/>
  <c r="K6" i="1" s="1"/>
  <c r="K13" i="1" s="1"/>
  <c r="K20" i="1" s="1"/>
  <c r="K27" i="1" s="1"/>
  <c r="K34" i="1" s="1"/>
  <c r="K41" i="1" s="1"/>
  <c r="K48" i="1" s="1"/>
  <c r="K43" i="2"/>
  <c r="D33" i="1" s="1"/>
  <c r="C43" i="1"/>
  <c r="C45" i="1"/>
  <c r="C41" i="1"/>
  <c r="K27" i="2"/>
  <c r="D5" i="1" s="1"/>
  <c r="K56" i="2"/>
  <c r="R54" i="1" s="1"/>
  <c r="V38" i="1"/>
  <c r="K8" i="2"/>
  <c r="L3" i="1" s="1"/>
  <c r="K14" i="2"/>
  <c r="N5" i="1" s="1"/>
  <c r="N12" i="1" s="1"/>
  <c r="N19" i="1" s="1"/>
  <c r="N26" i="1" s="1"/>
  <c r="N33" i="1" s="1"/>
  <c r="N40" i="1" s="1"/>
  <c r="N47" i="1" s="1"/>
  <c r="K28" i="2"/>
  <c r="D6" i="1" s="1"/>
  <c r="K64" i="2"/>
  <c r="S5" i="1" s="1"/>
  <c r="S36" i="1"/>
  <c r="K9" i="2"/>
  <c r="A4" i="1" s="1"/>
  <c r="V4" i="1" s="1"/>
  <c r="K38" i="2"/>
  <c r="D22" i="1" s="1"/>
  <c r="K65" i="2"/>
  <c r="K3" i="2"/>
  <c r="K29" i="2"/>
  <c r="D7" i="1" s="1"/>
  <c r="J2" i="6" s="1"/>
  <c r="K4" i="2"/>
  <c r="I2" i="1" s="1"/>
  <c r="K40" i="2"/>
  <c r="D27" i="1" s="1"/>
  <c r="F28" i="1" s="1"/>
  <c r="K2" i="8" s="1"/>
  <c r="K66" i="2"/>
  <c r="S8" i="1"/>
  <c r="K20" i="2"/>
  <c r="L6" i="1" s="1"/>
  <c r="L13" i="1" s="1"/>
  <c r="L20" i="1" s="1"/>
  <c r="L27" i="1" s="1"/>
  <c r="L34" i="1" s="1"/>
  <c r="L41" i="1" s="1"/>
  <c r="L48" i="1" s="1"/>
  <c r="K30" i="2"/>
  <c r="D8" i="1" s="1"/>
  <c r="N2" i="6" s="1"/>
  <c r="K44" i="2"/>
  <c r="D34" i="1" s="1"/>
  <c r="K57" i="2"/>
  <c r="K70" i="2"/>
  <c r="K15" i="2"/>
  <c r="R6" i="1" s="1"/>
  <c r="K23" i="2"/>
  <c r="O6" i="1" s="1"/>
  <c r="O13" i="1" s="1"/>
  <c r="O20" i="1" s="1"/>
  <c r="O27" i="1" s="1"/>
  <c r="O34" i="1" s="1"/>
  <c r="O41" i="1" s="1"/>
  <c r="O48" i="1" s="1"/>
  <c r="K32" i="2"/>
  <c r="D13" i="1" s="1"/>
  <c r="K45" i="2"/>
  <c r="D35" i="1" s="1"/>
  <c r="K11" i="2"/>
  <c r="H40" i="1" s="1"/>
  <c r="K58" i="2"/>
  <c r="Q6" i="1"/>
  <c r="Q13" i="1" s="1"/>
  <c r="Q20" i="1" s="1"/>
  <c r="Q27" i="1" s="1"/>
  <c r="Q34" i="1" s="1"/>
  <c r="Q41" i="1" s="1"/>
  <c r="K2" i="2"/>
  <c r="A1" i="1" s="1"/>
  <c r="K16" i="2"/>
  <c r="R33" i="1" s="1"/>
  <c r="K25" i="2"/>
  <c r="S2" i="1" s="1"/>
  <c r="K35" i="2"/>
  <c r="D19" i="1" s="1"/>
  <c r="F24" i="1" s="1"/>
  <c r="W2" i="7" s="1"/>
  <c r="K49" i="2"/>
  <c r="D42" i="1" s="1"/>
  <c r="K62" i="2"/>
  <c r="K6" i="2"/>
  <c r="C3" i="1" s="1"/>
  <c r="S3" i="1" s="1"/>
  <c r="K24" i="2"/>
  <c r="P6" i="1" s="1"/>
  <c r="P13" i="1" s="1"/>
  <c r="P20" i="1" s="1"/>
  <c r="P27" i="1" s="1"/>
  <c r="P34" i="1" s="1"/>
  <c r="P41" i="1" s="1"/>
  <c r="P48" i="1" s="1"/>
  <c r="K34" i="2"/>
  <c r="D15" i="1" s="1"/>
  <c r="N2" i="5" s="1"/>
  <c r="K47" i="2"/>
  <c r="D40" i="1" s="1"/>
  <c r="K12" i="2"/>
  <c r="I6" i="1" s="1"/>
  <c r="I13" i="1" s="1"/>
  <c r="I20" i="1" s="1"/>
  <c r="I27" i="1" s="1"/>
  <c r="I34" i="1" s="1"/>
  <c r="I41" i="1" s="1"/>
  <c r="I48" i="1" s="1"/>
  <c r="K26" i="2"/>
  <c r="R47" i="1" s="1"/>
  <c r="K36" i="2"/>
  <c r="D20" i="1" s="1"/>
  <c r="F2" i="7" s="1"/>
  <c r="AL2" i="7" s="1"/>
  <c r="K50" i="2"/>
  <c r="D43" i="1" s="1"/>
  <c r="K63" i="2"/>
  <c r="B5" i="1"/>
  <c r="A3" i="1"/>
  <c r="T3" i="1" s="1"/>
  <c r="F20" i="1"/>
  <c r="G2" i="7" s="1"/>
  <c r="AM2" i="7" s="1"/>
  <c r="F43" i="1"/>
  <c r="O2" i="10" s="1"/>
  <c r="D37" i="1"/>
  <c r="R2" i="9" s="1"/>
  <c r="H26" i="1"/>
  <c r="D9" i="1"/>
  <c r="R2" i="6" s="1"/>
  <c r="F5" i="1"/>
  <c r="C2" i="6" s="1"/>
  <c r="AK2" i="6" s="1"/>
  <c r="F36" i="1"/>
  <c r="O2" i="9" s="1"/>
  <c r="K48" i="2"/>
  <c r="D41" i="1" s="1"/>
  <c r="F2" i="10" s="1"/>
  <c r="AL2" i="10" s="1"/>
  <c r="K52" i="2"/>
  <c r="K59" i="2"/>
  <c r="K67" i="2"/>
  <c r="K7" i="2"/>
  <c r="E3" i="1" s="1"/>
  <c r="K13" i="2"/>
  <c r="K21" i="2"/>
  <c r="M6" i="1" s="1"/>
  <c r="M13" i="1" s="1"/>
  <c r="M20" i="1" s="1"/>
  <c r="M27" i="1" s="1"/>
  <c r="M34" i="1" s="1"/>
  <c r="M41" i="1" s="1"/>
  <c r="M48" i="1" s="1"/>
  <c r="K37" i="2"/>
  <c r="D21" i="1" s="1"/>
  <c r="J2" i="7" s="1"/>
  <c r="K39" i="2"/>
  <c r="D26" i="1" s="1"/>
  <c r="B2" i="8" s="1"/>
  <c r="AJ2" i="8" s="1"/>
  <c r="K41" i="2"/>
  <c r="D28" i="1" s="1"/>
  <c r="J2" i="8" s="1"/>
  <c r="K53" i="2"/>
  <c r="K60" i="2"/>
  <c r="K68" i="2"/>
  <c r="K1" i="2"/>
  <c r="K5" i="2"/>
  <c r="K10" i="2"/>
  <c r="B4" i="1" s="1"/>
  <c r="V5" i="1" s="1"/>
  <c r="K22" i="2"/>
  <c r="N6" i="1" s="1"/>
  <c r="N13" i="1" s="1"/>
  <c r="N20" i="1" s="1"/>
  <c r="N27" i="1" s="1"/>
  <c r="N34" i="1" s="1"/>
  <c r="N41" i="1" s="1"/>
  <c r="N48" i="1" s="1"/>
  <c r="K31" i="2"/>
  <c r="D12" i="1" s="1"/>
  <c r="B2" i="5" s="1"/>
  <c r="AJ2" i="5" s="1"/>
  <c r="K33" i="2"/>
  <c r="D14" i="1" s="1"/>
  <c r="J2" i="5" s="1"/>
  <c r="K42" i="2"/>
  <c r="D29" i="1" s="1"/>
  <c r="N2" i="8" s="1"/>
  <c r="K46" i="2"/>
  <c r="D36" i="1" s="1"/>
  <c r="N2" i="9" s="1"/>
  <c r="K54" i="2"/>
  <c r="K61" i="2"/>
  <c r="AC5" i="6" l="1"/>
  <c r="AD5" i="6" s="1"/>
  <c r="F16" i="1"/>
  <c r="S2" i="5" s="1"/>
  <c r="F2" i="5"/>
  <c r="AL2" i="5" s="1"/>
  <c r="F31" i="1"/>
  <c r="W2" i="8" s="1"/>
  <c r="F2" i="8"/>
  <c r="AL2" i="8" s="1"/>
  <c r="F7" i="1"/>
  <c r="K2" i="6" s="1"/>
  <c r="F2" i="6"/>
  <c r="AL2" i="6" s="1"/>
  <c r="D38" i="1"/>
  <c r="V2" i="9" s="1"/>
  <c r="B2" i="9"/>
  <c r="AJ2" i="9" s="1"/>
  <c r="F41" i="1"/>
  <c r="G2" i="10" s="1"/>
  <c r="AM2" i="10" s="1"/>
  <c r="N2" i="10"/>
  <c r="F35" i="1"/>
  <c r="K2" i="9" s="1"/>
  <c r="F2" i="9"/>
  <c r="AL2" i="9" s="1"/>
  <c r="F8" i="1"/>
  <c r="O2" i="6" s="1"/>
  <c r="B2" i="6"/>
  <c r="AJ2" i="6" s="1"/>
  <c r="D44" i="1"/>
  <c r="R2" i="10" s="1"/>
  <c r="B2" i="10"/>
  <c r="AJ2" i="10" s="1"/>
  <c r="D10" i="1"/>
  <c r="V2" i="6" s="1"/>
  <c r="F40" i="1"/>
  <c r="C2" i="10" s="1"/>
  <c r="AK2" i="10" s="1"/>
  <c r="J2" i="10"/>
  <c r="F22" i="1"/>
  <c r="O2" i="7" s="1"/>
  <c r="B2" i="7"/>
  <c r="AJ2" i="7" s="1"/>
  <c r="F33" i="1"/>
  <c r="C2" i="9" s="1"/>
  <c r="AK2" i="9" s="1"/>
  <c r="J2" i="9"/>
  <c r="F23" i="1"/>
  <c r="S2" i="7" s="1"/>
  <c r="N2" i="7"/>
  <c r="C35" i="1"/>
  <c r="C17" i="1"/>
  <c r="C38" i="1"/>
  <c r="C13" i="1"/>
  <c r="C14" i="1"/>
  <c r="C33" i="1"/>
  <c r="S57" i="1"/>
  <c r="C29" i="1"/>
  <c r="C31" i="1"/>
  <c r="C26" i="1"/>
  <c r="C15" i="1"/>
  <c r="C16" i="1"/>
  <c r="C12" i="1"/>
  <c r="F14" i="1"/>
  <c r="K2" i="5" s="1"/>
  <c r="S29" i="1"/>
  <c r="C27" i="1"/>
  <c r="C28" i="1"/>
  <c r="C30" i="1"/>
  <c r="C6" i="1"/>
  <c r="C7" i="1"/>
  <c r="C9" i="1"/>
  <c r="S33" i="1"/>
  <c r="S50" i="1"/>
  <c r="S26" i="1"/>
  <c r="C22" i="1"/>
  <c r="C23" i="1"/>
  <c r="C20" i="1"/>
  <c r="C34" i="1"/>
  <c r="C36" i="1"/>
  <c r="C37" i="1"/>
  <c r="S22" i="1"/>
  <c r="C24" i="1"/>
  <c r="C21" i="1"/>
  <c r="C19" i="1"/>
  <c r="C10" i="1"/>
  <c r="C5" i="1"/>
  <c r="C8" i="1"/>
  <c r="F10" i="1"/>
  <c r="W2" i="6" s="1"/>
  <c r="S47" i="1"/>
  <c r="S12" i="1"/>
  <c r="C44" i="1"/>
  <c r="C40" i="1"/>
  <c r="C42" i="1"/>
  <c r="F38" i="1"/>
  <c r="W2" i="9" s="1"/>
  <c r="F21" i="1"/>
  <c r="K2" i="7" s="1"/>
  <c r="D24" i="1"/>
  <c r="V2" i="7" s="1"/>
  <c r="F45" i="1"/>
  <c r="W2" i="10" s="1"/>
  <c r="D45" i="1"/>
  <c r="V2" i="10" s="1"/>
  <c r="H12" i="1"/>
  <c r="H33" i="1"/>
  <c r="F6" i="1"/>
  <c r="G2" i="6" s="1"/>
  <c r="AM2" i="6" s="1"/>
  <c r="F9" i="1"/>
  <c r="H5" i="1"/>
  <c r="F13" i="1"/>
  <c r="G2" i="5" s="1"/>
  <c r="AM2" i="5" s="1"/>
  <c r="F17" i="1"/>
  <c r="W2" i="5" s="1"/>
  <c r="H19" i="1"/>
  <c r="F37" i="1"/>
  <c r="S2" i="9" s="1"/>
  <c r="F34" i="1"/>
  <c r="G2" i="9" s="1"/>
  <c r="AM2" i="9" s="1"/>
  <c r="F26" i="1"/>
  <c r="C2" i="8" s="1"/>
  <c r="AK2" i="8" s="1"/>
  <c r="D30" i="1"/>
  <c r="R2" i="8" s="1"/>
  <c r="D31" i="1"/>
  <c r="V2" i="8" s="1"/>
  <c r="F29" i="1"/>
  <c r="O2" i="8" s="1"/>
  <c r="F44" i="1"/>
  <c r="S2" i="10" s="1"/>
  <c r="F42" i="1"/>
  <c r="K2" i="10" s="1"/>
  <c r="S19" i="1"/>
  <c r="D23" i="1"/>
  <c r="F19" i="1"/>
  <c r="C2" i="7" s="1"/>
  <c r="AK2" i="7" s="1"/>
  <c r="S54" i="1"/>
  <c r="J5" i="1"/>
  <c r="J12" i="1" s="1"/>
  <c r="J19" i="1" s="1"/>
  <c r="J26" i="1" s="1"/>
  <c r="J33" i="1" s="1"/>
  <c r="J40" i="1" s="1"/>
  <c r="J47" i="1" s="1"/>
  <c r="S40" i="1"/>
  <c r="F27" i="1"/>
  <c r="G2" i="8" s="1"/>
  <c r="AM2" i="8" s="1"/>
  <c r="F30" i="1"/>
  <c r="S2" i="8" s="1"/>
  <c r="S15" i="1"/>
  <c r="D17" i="1"/>
  <c r="V2" i="5" s="1"/>
  <c r="F12" i="1"/>
  <c r="C2" i="5" s="1"/>
  <c r="AK2" i="5" s="1"/>
  <c r="F15" i="1"/>
  <c r="O2" i="5" s="1"/>
  <c r="D16" i="1"/>
  <c r="R2" i="5" s="1"/>
  <c r="S43" i="1"/>
  <c r="AA7" i="6" l="1"/>
  <c r="AB7" i="6" s="1"/>
  <c r="AA22" i="6"/>
  <c r="AB22" i="6" s="1"/>
  <c r="AA20" i="6"/>
  <c r="AB20" i="6" s="1"/>
  <c r="AA21" i="6"/>
  <c r="AB21" i="6" s="1"/>
  <c r="AA18" i="6"/>
  <c r="AB18" i="6" s="1"/>
  <c r="AA19" i="6"/>
  <c r="AB19" i="6" s="1"/>
  <c r="AA14" i="6"/>
  <c r="AB14" i="6" s="1"/>
  <c r="AA16" i="6"/>
  <c r="AB16" i="6" s="1"/>
  <c r="AA13" i="6"/>
  <c r="AB13" i="6" s="1"/>
  <c r="AA24" i="6"/>
  <c r="AB24" i="6" s="1"/>
  <c r="AA27" i="6"/>
  <c r="AB27" i="6" s="1"/>
  <c r="AA17" i="6"/>
  <c r="AB17" i="6" s="1"/>
  <c r="AA26" i="6"/>
  <c r="AB26" i="6" s="1"/>
  <c r="AA11" i="6"/>
  <c r="AB11" i="6" s="1"/>
  <c r="AA25" i="6"/>
  <c r="AB25" i="6" s="1"/>
  <c r="AA23" i="6"/>
  <c r="AB23" i="6" s="1"/>
  <c r="AA6" i="6"/>
  <c r="AB6" i="6" s="1"/>
  <c r="AA15" i="6"/>
  <c r="AB15" i="6" s="1"/>
  <c r="AA8" i="6"/>
  <c r="AB8" i="6" s="1"/>
  <c r="AA9" i="6"/>
  <c r="AB9" i="6" s="1"/>
  <c r="AA10" i="6"/>
  <c r="AB10" i="6" s="1"/>
  <c r="AA12" i="6"/>
  <c r="AB12" i="6" s="1"/>
  <c r="AA5" i="6"/>
  <c r="AB5" i="6" s="1"/>
  <c r="A31" i="2"/>
  <c r="B31" i="2" s="1"/>
  <c r="C31" i="2" s="1"/>
  <c r="A17" i="2"/>
  <c r="B17" i="2" s="1"/>
  <c r="C17" i="2" s="1"/>
  <c r="R2" i="7"/>
  <c r="A5" i="2"/>
  <c r="B5" i="2" s="1"/>
  <c r="C5" i="2" s="1"/>
  <c r="A6" i="2"/>
  <c r="B6" i="2" s="1"/>
  <c r="C6" i="2" s="1"/>
  <c r="S2" i="6"/>
  <c r="A10" i="2"/>
  <c r="B10" i="2" s="1"/>
  <c r="C10" i="2" s="1"/>
  <c r="A3" i="2"/>
  <c r="B3" i="2" s="1"/>
  <c r="C3" i="2" s="1"/>
  <c r="A41" i="2"/>
  <c r="B41" i="2" s="1"/>
  <c r="C41" i="2" s="1"/>
  <c r="A20" i="2"/>
  <c r="B20" i="2" s="1"/>
  <c r="C20" i="2" s="1"/>
  <c r="A26" i="2"/>
  <c r="B26" i="2" s="1"/>
  <c r="C26" i="2" s="1"/>
  <c r="A34" i="2"/>
  <c r="B34" i="2" s="1"/>
  <c r="C34" i="2" s="1"/>
  <c r="A32" i="2"/>
  <c r="B32" i="2" s="1"/>
  <c r="C32" i="2" s="1"/>
  <c r="A4" i="2"/>
  <c r="B4" i="2" s="1"/>
  <c r="C4" i="2" s="1"/>
  <c r="A38" i="2"/>
  <c r="B38" i="2" s="1"/>
  <c r="C38" i="2" s="1"/>
  <c r="A18" i="2"/>
  <c r="B18" i="2" s="1"/>
  <c r="C18" i="2" s="1"/>
  <c r="A25" i="2"/>
  <c r="B25" i="2" s="1"/>
  <c r="C25" i="2" s="1"/>
  <c r="A33" i="2"/>
  <c r="B33" i="2" s="1"/>
  <c r="C33" i="2" s="1"/>
  <c r="A39" i="2"/>
  <c r="B39" i="2" s="1"/>
  <c r="C39" i="2" s="1"/>
  <c r="A12" i="2"/>
  <c r="B12" i="2" s="1"/>
  <c r="C12" i="2" s="1"/>
  <c r="A27" i="2"/>
  <c r="B27" i="2" s="1"/>
  <c r="C27" i="2" s="1"/>
  <c r="A24" i="2"/>
  <c r="B24" i="2" s="1"/>
  <c r="C24" i="2" s="1"/>
  <c r="A19" i="2"/>
  <c r="B19" i="2" s="1"/>
  <c r="C19" i="2" s="1"/>
  <c r="A40" i="2"/>
  <c r="B40" i="2" s="1"/>
  <c r="C40" i="2" s="1"/>
  <c r="A11" i="2"/>
  <c r="B11" i="2" s="1"/>
  <c r="C11" i="2" s="1"/>
  <c r="A13" i="2"/>
  <c r="B13" i="2" s="1"/>
  <c r="C13" i="2" s="1"/>
  <c r="Q42" i="1" l="1"/>
  <c r="P42" i="1" s="1" a="1"/>
  <c r="P42" i="1" s="1"/>
  <c r="Q36" i="1"/>
  <c r="I36" i="1" s="1" a="1"/>
  <c r="I36" i="1" s="1"/>
  <c r="Q9" i="1"/>
  <c r="P9" i="1" s="1" a="1"/>
  <c r="P9" i="1" s="1"/>
  <c r="Q10" i="1"/>
  <c r="I10" i="1" s="1" a="1"/>
  <c r="I10" i="1" s="1"/>
  <c r="Q22" i="1"/>
  <c r="I22" i="1" s="1" a="1"/>
  <c r="I22" i="1" s="1"/>
  <c r="Q7" i="1"/>
  <c r="Q8" i="1"/>
  <c r="O8" i="1" s="1" a="1"/>
  <c r="O8" i="1" s="1"/>
  <c r="Q35" i="1"/>
  <c r="O35" i="1" s="1" a="1"/>
  <c r="O35" i="1" s="1"/>
  <c r="Q23" i="1"/>
  <c r="O23" i="1" s="1" a="1"/>
  <c r="O23" i="1" s="1"/>
  <c r="Q38" i="1"/>
  <c r="I38" i="1" s="1" a="1"/>
  <c r="I38" i="1" s="1"/>
  <c r="Q37" i="1"/>
  <c r="I37" i="1" s="1" a="1"/>
  <c r="I37" i="1" s="1"/>
  <c r="Q24" i="1"/>
  <c r="I24" i="1" s="1" a="1"/>
  <c r="I24" i="1" s="1"/>
  <c r="Q21" i="1"/>
  <c r="I21" i="1" s="1" a="1"/>
  <c r="I21" i="1" s="1"/>
  <c r="Q14" i="1"/>
  <c r="I14" i="1" s="1" a="1"/>
  <c r="I14" i="1" s="1"/>
  <c r="Q43" i="1"/>
  <c r="Q16" i="1"/>
  <c r="Q44" i="1"/>
  <c r="Q31" i="1"/>
  <c r="Q28" i="1"/>
  <c r="Q29" i="1"/>
  <c r="Q30" i="1"/>
  <c r="Q15" i="1"/>
  <c r="Q45" i="1"/>
  <c r="Q17" i="1"/>
  <c r="P35" i="1" l="1" a="1"/>
  <c r="P35" i="1" s="1"/>
  <c r="N35" i="1" s="1"/>
  <c r="O36" i="1" a="1"/>
  <c r="O36" i="1" s="1"/>
  <c r="I23" i="1" a="1"/>
  <c r="I23" i="1" s="1"/>
  <c r="L23" i="1" s="1"/>
  <c r="K23" i="1" s="1"/>
  <c r="P36" i="1" a="1"/>
  <c r="P36" i="1" s="1"/>
  <c r="I35" i="1" a="1"/>
  <c r="I35" i="1" s="1"/>
  <c r="J35" i="1" s="1"/>
  <c r="I42" i="1" a="1"/>
  <c r="I42" i="1" s="1"/>
  <c r="J42" i="1" s="1"/>
  <c r="O42" i="1" a="1"/>
  <c r="O42" i="1" s="1"/>
  <c r="N42" i="1" s="1"/>
  <c r="P21" i="1" a="1"/>
  <c r="P21" i="1" s="1"/>
  <c r="O24" i="1" a="1"/>
  <c r="O24" i="1" s="1"/>
  <c r="P24" i="1" a="1"/>
  <c r="P24" i="1" s="1"/>
  <c r="O22" i="1" a="1"/>
  <c r="O22" i="1" s="1"/>
  <c r="P22" i="1" a="1"/>
  <c r="P22" i="1" s="1"/>
  <c r="O21" i="1" a="1"/>
  <c r="O21" i="1" s="1"/>
  <c r="O14" i="1" a="1"/>
  <c r="O14" i="1" s="1"/>
  <c r="P14" i="1" a="1"/>
  <c r="P14" i="1" s="1"/>
  <c r="P10" i="1" a="1"/>
  <c r="P10" i="1" s="1"/>
  <c r="I9" i="1" a="1"/>
  <c r="I9" i="1" s="1"/>
  <c r="L9" i="1" s="1"/>
  <c r="K9" i="1" s="1"/>
  <c r="O9" i="1" a="1"/>
  <c r="O9" i="1" s="1"/>
  <c r="N9" i="1" s="1"/>
  <c r="O10" i="1" a="1"/>
  <c r="O10" i="1" s="1"/>
  <c r="I8" i="1" a="1"/>
  <c r="I8" i="1" s="1"/>
  <c r="J8" i="1" s="1"/>
  <c r="P8" i="1" a="1"/>
  <c r="P8" i="1" s="1"/>
  <c r="N8" i="1" s="1"/>
  <c r="P23" i="1" a="1"/>
  <c r="P23" i="1" s="1"/>
  <c r="N23" i="1" s="1"/>
  <c r="O38" i="1" a="1"/>
  <c r="O38" i="1" s="1"/>
  <c r="O37" i="1" a="1"/>
  <c r="O37" i="1" s="1"/>
  <c r="P37" i="1" a="1"/>
  <c r="P37" i="1" s="1"/>
  <c r="I7" i="1" a="1"/>
  <c r="I7" i="1" s="1"/>
  <c r="P7" i="1" a="1"/>
  <c r="P7" i="1" s="1"/>
  <c r="O7" i="1" a="1"/>
  <c r="O7" i="1" s="1"/>
  <c r="P38" i="1" a="1"/>
  <c r="P38" i="1" s="1"/>
  <c r="L38" i="1"/>
  <c r="K38" i="1" s="1"/>
  <c r="J38" i="1"/>
  <c r="J36" i="1"/>
  <c r="L36" i="1"/>
  <c r="K36" i="1" s="1"/>
  <c r="J21" i="1"/>
  <c r="L21" i="1"/>
  <c r="K21" i="1" s="1"/>
  <c r="O15" i="1" a="1"/>
  <c r="O15" i="1" s="1"/>
  <c r="P15" i="1" a="1"/>
  <c r="P15" i="1" s="1"/>
  <c r="I15" i="1" a="1"/>
  <c r="I15" i="1" s="1"/>
  <c r="O45" i="1" a="1"/>
  <c r="O45" i="1" s="1"/>
  <c r="P45" i="1" a="1"/>
  <c r="P45" i="1" s="1"/>
  <c r="I45" i="1" a="1"/>
  <c r="I45" i="1" s="1"/>
  <c r="I28" i="1" a="1"/>
  <c r="I28" i="1" s="1"/>
  <c r="O28" i="1" a="1"/>
  <c r="O28" i="1" s="1"/>
  <c r="P28" i="1" a="1"/>
  <c r="P28" i="1" s="1"/>
  <c r="O43" i="1" a="1"/>
  <c r="O43" i="1" s="1"/>
  <c r="I43" i="1" a="1"/>
  <c r="I43" i="1" s="1"/>
  <c r="P43" i="1" a="1"/>
  <c r="P43" i="1" s="1"/>
  <c r="P31" i="1" a="1"/>
  <c r="P31" i="1" s="1"/>
  <c r="O31" i="1" a="1"/>
  <c r="O31" i="1" s="1"/>
  <c r="I31" i="1" a="1"/>
  <c r="I31" i="1" s="1"/>
  <c r="O44" i="1" a="1"/>
  <c r="O44" i="1" s="1"/>
  <c r="I44" i="1" a="1"/>
  <c r="I44" i="1" s="1"/>
  <c r="P44" i="1" a="1"/>
  <c r="P44" i="1" s="1"/>
  <c r="L24" i="1"/>
  <c r="K24" i="1" s="1"/>
  <c r="J24" i="1"/>
  <c r="L37" i="1"/>
  <c r="K37" i="1" s="1"/>
  <c r="J37" i="1"/>
  <c r="J22" i="1"/>
  <c r="L22" i="1"/>
  <c r="K22" i="1" s="1"/>
  <c r="L14" i="1"/>
  <c r="K14" i="1" s="1"/>
  <c r="J14" i="1"/>
  <c r="O30" i="1" a="1"/>
  <c r="O30" i="1" s="1"/>
  <c r="I30" i="1" a="1"/>
  <c r="I30" i="1" s="1"/>
  <c r="P30" i="1" a="1"/>
  <c r="P30" i="1" s="1"/>
  <c r="I17" i="1" a="1"/>
  <c r="I17" i="1" s="1"/>
  <c r="O17" i="1" a="1"/>
  <c r="O17" i="1" s="1"/>
  <c r="P17" i="1" a="1"/>
  <c r="P17" i="1" s="1"/>
  <c r="P29" i="1" a="1"/>
  <c r="P29" i="1" s="1"/>
  <c r="I29" i="1" a="1"/>
  <c r="I29" i="1" s="1"/>
  <c r="O29" i="1" a="1"/>
  <c r="O29" i="1" s="1"/>
  <c r="O16" i="1" a="1"/>
  <c r="O16" i="1" s="1"/>
  <c r="P16" i="1" a="1"/>
  <c r="P16" i="1" s="1"/>
  <c r="I16" i="1" a="1"/>
  <c r="I16" i="1" s="1"/>
  <c r="L10" i="1"/>
  <c r="K10" i="1" s="1"/>
  <c r="J10" i="1"/>
  <c r="J23" i="1" l="1"/>
  <c r="M23" i="1" s="1"/>
  <c r="N36" i="1"/>
  <c r="N37" i="1"/>
  <c r="A45" i="2"/>
  <c r="L35" i="1"/>
  <c r="K35" i="1" s="1"/>
  <c r="M35" i="1" s="1"/>
  <c r="L42" i="1"/>
  <c r="K42" i="1" s="1"/>
  <c r="M42" i="1" s="1"/>
  <c r="N44" i="1"/>
  <c r="A49" i="2"/>
  <c r="N38" i="1"/>
  <c r="N28" i="1"/>
  <c r="N30" i="1"/>
  <c r="N22" i="1"/>
  <c r="N21" i="1"/>
  <c r="N24" i="1"/>
  <c r="A47" i="2"/>
  <c r="N17" i="1"/>
  <c r="N15" i="1"/>
  <c r="N14" i="1"/>
  <c r="N16" i="1"/>
  <c r="L8" i="1"/>
  <c r="K8" i="1" s="1"/>
  <c r="M8" i="1" s="1"/>
  <c r="N10" i="1"/>
  <c r="J9" i="1"/>
  <c r="M9" i="1" s="1"/>
  <c r="L7" i="1"/>
  <c r="K7" i="1" s="1"/>
  <c r="J7" i="1"/>
  <c r="S9" i="1" s="1"/>
  <c r="N7" i="1"/>
  <c r="N45" i="1"/>
  <c r="N43" i="1"/>
  <c r="M24" i="1"/>
  <c r="H24" i="1"/>
  <c r="H42" i="1"/>
  <c r="S23" i="1"/>
  <c r="H21" i="1"/>
  <c r="M21" i="1"/>
  <c r="S13" i="1"/>
  <c r="AA3" i="7" s="1"/>
  <c r="J29" i="1"/>
  <c r="L29" i="1"/>
  <c r="K29" i="1" s="1"/>
  <c r="M22" i="1"/>
  <c r="H22" i="1"/>
  <c r="S10" i="1"/>
  <c r="AC3" i="7" s="1"/>
  <c r="AF13" i="7" s="1"/>
  <c r="H35" i="1"/>
  <c r="S30" i="1"/>
  <c r="L30" i="1"/>
  <c r="K30" i="1" s="1"/>
  <c r="A48" i="2" s="1"/>
  <c r="J30" i="1"/>
  <c r="J31" i="1"/>
  <c r="L31" i="1"/>
  <c r="K31" i="1" s="1"/>
  <c r="J45" i="1"/>
  <c r="L45" i="1"/>
  <c r="K45" i="1" s="1"/>
  <c r="L15" i="1"/>
  <c r="K15" i="1" s="1"/>
  <c r="J15" i="1"/>
  <c r="L44" i="1"/>
  <c r="K44" i="1" s="1"/>
  <c r="A50" i="2" s="1"/>
  <c r="J44" i="1"/>
  <c r="L17" i="1"/>
  <c r="K17" i="1" s="1"/>
  <c r="J17" i="1"/>
  <c r="H37" i="1"/>
  <c r="M37" i="1"/>
  <c r="N31" i="1"/>
  <c r="L43" i="1"/>
  <c r="K43" i="1" s="1"/>
  <c r="J43" i="1"/>
  <c r="H38" i="1"/>
  <c r="M38" i="1"/>
  <c r="H8" i="1"/>
  <c r="S6" i="1"/>
  <c r="AC3" i="6" s="1"/>
  <c r="H10" i="1"/>
  <c r="M10" i="1"/>
  <c r="N29" i="1"/>
  <c r="J28" i="1"/>
  <c r="L28" i="1"/>
  <c r="K28" i="1" s="1"/>
  <c r="L16" i="1"/>
  <c r="K16" i="1" s="1"/>
  <c r="A46" i="2" s="1"/>
  <c r="J16" i="1"/>
  <c r="H36" i="1"/>
  <c r="S21" i="1"/>
  <c r="M36" i="1"/>
  <c r="S16" i="1"/>
  <c r="AA3" i="5" s="1"/>
  <c r="M14" i="1"/>
  <c r="H14" i="1"/>
  <c r="AD9" i="7" l="1"/>
  <c r="AD17" i="7"/>
  <c r="AD25" i="7"/>
  <c r="AB11" i="7"/>
  <c r="AB19" i="7"/>
  <c r="AB27" i="7"/>
  <c r="AD10" i="7"/>
  <c r="AD18" i="7"/>
  <c r="AD26" i="7"/>
  <c r="AB12" i="7"/>
  <c r="AB20" i="7"/>
  <c r="AD5" i="7"/>
  <c r="AD11" i="7"/>
  <c r="AD19" i="7"/>
  <c r="AD27" i="7"/>
  <c r="AB13" i="7"/>
  <c r="AB21" i="7"/>
  <c r="AB5" i="7"/>
  <c r="AD12" i="7"/>
  <c r="AD20" i="7"/>
  <c r="AB6" i="7"/>
  <c r="AB14" i="7"/>
  <c r="AB22" i="7"/>
  <c r="AD13" i="7"/>
  <c r="AD21" i="7"/>
  <c r="AB7" i="7"/>
  <c r="AB15" i="7"/>
  <c r="AB23" i="7"/>
  <c r="AD6" i="7"/>
  <c r="AD14" i="7"/>
  <c r="AD22" i="7"/>
  <c r="AB8" i="7"/>
  <c r="AB16" i="7"/>
  <c r="AB24" i="7"/>
  <c r="AD7" i="7"/>
  <c r="AD15" i="7"/>
  <c r="AD23" i="7"/>
  <c r="AB9" i="7"/>
  <c r="AB17" i="7"/>
  <c r="AB25" i="7"/>
  <c r="AD8" i="7"/>
  <c r="AD16" i="7"/>
  <c r="AD24" i="7"/>
  <c r="AB10" i="7"/>
  <c r="AB18" i="7"/>
  <c r="AB26" i="7"/>
  <c r="AF22" i="7"/>
  <c r="AF25" i="7"/>
  <c r="AF18" i="7"/>
  <c r="AF21" i="7"/>
  <c r="AF5" i="7"/>
  <c r="AF6" i="7"/>
  <c r="AG6" i="7" s="1"/>
  <c r="AF26" i="7"/>
  <c r="AF7" i="7"/>
  <c r="AF8" i="7"/>
  <c r="AF11" i="7"/>
  <c r="AF14" i="7"/>
  <c r="AF17" i="7"/>
  <c r="AF12" i="7"/>
  <c r="AF15" i="7"/>
  <c r="AF16" i="7"/>
  <c r="AF19" i="7"/>
  <c r="AG19" i="7" s="1"/>
  <c r="AF10" i="7"/>
  <c r="AF20" i="7"/>
  <c r="AF23" i="7"/>
  <c r="AF24" i="7"/>
  <c r="AF27" i="7"/>
  <c r="AG21" i="7"/>
  <c r="AF9" i="7"/>
  <c r="H23" i="1"/>
  <c r="H9" i="1"/>
  <c r="M7" i="1"/>
  <c r="H7" i="1"/>
  <c r="AA3" i="6"/>
  <c r="B49" i="2"/>
  <c r="H53" i="1" s="1"/>
  <c r="H45" i="1"/>
  <c r="M45" i="1"/>
  <c r="M31" i="1"/>
  <c r="H31" i="1"/>
  <c r="B45" i="2"/>
  <c r="H30" i="1"/>
  <c r="M30" i="1"/>
  <c r="H43" i="1"/>
  <c r="S28" i="1"/>
  <c r="M43" i="1"/>
  <c r="B46" i="2"/>
  <c r="H16" i="1"/>
  <c r="M16" i="1"/>
  <c r="M17" i="1"/>
  <c r="H17" i="1"/>
  <c r="S20" i="1"/>
  <c r="AC3" i="8" s="1"/>
  <c r="H29" i="1"/>
  <c r="M29" i="1"/>
  <c r="M28" i="1"/>
  <c r="S27" i="1"/>
  <c r="AA3" i="8" s="1"/>
  <c r="H28" i="1"/>
  <c r="H44" i="1"/>
  <c r="M44" i="1"/>
  <c r="B50" i="2"/>
  <c r="B47" i="2"/>
  <c r="H15" i="1"/>
  <c r="S7" i="1"/>
  <c r="AC3" i="5" s="1"/>
  <c r="AD5" i="5" s="1"/>
  <c r="M15" i="1"/>
  <c r="B48" i="2"/>
  <c r="P53" i="1"/>
  <c r="J53" i="1"/>
  <c r="O53" i="1"/>
  <c r="I53" i="1"/>
  <c r="L53" i="1"/>
  <c r="K53" i="1"/>
  <c r="N53" i="1"/>
  <c r="AD16" i="8" l="1"/>
  <c r="F7" i="13" s="1"/>
  <c r="AF18" i="8"/>
  <c r="G14" i="13" s="1"/>
  <c r="AB16" i="8"/>
  <c r="AF13" i="8"/>
  <c r="G6" i="13" s="1"/>
  <c r="AF24" i="8"/>
  <c r="G10" i="13" s="1"/>
  <c r="AD19" i="8"/>
  <c r="F19" i="13" s="1"/>
  <c r="AF19" i="8"/>
  <c r="G19" i="13" s="1"/>
  <c r="AD14" i="8"/>
  <c r="F15" i="13" s="1"/>
  <c r="AD26" i="8"/>
  <c r="F18" i="13" s="1"/>
  <c r="AB20" i="8"/>
  <c r="AD7" i="8"/>
  <c r="F9" i="13" s="1"/>
  <c r="AD23" i="8"/>
  <c r="F8" i="13" s="1"/>
  <c r="AD18" i="8"/>
  <c r="F14" i="13" s="1"/>
  <c r="AD6" i="8"/>
  <c r="F21" i="13" s="1"/>
  <c r="AF6" i="8"/>
  <c r="G21" i="13" s="1"/>
  <c r="AB14" i="8"/>
  <c r="AB19" i="8"/>
  <c r="AF16" i="8"/>
  <c r="G7" i="13" s="1"/>
  <c r="AF14" i="8"/>
  <c r="G15" i="13" s="1"/>
  <c r="AB18" i="8"/>
  <c r="AB23" i="8"/>
  <c r="AF22" i="8"/>
  <c r="G5" i="13" s="1"/>
  <c r="AD17" i="8"/>
  <c r="F13" i="13" s="1"/>
  <c r="AF17" i="8"/>
  <c r="G13" i="13" s="1"/>
  <c r="AB6" i="8"/>
  <c r="AB22" i="8"/>
  <c r="AF23" i="8"/>
  <c r="G8" i="13" s="1"/>
  <c r="AB17" i="8"/>
  <c r="AF21" i="8"/>
  <c r="G12" i="13" s="1"/>
  <c r="AD22" i="8"/>
  <c r="F5" i="13" s="1"/>
  <c r="AD9" i="8"/>
  <c r="F17" i="13" s="1"/>
  <c r="AB25" i="8"/>
  <c r="AB12" i="8"/>
  <c r="AF11" i="8"/>
  <c r="G23" i="13" s="1"/>
  <c r="AF9" i="8"/>
  <c r="G17" i="13" s="1"/>
  <c r="AB13" i="8"/>
  <c r="AD24" i="8"/>
  <c r="F10" i="13" s="1"/>
  <c r="AF26" i="8"/>
  <c r="G18" i="13" s="1"/>
  <c r="AF27" i="8"/>
  <c r="G22" i="13" s="1"/>
  <c r="AF7" i="8"/>
  <c r="G9" i="13" s="1"/>
  <c r="AF10" i="8"/>
  <c r="G3" i="13" s="1"/>
  <c r="AD15" i="8"/>
  <c r="F2" i="13" s="1"/>
  <c r="AD13" i="8"/>
  <c r="F6" i="13" s="1"/>
  <c r="AF15" i="8"/>
  <c r="G2" i="13" s="1"/>
  <c r="AB15" i="8"/>
  <c r="AB11" i="8"/>
  <c r="AD5" i="8"/>
  <c r="F16" i="13" s="1"/>
  <c r="AD21" i="8"/>
  <c r="F12" i="13" s="1"/>
  <c r="AF25" i="8"/>
  <c r="G24" i="13" s="1"/>
  <c r="AB10" i="8"/>
  <c r="AB26" i="8"/>
  <c r="AB5" i="8"/>
  <c r="AB21" i="8"/>
  <c r="AB27" i="8"/>
  <c r="AD20" i="8"/>
  <c r="F11" i="13" s="1"/>
  <c r="AB8" i="8"/>
  <c r="AB24" i="8"/>
  <c r="AF8" i="8"/>
  <c r="G20" i="13" s="1"/>
  <c r="AD11" i="8"/>
  <c r="F23" i="13" s="1"/>
  <c r="AD27" i="8"/>
  <c r="F22" i="13" s="1"/>
  <c r="AD12" i="8"/>
  <c r="F4" i="13" s="1"/>
  <c r="AD25" i="8"/>
  <c r="F24" i="13" s="1"/>
  <c r="AF12" i="8"/>
  <c r="G4" i="13" s="1"/>
  <c r="AB9" i="8"/>
  <c r="AF5" i="8"/>
  <c r="G16" i="13" s="1"/>
  <c r="AD10" i="8"/>
  <c r="F3" i="13" s="1"/>
  <c r="AB7" i="8"/>
  <c r="AF20" i="8"/>
  <c r="G11" i="13" s="1"/>
  <c r="AD8" i="8"/>
  <c r="F20" i="13" s="1"/>
  <c r="AG18" i="7"/>
  <c r="AB19" i="5"/>
  <c r="AD23" i="5"/>
  <c r="AD9" i="5"/>
  <c r="AB5" i="5"/>
  <c r="AD6" i="5"/>
  <c r="AD27" i="5"/>
  <c r="AB22" i="5"/>
  <c r="AD19" i="5"/>
  <c r="AB10" i="5"/>
  <c r="AB6" i="5"/>
  <c r="AB26" i="5"/>
  <c r="AB8" i="5"/>
  <c r="AD12" i="5"/>
  <c r="AB16" i="5"/>
  <c r="AD22" i="5"/>
  <c r="AB7" i="5"/>
  <c r="AD24" i="5"/>
  <c r="AD21" i="5"/>
  <c r="AB25" i="5"/>
  <c r="AB20" i="5"/>
  <c r="AD25" i="5"/>
  <c r="AD13" i="5"/>
  <c r="AB14" i="5"/>
  <c r="AB17" i="5"/>
  <c r="AD11" i="5"/>
  <c r="AB9" i="5"/>
  <c r="AB11" i="5"/>
  <c r="AD20" i="5"/>
  <c r="AD14" i="5"/>
  <c r="AB18" i="5"/>
  <c r="AB12" i="5"/>
  <c r="AD16" i="5"/>
  <c r="AD26" i="5"/>
  <c r="AB23" i="5"/>
  <c r="AD8" i="5"/>
  <c r="AB27" i="5"/>
  <c r="AB21" i="5"/>
  <c r="AD15" i="5"/>
  <c r="AD18" i="5"/>
  <c r="AB15" i="5"/>
  <c r="AD7" i="5"/>
  <c r="AD17" i="5"/>
  <c r="AB13" i="5"/>
  <c r="AB24" i="5"/>
  <c r="AD10" i="5"/>
  <c r="AF5" i="5"/>
  <c r="AF24" i="5"/>
  <c r="AF21" i="5"/>
  <c r="AF10" i="5"/>
  <c r="AF26" i="5"/>
  <c r="AF7" i="5"/>
  <c r="AF18" i="5"/>
  <c r="AF27" i="5"/>
  <c r="AF12" i="5"/>
  <c r="AF23" i="5"/>
  <c r="AF13" i="5"/>
  <c r="AF25" i="5"/>
  <c r="AF19" i="5"/>
  <c r="AF22" i="5"/>
  <c r="AF16" i="5"/>
  <c r="AF11" i="5"/>
  <c r="AF6" i="5"/>
  <c r="AF20" i="5"/>
  <c r="AF14" i="5"/>
  <c r="AF15" i="5"/>
  <c r="AF8" i="5"/>
  <c r="AF9" i="5"/>
  <c r="AF17" i="5"/>
  <c r="AG13" i="7"/>
  <c r="AG22" i="7"/>
  <c r="AG9" i="7"/>
  <c r="AG14" i="7"/>
  <c r="AG12" i="7"/>
  <c r="AG5" i="7"/>
  <c r="AG8" i="7"/>
  <c r="AG17" i="7"/>
  <c r="AG16" i="7"/>
  <c r="AG11" i="7"/>
  <c r="AG10" i="7"/>
  <c r="AG24" i="7"/>
  <c r="AG27" i="7"/>
  <c r="AG26" i="7"/>
  <c r="AG7" i="7"/>
  <c r="AG20" i="7"/>
  <c r="AG23" i="7"/>
  <c r="AG15" i="7"/>
  <c r="AG25" i="7"/>
  <c r="AF11" i="6"/>
  <c r="AF19" i="6"/>
  <c r="AF27" i="6"/>
  <c r="AF12" i="6"/>
  <c r="AF20" i="6"/>
  <c r="AF5" i="6"/>
  <c r="AF13" i="6"/>
  <c r="AF21" i="6"/>
  <c r="AF6" i="6"/>
  <c r="AF22" i="6"/>
  <c r="AF7" i="6"/>
  <c r="AF15" i="6"/>
  <c r="AF23" i="6"/>
  <c r="AF9" i="6"/>
  <c r="AF17" i="6"/>
  <c r="AF25" i="6"/>
  <c r="AF10" i="6"/>
  <c r="AF18" i="6"/>
  <c r="AF26" i="6"/>
  <c r="AF14" i="6"/>
  <c r="AF8" i="6"/>
  <c r="AF16" i="6"/>
  <c r="AF24" i="6"/>
  <c r="H52" i="1"/>
  <c r="H49" i="1"/>
  <c r="H50" i="1"/>
  <c r="H51" i="1"/>
  <c r="H54" i="1"/>
  <c r="L54" i="1"/>
  <c r="I49" i="1"/>
  <c r="K54" i="1"/>
  <c r="P50" i="1"/>
  <c r="K51" i="1"/>
  <c r="O49" i="1"/>
  <c r="L49" i="1"/>
  <c r="O50" i="1"/>
  <c r="L52" i="1"/>
  <c r="N54" i="1"/>
  <c r="N50" i="1"/>
  <c r="K49" i="1"/>
  <c r="O52" i="1"/>
  <c r="J50" i="1"/>
  <c r="P54" i="1"/>
  <c r="N51" i="1"/>
  <c r="I50" i="1"/>
  <c r="P51" i="1"/>
  <c r="P49" i="1"/>
  <c r="K52" i="1"/>
  <c r="M53" i="1"/>
  <c r="Q53" i="1"/>
  <c r="K50" i="1"/>
  <c r="I51" i="1"/>
  <c r="O51" i="1"/>
  <c r="J54" i="1"/>
  <c r="M49" i="1"/>
  <c r="M50" i="1"/>
  <c r="J49" i="1"/>
  <c r="Q49" i="1"/>
  <c r="J52" i="1"/>
  <c r="N52" i="1"/>
  <c r="I52" i="1"/>
  <c r="I54" i="1"/>
  <c r="M51" i="1"/>
  <c r="P52" i="1"/>
  <c r="M52" i="1"/>
  <c r="Q51" i="1"/>
  <c r="N49" i="1"/>
  <c r="Q54" i="1"/>
  <c r="L50" i="1"/>
  <c r="Q52" i="1"/>
  <c r="J51" i="1"/>
  <c r="Q50" i="1"/>
  <c r="O54" i="1"/>
  <c r="M54" i="1"/>
  <c r="L51" i="1"/>
  <c r="E23" i="13" l="1"/>
  <c r="AG11" i="8"/>
  <c r="E9" i="13"/>
  <c r="H9" i="13" s="1"/>
  <c r="AG7" i="8"/>
  <c r="E7" i="13"/>
  <c r="AG16" i="8"/>
  <c r="E17" i="13"/>
  <c r="H17" i="13" s="1"/>
  <c r="AG9" i="8"/>
  <c r="E20" i="13"/>
  <c r="AG8" i="8"/>
  <c r="E24" i="13"/>
  <c r="AG25" i="8"/>
  <c r="E15" i="13"/>
  <c r="AG14" i="8"/>
  <c r="AG21" i="8"/>
  <c r="E12" i="13"/>
  <c r="E2" i="13"/>
  <c r="AG15" i="8"/>
  <c r="E8" i="13"/>
  <c r="AG23" i="8"/>
  <c r="E16" i="13"/>
  <c r="AG5" i="8"/>
  <c r="E6" i="13"/>
  <c r="H6" i="13" s="1"/>
  <c r="AG13" i="8"/>
  <c r="AG17" i="8"/>
  <c r="E13" i="13"/>
  <c r="E14" i="13"/>
  <c r="H14" i="13" s="1"/>
  <c r="AG18" i="8"/>
  <c r="E22" i="13"/>
  <c r="H22" i="13" s="1"/>
  <c r="AG27" i="8"/>
  <c r="AG26" i="8"/>
  <c r="E18" i="13"/>
  <c r="E3" i="13"/>
  <c r="H3" i="13" s="1"/>
  <c r="AG10" i="8"/>
  <c r="E5" i="13"/>
  <c r="H5" i="13" s="1"/>
  <c r="AG22" i="8"/>
  <c r="E11" i="13"/>
  <c r="AG20" i="8"/>
  <c r="E10" i="13"/>
  <c r="H10" i="13" s="1"/>
  <c r="AG24" i="8"/>
  <c r="E4" i="13"/>
  <c r="AG12" i="8"/>
  <c r="E21" i="13"/>
  <c r="H21" i="13" s="1"/>
  <c r="AG6" i="8"/>
  <c r="E19" i="13"/>
  <c r="AG19" i="8"/>
  <c r="H4" i="13"/>
  <c r="H12" i="13"/>
  <c r="H19" i="13"/>
  <c r="H18" i="13"/>
  <c r="H23" i="13"/>
  <c r="AG24" i="5"/>
  <c r="AG7" i="5"/>
  <c r="AG17" i="5"/>
  <c r="H13" i="13"/>
  <c r="AG25" i="5"/>
  <c r="H24" i="13"/>
  <c r="AG6" i="5"/>
  <c r="AG14" i="5"/>
  <c r="H15" i="13"/>
  <c r="AG23" i="5"/>
  <c r="H8" i="13"/>
  <c r="AG13" i="5"/>
  <c r="AG21" i="5"/>
  <c r="AG12" i="5"/>
  <c r="AG10" i="5"/>
  <c r="AG11" i="5"/>
  <c r="AG26" i="5"/>
  <c r="AG5" i="5"/>
  <c r="H16" i="13"/>
  <c r="AG22" i="5"/>
  <c r="AG27" i="5"/>
  <c r="AG9" i="5"/>
  <c r="AG16" i="5"/>
  <c r="H7" i="13"/>
  <c r="AG19" i="5"/>
  <c r="AG15" i="5"/>
  <c r="H2" i="13"/>
  <c r="AG8" i="5"/>
  <c r="H20" i="13"/>
  <c r="AG20" i="5"/>
  <c r="H11" i="13"/>
  <c r="AG18" i="5"/>
  <c r="AG13" i="6"/>
  <c r="AG16" i="6"/>
  <c r="AG8" i="6"/>
  <c r="AG20" i="6"/>
  <c r="AG27" i="6"/>
  <c r="AG23" i="6"/>
  <c r="AG15" i="6"/>
  <c r="AG11" i="6"/>
  <c r="AG14" i="6"/>
  <c r="AG24" i="6"/>
  <c r="AG25" i="6"/>
  <c r="AG5" i="6"/>
  <c r="AG21" i="6"/>
  <c r="AG12" i="6"/>
  <c r="AG18" i="6"/>
  <c r="AG22" i="6"/>
  <c r="AG17" i="6"/>
  <c r="AG19" i="6"/>
  <c r="AG9" i="6"/>
  <c r="AG26" i="6"/>
  <c r="AG7" i="6"/>
  <c r="AG10" i="6"/>
  <c r="AG6" i="6"/>
  <c r="G51" i="1"/>
  <c r="G52" i="1"/>
  <c r="G54" i="1"/>
  <c r="G50" i="1"/>
  <c r="G49" i="1"/>
  <c r="G53" i="1"/>
  <c r="H55" i="1"/>
  <c r="S17" i="1" s="1" a="1"/>
  <c r="S17" i="1" s="1"/>
  <c r="I14" i="13" l="1"/>
  <c r="I16" i="13"/>
  <c r="I4" i="13"/>
  <c r="I15" i="13"/>
  <c r="I21" i="13"/>
  <c r="I2" i="13"/>
  <c r="I12" i="13"/>
  <c r="I20" i="13"/>
  <c r="I9" i="13"/>
  <c r="I5" i="13"/>
  <c r="I17" i="13"/>
  <c r="I7" i="13"/>
  <c r="I19" i="13"/>
  <c r="I22" i="13"/>
  <c r="I6" i="13"/>
  <c r="I13" i="13"/>
  <c r="I23" i="13"/>
  <c r="I8" i="13"/>
  <c r="I10" i="13"/>
  <c r="I24" i="13"/>
  <c r="I18" i="13"/>
  <c r="I11" i="13"/>
  <c r="S14" i="1" a="1"/>
  <c r="S14" i="1" s="1"/>
  <c r="S24" i="1" a="1"/>
  <c r="S24" i="1" s="1"/>
  <c r="S31" i="1" a="1"/>
  <c r="S31" i="1" s="1"/>
  <c r="H56" i="1"/>
  <c r="B2" i="13" l="1"/>
  <c r="B3" i="13" s="1"/>
  <c r="B4" i="13" s="1"/>
  <c r="B5" i="13" s="1"/>
  <c r="B6" i="13" l="1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</calcChain>
</file>

<file path=xl/sharedStrings.xml><?xml version="1.0" encoding="utf-8"?>
<sst xmlns="http://schemas.openxmlformats.org/spreadsheetml/2006/main" count="745" uniqueCount="461">
  <si>
    <t>español</t>
  </si>
  <si>
    <t>P</t>
  </si>
  <si>
    <t>deutsch</t>
  </si>
  <si>
    <t>italiano</t>
  </si>
  <si>
    <t>português</t>
  </si>
  <si>
    <t>english</t>
  </si>
  <si>
    <t>français</t>
  </si>
  <si>
    <t>pоссия</t>
  </si>
  <si>
    <t>Pts</t>
  </si>
  <si>
    <t>B</t>
  </si>
  <si>
    <t>C</t>
  </si>
  <si>
    <t>E</t>
  </si>
  <si>
    <t>F</t>
  </si>
  <si>
    <t>Differenz ± GMT</t>
  </si>
  <si>
    <t>Differenza ± GMT</t>
  </si>
  <si>
    <t>Diferença GMT ±</t>
  </si>
  <si>
    <t>Diferencia  ± GMT</t>
  </si>
  <si>
    <t>Difference ± GMT</t>
  </si>
  <si>
    <t>Différence ± GMT</t>
  </si>
  <si>
    <t>Разница ± GMT</t>
  </si>
  <si>
    <t>A</t>
  </si>
  <si>
    <t>D</t>
  </si>
  <si>
    <t xml:space="preserve">   ««« CHAMPION »»»</t>
  </si>
  <si>
    <t xml:space="preserve">   ««« CAMPEÃO »»»</t>
  </si>
  <si>
    <t xml:space="preserve">   ««« CAMPEÓN »»»</t>
  </si>
  <si>
    <t xml:space="preserve">   ««« ЧЕМПИОН »»»</t>
  </si>
  <si>
    <t xml:space="preserve">programm cup EURO </t>
  </si>
  <si>
    <t xml:space="preserve">programma di coppa EURO </t>
  </si>
  <si>
    <t xml:space="preserve">programa cup EURO </t>
  </si>
  <si>
    <t xml:space="preserve">programa de la copa EURO </t>
  </si>
  <si>
    <t xml:space="preserve">program cup EURO </t>
  </si>
  <si>
    <t xml:space="preserve">programme de la coupe EURO </t>
  </si>
  <si>
    <t>программа кубка ЕВРО</t>
  </si>
  <si>
    <t>super</t>
  </si>
  <si>
    <t>супер</t>
  </si>
  <si>
    <t>stadt</t>
  </si>
  <si>
    <t>città</t>
  </si>
  <si>
    <t>cidade</t>
  </si>
  <si>
    <t>ciudad</t>
  </si>
  <si>
    <t>city</t>
  </si>
  <si>
    <t>ville</t>
  </si>
  <si>
    <t>городок</t>
  </si>
  <si>
    <t>teams und ziele</t>
  </si>
  <si>
    <t>squadre e gli obiettivi</t>
  </si>
  <si>
    <t>equipes e objetivos</t>
  </si>
  <si>
    <t>equipos y goles</t>
  </si>
  <si>
    <t>teams and scores</t>
  </si>
  <si>
    <t>équipes et objectifs</t>
  </si>
  <si>
    <t>команды и цели</t>
  </si>
  <si>
    <t>bestenlisten</t>
  </si>
  <si>
    <t>classifiche</t>
  </si>
  <si>
    <t>resultados da mesa</t>
  </si>
  <si>
    <t>tablas de clasificación</t>
  </si>
  <si>
    <t>result tables</t>
  </si>
  <si>
    <t>tableaux de classification</t>
  </si>
  <si>
    <t>tаблицы лидеров</t>
  </si>
  <si>
    <t>Tag</t>
  </si>
  <si>
    <t>Giorno</t>
  </si>
  <si>
    <t>Dia</t>
  </si>
  <si>
    <t>Día</t>
  </si>
  <si>
    <t>Day</t>
  </si>
  <si>
    <t>Jour</t>
  </si>
  <si>
    <t>День</t>
  </si>
  <si>
    <t>Zeit</t>
  </si>
  <si>
    <t>Tempo</t>
  </si>
  <si>
    <t>Hora</t>
  </si>
  <si>
    <t>Hour</t>
  </si>
  <si>
    <t>Temps</t>
  </si>
  <si>
    <t>Час</t>
  </si>
  <si>
    <t>Gruppen:</t>
  </si>
  <si>
    <t>Gruppo:</t>
  </si>
  <si>
    <t>Grupo:</t>
  </si>
  <si>
    <t>Group:</t>
  </si>
  <si>
    <t>Groupe:</t>
  </si>
  <si>
    <t>Группа:</t>
  </si>
  <si>
    <t>teams</t>
  </si>
  <si>
    <t>squadre</t>
  </si>
  <si>
    <t>times</t>
  </si>
  <si>
    <t>equipos</t>
  </si>
  <si>
    <t>équipes</t>
  </si>
  <si>
    <t>команда</t>
  </si>
  <si>
    <t>spiele</t>
  </si>
  <si>
    <t>gioco</t>
  </si>
  <si>
    <t>partida</t>
  </si>
  <si>
    <t>cotejo</t>
  </si>
  <si>
    <t>match</t>
  </si>
  <si>
    <t>jouer</t>
  </si>
  <si>
    <t>cпички</t>
  </si>
  <si>
    <t>ziele</t>
  </si>
  <si>
    <t>obiettivi</t>
  </si>
  <si>
    <t>objetivos</t>
  </si>
  <si>
    <t>goles</t>
  </si>
  <si>
    <t>scores</t>
  </si>
  <si>
    <t>buts</t>
  </si>
  <si>
    <t>цели</t>
  </si>
  <si>
    <t>RUNDE ·· DER ·· LETZTEN ·· SECHZEHN</t>
  </si>
  <si>
    <t>OTTAVOS ·· D I ·· F I NALE</t>
  </si>
  <si>
    <t>O I TAVOS ·· DE ·· F I NAL</t>
  </si>
  <si>
    <t>OCTAVOS ·· DE ·· F I NAL</t>
  </si>
  <si>
    <t>ROUND ·· OF ·· S I XTEEN</t>
  </si>
  <si>
    <t>HU I T I ÈMES ·· DE ·· F I NALE</t>
  </si>
  <si>
    <t>1 / 8 ·· ФИНАЛ</t>
  </si>
  <si>
    <t>V I ERTEL ·· F I NALE</t>
  </si>
  <si>
    <t>QUART I ·· F I NALE</t>
  </si>
  <si>
    <t>QUARTAS ·· F I NAL</t>
  </si>
  <si>
    <t>CUARTOS ·· F I NAL</t>
  </si>
  <si>
    <t>QUARTER ·· F I NALS</t>
  </si>
  <si>
    <t>QUARTS ·· F I NALE</t>
  </si>
  <si>
    <t>ЧЕТВЕРТЬФИНАЛ</t>
  </si>
  <si>
    <t>Dritte</t>
  </si>
  <si>
    <t>Terzo</t>
  </si>
  <si>
    <t>Terceiro</t>
  </si>
  <si>
    <t>Terceros</t>
  </si>
  <si>
    <t>Thirds</t>
  </si>
  <si>
    <t>Thirths</t>
  </si>
  <si>
    <t>tретьи лица</t>
  </si>
  <si>
    <t>G</t>
  </si>
  <si>
    <t>J</t>
  </si>
  <si>
    <t>И</t>
  </si>
  <si>
    <t>R</t>
  </si>
  <si>
    <t>W</t>
  </si>
  <si>
    <t>В</t>
  </si>
  <si>
    <t>T</t>
  </si>
  <si>
    <t>Н</t>
  </si>
  <si>
    <t>V</t>
  </si>
  <si>
    <t>L</t>
  </si>
  <si>
    <t>П</t>
  </si>
  <si>
    <t>Z</t>
  </si>
  <si>
    <t>M</t>
  </si>
  <si>
    <t>З</t>
  </si>
  <si>
    <t>U</t>
  </si>
  <si>
    <t>Р</t>
  </si>
  <si>
    <t>Sprache</t>
  </si>
  <si>
    <t>Lingua</t>
  </si>
  <si>
    <t>Idioma</t>
  </si>
  <si>
    <t>Language</t>
  </si>
  <si>
    <t>Langue</t>
  </si>
  <si>
    <t>Идиома</t>
  </si>
  <si>
    <t>H ·· F I NAL</t>
  </si>
  <si>
    <t>S ·· F I NAL</t>
  </si>
  <si>
    <t>D ·· F I NAL</t>
  </si>
  <si>
    <t>П ·· ФИНАЛ</t>
  </si>
  <si>
    <t>italien</t>
  </si>
  <si>
    <t>italia</t>
  </si>
  <si>
    <t>itália</t>
  </si>
  <si>
    <t>Italia</t>
  </si>
  <si>
    <t>italy</t>
  </si>
  <si>
    <t>italie</t>
  </si>
  <si>
    <t>Италия</t>
  </si>
  <si>
    <t>wales</t>
  </si>
  <si>
    <t>galles</t>
  </si>
  <si>
    <t>gales</t>
  </si>
  <si>
    <t>Gales</t>
  </si>
  <si>
    <t>Уэльс</t>
  </si>
  <si>
    <t>türkei</t>
  </si>
  <si>
    <t>turchia</t>
  </si>
  <si>
    <t>turquia</t>
  </si>
  <si>
    <t>Turquía</t>
  </si>
  <si>
    <t>turkey</t>
  </si>
  <si>
    <t>turquie</t>
  </si>
  <si>
    <t>Турция</t>
  </si>
  <si>
    <t>schweiz</t>
  </si>
  <si>
    <t>svizzera</t>
  </si>
  <si>
    <t>suíça</t>
  </si>
  <si>
    <t>Suiza</t>
  </si>
  <si>
    <t>switzerland</t>
  </si>
  <si>
    <t>suisse</t>
  </si>
  <si>
    <t>Швейцария</t>
  </si>
  <si>
    <t>dänemark</t>
  </si>
  <si>
    <t>danimarca</t>
  </si>
  <si>
    <t>dinamarca</t>
  </si>
  <si>
    <t>Dinamarca</t>
  </si>
  <si>
    <t>denmark</t>
  </si>
  <si>
    <t>danemark</t>
  </si>
  <si>
    <t>Дания</t>
  </si>
  <si>
    <t>russland</t>
  </si>
  <si>
    <t>russia</t>
  </si>
  <si>
    <t>rússia</t>
  </si>
  <si>
    <t>Rusia</t>
  </si>
  <si>
    <t>russie</t>
  </si>
  <si>
    <t>Россия</t>
  </si>
  <si>
    <t>finnland</t>
  </si>
  <si>
    <t>finlandia</t>
  </si>
  <si>
    <t>finlândia</t>
  </si>
  <si>
    <t>Finlandia</t>
  </si>
  <si>
    <t>finland</t>
  </si>
  <si>
    <t>finlande</t>
  </si>
  <si>
    <t>Финляндия</t>
  </si>
  <si>
    <t>belgien</t>
  </si>
  <si>
    <t>belgio</t>
  </si>
  <si>
    <t>bélgica</t>
  </si>
  <si>
    <t>Bélgica</t>
  </si>
  <si>
    <t>belgium</t>
  </si>
  <si>
    <t>belgique</t>
  </si>
  <si>
    <t>Бельгия</t>
  </si>
  <si>
    <r>
      <rPr>
        <sz val="10"/>
        <color theme="1"/>
        <rFont val="Arial"/>
        <family val="2"/>
      </rPr>
      <t>ö</t>
    </r>
    <r>
      <rPr>
        <sz val="10"/>
        <color theme="1"/>
        <rFont val="Arial"/>
        <family val="2"/>
      </rPr>
      <t>sterreich</t>
    </r>
  </si>
  <si>
    <t>austria</t>
  </si>
  <si>
    <t>áustria</t>
  </si>
  <si>
    <t>Austria</t>
  </si>
  <si>
    <t>autriche</t>
  </si>
  <si>
    <t>Австрия</t>
  </si>
  <si>
    <t>ukraine</t>
  </si>
  <si>
    <t>ucraina</t>
  </si>
  <si>
    <t>ucrânia</t>
  </si>
  <si>
    <t>Ucrania</t>
  </si>
  <si>
    <t>Украина</t>
  </si>
  <si>
    <t>nordirland</t>
  </si>
  <si>
    <t>macedonia</t>
  </si>
  <si>
    <t>Macedonia</t>
  </si>
  <si>
    <t>macédoine</t>
  </si>
  <si>
    <t>Македония</t>
  </si>
  <si>
    <t>niederlande</t>
  </si>
  <si>
    <t>olanda</t>
  </si>
  <si>
    <t>países bai.</t>
  </si>
  <si>
    <t>Países Baj.</t>
  </si>
  <si>
    <t>netherlands</t>
  </si>
  <si>
    <t>pays bas</t>
  </si>
  <si>
    <t>Нидерланды</t>
  </si>
  <si>
    <t>england</t>
  </si>
  <si>
    <t>inghilterra</t>
  </si>
  <si>
    <t>inglaterra</t>
  </si>
  <si>
    <t>Inglaterra</t>
  </si>
  <si>
    <t>angleterre</t>
  </si>
  <si>
    <t>Англия</t>
  </si>
  <si>
    <t>rep.tschechisch</t>
  </si>
  <si>
    <t>rep. ceca</t>
  </si>
  <si>
    <t>rep.checa</t>
  </si>
  <si>
    <t>Rep.Checa</t>
  </si>
  <si>
    <t>czech rep.</t>
  </si>
  <si>
    <t>rep.tchèque</t>
  </si>
  <si>
    <t>Ре.Чехия</t>
  </si>
  <si>
    <t>kroatien</t>
  </si>
  <si>
    <t>croazia</t>
  </si>
  <si>
    <t>croácia</t>
  </si>
  <si>
    <t>Croacia</t>
  </si>
  <si>
    <t>croatia</t>
  </si>
  <si>
    <t>croatie</t>
  </si>
  <si>
    <t>Хорватия</t>
  </si>
  <si>
    <t>schottland</t>
  </si>
  <si>
    <t>scozia</t>
  </si>
  <si>
    <t>escócia</t>
  </si>
  <si>
    <t>Escocia</t>
  </si>
  <si>
    <t>scotland</t>
  </si>
  <si>
    <t>écosse</t>
  </si>
  <si>
    <t>Шотландия</t>
  </si>
  <si>
    <t>polen</t>
  </si>
  <si>
    <t>polonia</t>
  </si>
  <si>
    <t>polônia</t>
  </si>
  <si>
    <t>Polonia</t>
  </si>
  <si>
    <t>poland</t>
  </si>
  <si>
    <t>pologne</t>
  </si>
  <si>
    <t>Польша</t>
  </si>
  <si>
    <t>schweden</t>
  </si>
  <si>
    <t>svezia</t>
  </si>
  <si>
    <t>suécia</t>
  </si>
  <si>
    <t>Suecia</t>
  </si>
  <si>
    <t>sweden</t>
  </si>
  <si>
    <t>suède</t>
  </si>
  <si>
    <t>Швеция</t>
  </si>
  <si>
    <t>slowakei</t>
  </si>
  <si>
    <t>slovacchia</t>
  </si>
  <si>
    <t>eslováquia</t>
  </si>
  <si>
    <t>Eslovaquia</t>
  </si>
  <si>
    <t>slovakia</t>
  </si>
  <si>
    <t>slovaquie</t>
  </si>
  <si>
    <t>Словакия</t>
  </si>
  <si>
    <t>spanien</t>
  </si>
  <si>
    <t>spagna</t>
  </si>
  <si>
    <t>espanha</t>
  </si>
  <si>
    <t>España</t>
  </si>
  <si>
    <t>spain</t>
  </si>
  <si>
    <t>espagne</t>
  </si>
  <si>
    <t>Испания</t>
  </si>
  <si>
    <t>portugal</t>
  </si>
  <si>
    <t>portogallo</t>
  </si>
  <si>
    <t>Portugal</t>
  </si>
  <si>
    <t>Португалия</t>
  </si>
  <si>
    <t>frankreich</t>
  </si>
  <si>
    <t>francia</t>
  </si>
  <si>
    <t>frança</t>
  </si>
  <si>
    <t>Francia</t>
  </si>
  <si>
    <t>france</t>
  </si>
  <si>
    <t>Франция</t>
  </si>
  <si>
    <t>ungarn</t>
  </si>
  <si>
    <t>ungheria</t>
  </si>
  <si>
    <t>hungria</t>
  </si>
  <si>
    <t>Hungría</t>
  </si>
  <si>
    <t>hungary</t>
  </si>
  <si>
    <t>hongrie</t>
  </si>
  <si>
    <t>Венгрия</t>
  </si>
  <si>
    <t>deutschland</t>
  </si>
  <si>
    <t>germania</t>
  </si>
  <si>
    <t>alemanha</t>
  </si>
  <si>
    <t>Alemania</t>
  </si>
  <si>
    <t>germany</t>
  </si>
  <si>
    <t>allemagne</t>
  </si>
  <si>
    <t>Германия</t>
  </si>
  <si>
    <t>3te.</t>
  </si>
  <si>
    <t>3zo.</t>
  </si>
  <si>
    <t>3ro.</t>
  </si>
  <si>
    <t>3er.</t>
  </si>
  <si>
    <t>3rd.</t>
  </si>
  <si>
    <t>3me.</t>
  </si>
  <si>
    <t>3-й.</t>
  </si>
  <si>
    <t>4te.</t>
  </si>
  <si>
    <t>4to.</t>
  </si>
  <si>
    <t>4th.</t>
  </si>
  <si>
    <t>4me.</t>
  </si>
  <si>
    <t>4-й.</t>
  </si>
  <si>
    <t>champion</t>
  </si>
  <si>
    <t>campeão</t>
  </si>
  <si>
    <t>campeón</t>
  </si>
  <si>
    <t>чемпион</t>
  </si>
  <si>
    <t>post</t>
  </si>
  <si>
    <t>posto</t>
  </si>
  <si>
    <t>posição</t>
  </si>
  <si>
    <t xml:space="preserve"> puesto</t>
  </si>
  <si>
    <t xml:space="preserve"> place</t>
  </si>
  <si>
    <t xml:space="preserve"> placè</t>
  </si>
  <si>
    <t>место</t>
  </si>
  <si>
    <t>Europa</t>
  </si>
  <si>
    <t>Europe</t>
  </si>
  <si>
    <t>L'Europe</t>
  </si>
  <si>
    <t>Европа</t>
  </si>
  <si>
    <t>F I NALE</t>
  </si>
  <si>
    <t>F I NAL</t>
  </si>
  <si>
    <t>F I NALS</t>
  </si>
  <si>
    <t>ФИНАЛ</t>
  </si>
  <si>
    <t>Im Falle eines Unentschieden zwischen den Teams addieren Sie 0,1 zu den Toren der ausgewählten Gruppe, jedoch in keinem gleichen Spiel.</t>
  </si>
  <si>
    <t>In caso di parità tra le squadre, sommare 0,1 ai gol del girone prescelto ma, in ogni partita in cui si è eguagliato.</t>
  </si>
  <si>
    <t>Em caso de empate entre as equipes soma 0,1 aos gols do grupo escolhido mas, em nenhuma partida que tenha combinado.</t>
  </si>
  <si>
    <t>En caso de empate entre los equipos, sumar 0.1 a los goles del grupo escogido pero, en ningún cotejo en el que haya igualado.</t>
  </si>
  <si>
    <t>In the event of a tie between the teams, add 0.1 to the goals of the chosen group but, in no match that has matched.</t>
  </si>
  <si>
    <t>En cas d'égalité entre les équipes, ajoutez 0,1 aux buts du groupe choisi mais, dans tout match où il a égalé.</t>
  </si>
  <si>
    <t>В случае ничьей между командами добавьте 0,1 к голам выбранной группы, но ни в одном матче, который не совпал.</t>
  </si>
  <si>
    <t>WILLKOMMEN IM WICHTIGSTEN SPORTTURNIER IN EUROPA, GENIESSEN SIE DAS SPIEL UND FÖRDERN SIE IHRE TEAMS</t>
  </si>
  <si>
    <t>BENVENUTO AL TORNEO SPORTIVO PIÙ IMPORTANTE IN EUROPA, GODITI IL GIOCO E INCORAGGI LE TUE SQUADRE</t>
  </si>
  <si>
    <t>BEM-VINDO AO TORNEIO DE ESPORTES MAIS IMPORTANTE DA EUROPA, DESFRUTE DO JOGO E ENCORAJA AS SUAS EQUIPAS</t>
  </si>
  <si>
    <t>BIENVENIDOS AL EVENTO DEPORTIVO MAS IMPORTANTE  DE EUROPA, GOCEN DEL JUEGO Y ANIMEN A SUS EQUIPOS</t>
  </si>
  <si>
    <t>BIENVENUE AU TOURNOI SPORTIF LE PLUS IMPORTANT D'EUROPE, PROFITEZ DU JEU ET ENCOURAGEZ VOS ÉQUIPES</t>
  </si>
  <si>
    <t>ДОБРО ПОЖАЛОВАТЬ НА САМЫЙ ВАЖНЫЙ СПОРТИВНЫЙ ТУРНИР В ЕВРОПЕ, ПОЙДИТЕ В ИГРУ И ПОМОЩЬ СВОИМ КОМАНДАМ</t>
  </si>
  <si>
    <t>Rom</t>
  </si>
  <si>
    <t>Roma</t>
  </si>
  <si>
    <t>Rome</t>
  </si>
  <si>
    <t>Рим</t>
  </si>
  <si>
    <t>Baku</t>
  </si>
  <si>
    <t>Bakú</t>
  </si>
  <si>
    <t>Баку</t>
  </si>
  <si>
    <t>Kopenhagen</t>
  </si>
  <si>
    <t>Copenaghen</t>
  </si>
  <si>
    <t>Copenhague</t>
  </si>
  <si>
    <t>Copenhagen</t>
  </si>
  <si>
    <t>Копенгаген</t>
  </si>
  <si>
    <t>Petersburg</t>
  </si>
  <si>
    <t>Pietroburgo</t>
  </si>
  <si>
    <t>Petersburgo</t>
  </si>
  <si>
    <t>Pétersbourg</t>
  </si>
  <si>
    <t>Петербург</t>
  </si>
  <si>
    <t>Bukarest</t>
  </si>
  <si>
    <t>Bucarest</t>
  </si>
  <si>
    <t>Bucareste</t>
  </si>
  <si>
    <t>Bucharest</t>
  </si>
  <si>
    <t>Бухарест</t>
  </si>
  <si>
    <t>Amsterdam</t>
  </si>
  <si>
    <t>Ámsterdam</t>
  </si>
  <si>
    <t>Амстердам</t>
  </si>
  <si>
    <t>London</t>
  </si>
  <si>
    <t>Londra</t>
  </si>
  <si>
    <t>Londres</t>
  </si>
  <si>
    <t>Лондон</t>
  </si>
  <si>
    <t>Glasgow</t>
  </si>
  <si>
    <t>Глазго</t>
  </si>
  <si>
    <t>Dublin</t>
  </si>
  <si>
    <t>Dublino</t>
  </si>
  <si>
    <t>Dublín</t>
  </si>
  <si>
    <t>Дублин</t>
  </si>
  <si>
    <t>Sevilla</t>
  </si>
  <si>
    <t>Siviglia</t>
  </si>
  <si>
    <t>Sevilha</t>
  </si>
  <si>
    <t>Seville</t>
  </si>
  <si>
    <t>Séville</t>
  </si>
  <si>
    <t>Севилья</t>
  </si>
  <si>
    <t>München</t>
  </si>
  <si>
    <t>Monaco di B.</t>
  </si>
  <si>
    <t>Munique</t>
  </si>
  <si>
    <t>Munich</t>
  </si>
  <si>
    <t>Мюнхен</t>
  </si>
  <si>
    <t>Budapest</t>
  </si>
  <si>
    <t>Budapeste</t>
  </si>
  <si>
    <t>Будапешт</t>
  </si>
  <si>
    <t>Número</t>
  </si>
  <si>
    <t>Participantes</t>
  </si>
  <si>
    <t>Isaac Solanilla</t>
  </si>
  <si>
    <t>Antonio Barahona</t>
  </si>
  <si>
    <t>Sandra Badilla</t>
  </si>
  <si>
    <t>Juan Rojas</t>
  </si>
  <si>
    <t>Bilis Cedeño</t>
  </si>
  <si>
    <t>Luis Medica</t>
  </si>
  <si>
    <t>Mileny Acosta</t>
  </si>
  <si>
    <t>Jose Caballero 1</t>
  </si>
  <si>
    <t>Total M</t>
  </si>
  <si>
    <t>Primer Lugar</t>
  </si>
  <si>
    <t>Segundo Lugar</t>
  </si>
  <si>
    <t>Total</t>
  </si>
  <si>
    <t>Resultados</t>
  </si>
  <si>
    <t>Resultado</t>
  </si>
  <si>
    <t>Jose</t>
  </si>
  <si>
    <t>Posición</t>
  </si>
  <si>
    <t>Puntaje Total</t>
  </si>
  <si>
    <t>Puntaje Marcadores</t>
  </si>
  <si>
    <t>Primera Polla  Finalizada</t>
  </si>
  <si>
    <t>Ir a Polla 2  Fase Final</t>
  </si>
  <si>
    <t>Tercer Lugar</t>
  </si>
  <si>
    <t>Andres Corcho</t>
  </si>
  <si>
    <t>Rodrigo Palavicini</t>
  </si>
  <si>
    <t>Carlos Medina</t>
  </si>
  <si>
    <t>July Batista</t>
  </si>
  <si>
    <t>Carlos Quiel</t>
  </si>
  <si>
    <t>Oliver Amaya</t>
  </si>
  <si>
    <t>Radames Guerrero</t>
  </si>
  <si>
    <t>Mileny Acosta(CF)</t>
  </si>
  <si>
    <t>Samantha Montero 1</t>
  </si>
  <si>
    <t>Effie Latouche</t>
  </si>
  <si>
    <t>Alfredo Quintero 1</t>
  </si>
  <si>
    <t>Alfredo Quintero 2</t>
  </si>
  <si>
    <t>Jose Caballero 2(Betito)</t>
  </si>
  <si>
    <t/>
  </si>
  <si>
    <t>Puntaje Marcador</t>
  </si>
  <si>
    <t>Puntaje Segundo Lugar</t>
  </si>
  <si>
    <t>Puntaje Mejor Tercero</t>
  </si>
  <si>
    <t>Puntaje Primer Lugar</t>
  </si>
  <si>
    <t>Samantha Mont. 2 (Jairo)</t>
  </si>
  <si>
    <t>Samantha Mont. 3(Jafet)</t>
  </si>
  <si>
    <t>Puntos en juego</t>
  </si>
  <si>
    <t>Puntos</t>
  </si>
  <si>
    <t>Partidos Restantes</t>
  </si>
  <si>
    <t>Diferencia</t>
  </si>
  <si>
    <t>*</t>
  </si>
  <si>
    <t>Mejores terceros según puntaje</t>
  </si>
  <si>
    <t>Averaje(puntos, diferencias de goles y goles)</t>
  </si>
  <si>
    <t>Posición dependiendo de averaje</t>
  </si>
  <si>
    <t>Preliminar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</si>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</sst>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mm"/>
    <numFmt numFmtId="165" formatCode="yyyy"/>
    <numFmt numFmtId="166" formatCode="ddd\-dd"/>
    <numFmt numFmtId="167" formatCode="ddd\-dd\-mmm"/>
    <numFmt numFmtId="168" formatCode="ddd"/>
    <numFmt numFmtId="169" formatCode="0.000"/>
  </numFmts>
  <fonts count="43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0000FF"/>
      <name val="Arial"/>
      <family val="2"/>
    </font>
    <font>
      <b/>
      <sz val="8"/>
      <color rgb="FF000000"/>
      <name val="Verdana"/>
      <family val="2"/>
    </font>
    <font>
      <sz val="10"/>
      <color theme="1"/>
      <name val="Calibri"/>
      <family val="2"/>
    </font>
    <font>
      <sz val="6"/>
      <color theme="1"/>
      <name val="Arial"/>
      <family val="2"/>
    </font>
    <font>
      <sz val="6"/>
      <color rgb="FF000000"/>
      <name val="Arial"/>
      <family val="2"/>
    </font>
    <font>
      <u/>
      <sz val="6"/>
      <color rgb="FF0000FF"/>
      <name val="Arial"/>
      <family val="2"/>
    </font>
    <font>
      <sz val="8"/>
      <color theme="1"/>
      <name val="Balthazar"/>
    </font>
    <font>
      <sz val="8"/>
      <color theme="1"/>
      <name val="Arial"/>
      <family val="2"/>
    </font>
    <font>
      <b/>
      <i/>
      <sz val="8"/>
      <color rgb="FFFF0000"/>
      <name val="Balthazar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Balthazar"/>
    </font>
    <font>
      <sz val="8"/>
      <color rgb="FF0000FF"/>
      <name val="Balthazar"/>
    </font>
    <font>
      <sz val="8"/>
      <color rgb="FFFFFFFF"/>
      <name val="Modern"/>
      <family val="3"/>
      <charset val="255"/>
    </font>
    <font>
      <sz val="8"/>
      <color rgb="FF0000FF"/>
      <name val="Arial"/>
      <family val="2"/>
    </font>
    <font>
      <b/>
      <sz val="8"/>
      <name val="Arial"/>
      <family val="2"/>
    </font>
    <font>
      <b/>
      <sz val="8"/>
      <name val="Balthazar"/>
    </font>
    <font>
      <sz val="8"/>
      <color rgb="FF000000"/>
      <name val="Arial"/>
      <family val="2"/>
    </font>
    <font>
      <sz val="8"/>
      <name val="Modern"/>
      <family val="3"/>
      <charset val="255"/>
    </font>
    <font>
      <i/>
      <sz val="8"/>
      <color rgb="FF008000"/>
      <name val="Arial"/>
      <family val="2"/>
    </font>
    <font>
      <i/>
      <sz val="8"/>
      <color rgb="FF0000FF"/>
      <name val="Balthazar"/>
    </font>
    <font>
      <u/>
      <sz val="8"/>
      <color rgb="FF0000FF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Balthazar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Modern"/>
      <family val="3"/>
      <charset val="255"/>
    </font>
    <font>
      <sz val="10"/>
      <color theme="0"/>
      <name val="Modern"/>
      <family val="3"/>
      <charset val="255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9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 style="dotted">
        <color rgb="FFFFFF00"/>
      </left>
      <right/>
      <top style="dotted">
        <color rgb="FFFFFF00"/>
      </top>
      <bottom/>
      <diagonal/>
    </border>
    <border>
      <left/>
      <right/>
      <top style="dotted">
        <color rgb="FFFFFF00"/>
      </top>
      <bottom/>
      <diagonal/>
    </border>
    <border>
      <left/>
      <right style="dotted">
        <color rgb="FFFFFF00"/>
      </right>
      <top style="dotted">
        <color rgb="FFFFFF00"/>
      </top>
      <bottom/>
      <diagonal/>
    </border>
    <border>
      <left style="dotted">
        <color rgb="FFFFFF00"/>
      </left>
      <right/>
      <top/>
      <bottom/>
      <diagonal/>
    </border>
    <border>
      <left/>
      <right style="dotted">
        <color rgb="FFFFFF00"/>
      </right>
      <top/>
      <bottom/>
      <diagonal/>
    </border>
    <border>
      <left style="dotted">
        <color rgb="FFFFFF00"/>
      </left>
      <right/>
      <top/>
      <bottom style="dotted">
        <color rgb="FFFFFF00"/>
      </bottom>
      <diagonal/>
    </border>
    <border>
      <left/>
      <right/>
      <top/>
      <bottom style="dotted">
        <color rgb="FFFFFF00"/>
      </bottom>
      <diagonal/>
    </border>
    <border>
      <left/>
      <right style="dotted">
        <color rgb="FFFFFF00"/>
      </right>
      <top/>
      <bottom style="dotted">
        <color rgb="FFFFFF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39" fillId="0" borderId="0" applyNumberFormat="0" applyFill="0" applyBorder="0" applyAlignment="0" applyProtection="0"/>
  </cellStyleXfs>
  <cellXfs count="243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/>
    <xf numFmtId="0" fontId="4" fillId="0" borderId="0" xfId="0" applyFont="1" applyAlignment="1">
      <alignment horizontal="right"/>
    </xf>
    <xf numFmtId="0" fontId="8" fillId="0" borderId="0" xfId="0" applyFont="1" applyAlignment="1"/>
    <xf numFmtId="0" fontId="9" fillId="0" borderId="0" xfId="0" applyFont="1"/>
    <xf numFmtId="0" fontId="6" fillId="0" borderId="64" xfId="0" applyFont="1" applyBorder="1" applyAlignment="1">
      <alignment horizontal="center"/>
    </xf>
    <xf numFmtId="0" fontId="6" fillId="0" borderId="65" xfId="0" applyFont="1" applyBorder="1" applyAlignment="1">
      <alignment horizontal="center"/>
    </xf>
    <xf numFmtId="0" fontId="6" fillId="0" borderId="66" xfId="0" applyFont="1" applyBorder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3" fillId="0" borderId="1" xfId="0" applyFont="1" applyBorder="1" applyAlignment="1">
      <alignment vertical="center"/>
    </xf>
    <xf numFmtId="0" fontId="14" fillId="0" borderId="2" xfId="0" applyFont="1" applyBorder="1" applyAlignment="1"/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/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/>
    <xf numFmtId="0" fontId="15" fillId="0" borderId="6" xfId="0" applyFont="1" applyBorder="1" applyAlignment="1">
      <alignment horizontal="center"/>
    </xf>
    <xf numFmtId="0" fontId="16" fillId="0" borderId="7" xfId="0" applyFont="1" applyBorder="1" applyAlignment="1">
      <alignment horizontal="right" vertical="center"/>
    </xf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right"/>
    </xf>
    <xf numFmtId="165" fontId="18" fillId="0" borderId="11" xfId="0" applyNumberFormat="1" applyFont="1" applyBorder="1" applyAlignment="1">
      <alignment horizontal="left"/>
    </xf>
    <xf numFmtId="0" fontId="14" fillId="0" borderId="11" xfId="0" applyFont="1" applyBorder="1" applyAlignment="1"/>
    <xf numFmtId="0" fontId="18" fillId="0" borderId="11" xfId="0" applyFont="1" applyBorder="1" applyAlignment="1"/>
    <xf numFmtId="0" fontId="13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top"/>
    </xf>
    <xf numFmtId="0" fontId="20" fillId="0" borderId="0" xfId="0" applyFont="1" applyAlignment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 vertical="top"/>
    </xf>
    <xf numFmtId="166" fontId="14" fillId="0" borderId="0" xfId="0" applyNumberFormat="1" applyFont="1" applyAlignment="1">
      <alignment horizontal="center"/>
    </xf>
    <xf numFmtId="20" fontId="21" fillId="0" borderId="0" xfId="0" applyNumberFormat="1" applyFont="1" applyAlignment="1">
      <alignment horizontal="center"/>
    </xf>
    <xf numFmtId="20" fontId="14" fillId="0" borderId="0" xfId="0" applyNumberFormat="1" applyFont="1" applyAlignment="1">
      <alignment horizontal="center"/>
    </xf>
    <xf numFmtId="0" fontId="17" fillId="0" borderId="0" xfId="0" applyFont="1" applyFill="1" applyAlignment="1"/>
    <xf numFmtId="20" fontId="17" fillId="0" borderId="0" xfId="0" applyNumberFormat="1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7" fillId="0" borderId="13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7" fillId="0" borderId="38" xfId="0" applyFont="1" applyFill="1" applyBorder="1" applyAlignment="1">
      <alignment horizontal="center" vertical="center"/>
    </xf>
    <xf numFmtId="167" fontId="14" fillId="0" borderId="0" xfId="0" applyNumberFormat="1" applyFont="1" applyAlignment="1">
      <alignment horizontal="center"/>
    </xf>
    <xf numFmtId="0" fontId="18" fillId="0" borderId="0" xfId="0" applyFont="1" applyAlignment="1">
      <alignment horizontal="right"/>
    </xf>
    <xf numFmtId="0" fontId="24" fillId="0" borderId="0" xfId="0" applyFont="1" applyAlignment="1"/>
    <xf numFmtId="164" fontId="23" fillId="0" borderId="0" xfId="0" applyNumberFormat="1" applyFont="1" applyFill="1" applyAlignment="1">
      <alignment horizontal="right"/>
    </xf>
    <xf numFmtId="164" fontId="18" fillId="0" borderId="0" xfId="0" applyNumberFormat="1" applyFont="1" applyAlignment="1">
      <alignment horizontal="right"/>
    </xf>
    <xf numFmtId="0" fontId="14" fillId="0" borderId="14" xfId="0" applyFont="1" applyBorder="1" applyAlignment="1">
      <alignment horizontal="center" vertical="center"/>
    </xf>
    <xf numFmtId="0" fontId="18" fillId="0" borderId="0" xfId="0" applyFont="1" applyAlignment="1"/>
    <xf numFmtId="168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right"/>
    </xf>
    <xf numFmtId="0" fontId="26" fillId="0" borderId="0" xfId="0" applyFont="1" applyAlignment="1"/>
    <xf numFmtId="0" fontId="25" fillId="0" borderId="0" xfId="0" applyFont="1" applyFill="1" applyAlignment="1"/>
    <xf numFmtId="0" fontId="27" fillId="0" borderId="0" xfId="0" applyFont="1" applyAlignment="1">
      <alignment horizontal="center"/>
    </xf>
    <xf numFmtId="0" fontId="22" fillId="0" borderId="0" xfId="0" applyFont="1" applyFill="1" applyAlignment="1"/>
    <xf numFmtId="0" fontId="23" fillId="0" borderId="0" xfId="0" applyFont="1" applyFill="1" applyAlignment="1"/>
    <xf numFmtId="0" fontId="28" fillId="0" borderId="0" xfId="0" applyFont="1" applyAlignment="1"/>
    <xf numFmtId="0" fontId="17" fillId="0" borderId="0" xfId="0" applyFont="1" applyFill="1" applyAlignment="1">
      <alignment horizontal="right"/>
    </xf>
    <xf numFmtId="164" fontId="14" fillId="0" borderId="0" xfId="0" applyNumberFormat="1" applyFont="1" applyAlignment="1"/>
    <xf numFmtId="0" fontId="29" fillId="0" borderId="12" xfId="0" applyFont="1" applyFill="1" applyBorder="1" applyAlignment="1"/>
    <xf numFmtId="0" fontId="29" fillId="0" borderId="21" xfId="0" applyFont="1" applyFill="1" applyBorder="1" applyAlignment="1"/>
    <xf numFmtId="0" fontId="29" fillId="0" borderId="37" xfId="0" applyFont="1" applyFill="1" applyBorder="1" applyAlignment="1"/>
    <xf numFmtId="0" fontId="31" fillId="0" borderId="0" xfId="0" applyFont="1" applyFill="1" applyAlignment="1">
      <alignment horizontal="right"/>
    </xf>
    <xf numFmtId="0" fontId="30" fillId="0" borderId="0" xfId="0" applyFont="1" applyAlignment="1"/>
    <xf numFmtId="0" fontId="29" fillId="0" borderId="0" xfId="0" applyFont="1" applyFill="1" applyAlignment="1"/>
    <xf numFmtId="0" fontId="32" fillId="0" borderId="0" xfId="0" applyFont="1" applyAlignment="1"/>
    <xf numFmtId="0" fontId="29" fillId="0" borderId="0" xfId="0" applyFont="1" applyFill="1" applyAlignment="1">
      <alignment horizontal="center"/>
    </xf>
    <xf numFmtId="0" fontId="33" fillId="0" borderId="22" xfId="0" applyFont="1" applyFill="1" applyBorder="1" applyAlignment="1">
      <alignment horizontal="center"/>
    </xf>
    <xf numFmtId="0" fontId="33" fillId="0" borderId="23" xfId="0" applyFont="1" applyFill="1" applyBorder="1" applyAlignment="1">
      <alignment horizontal="center"/>
    </xf>
    <xf numFmtId="0" fontId="33" fillId="0" borderId="24" xfId="0" applyFont="1" applyFill="1" applyBorder="1" applyAlignment="1">
      <alignment horizontal="center"/>
    </xf>
    <xf numFmtId="0" fontId="33" fillId="0" borderId="25" xfId="0" applyFont="1" applyFill="1" applyBorder="1" applyAlignment="1">
      <alignment horizontal="center"/>
    </xf>
    <xf numFmtId="0" fontId="33" fillId="0" borderId="26" xfId="0" applyFont="1" applyFill="1" applyBorder="1" applyAlignment="1">
      <alignment horizontal="center"/>
    </xf>
    <xf numFmtId="0" fontId="33" fillId="0" borderId="27" xfId="0" applyFont="1" applyFill="1" applyBorder="1" applyAlignment="1">
      <alignment horizontal="center"/>
    </xf>
    <xf numFmtId="0" fontId="33" fillId="0" borderId="28" xfId="0" applyFont="1" applyFill="1" applyBorder="1" applyAlignment="1">
      <alignment horizontal="center"/>
    </xf>
    <xf numFmtId="0" fontId="29" fillId="0" borderId="29" xfId="0" applyFont="1" applyFill="1" applyBorder="1" applyAlignment="1">
      <alignment horizontal="center"/>
    </xf>
    <xf numFmtId="0" fontId="29" fillId="0" borderId="30" xfId="0" applyFont="1" applyFill="1" applyBorder="1" applyAlignment="1"/>
    <xf numFmtId="0" fontId="29" fillId="0" borderId="31" xfId="0" applyFont="1" applyFill="1" applyBorder="1" applyAlignment="1">
      <alignment horizontal="center" vertical="center"/>
    </xf>
    <xf numFmtId="0" fontId="29" fillId="0" borderId="32" xfId="0" applyFont="1" applyFill="1" applyBorder="1" applyAlignment="1">
      <alignment horizontal="center" vertical="center"/>
    </xf>
    <xf numFmtId="0" fontId="29" fillId="0" borderId="33" xfId="0" applyFont="1" applyFill="1" applyBorder="1" applyAlignment="1">
      <alignment horizontal="center" vertical="center"/>
    </xf>
    <xf numFmtId="0" fontId="29" fillId="0" borderId="34" xfId="0" applyFont="1" applyFill="1" applyBorder="1" applyAlignment="1">
      <alignment horizontal="center" vertical="center"/>
    </xf>
    <xf numFmtId="0" fontId="29" fillId="0" borderId="35" xfId="0" applyFont="1" applyFill="1" applyBorder="1" applyAlignment="1">
      <alignment horizontal="center" vertical="center"/>
    </xf>
    <xf numFmtId="0" fontId="29" fillId="0" borderId="36" xfId="0" applyFont="1" applyFill="1" applyBorder="1" applyAlignment="1">
      <alignment horizontal="center" vertical="center"/>
    </xf>
    <xf numFmtId="0" fontId="29" fillId="0" borderId="39" xfId="0" applyFont="1" applyFill="1" applyBorder="1" applyAlignment="1">
      <alignment horizontal="center" vertical="center"/>
    </xf>
    <xf numFmtId="0" fontId="29" fillId="0" borderId="40" xfId="0" applyFont="1" applyFill="1" applyBorder="1" applyAlignment="1">
      <alignment horizontal="center" vertical="center"/>
    </xf>
    <xf numFmtId="0" fontId="29" fillId="0" borderId="41" xfId="0" applyFont="1" applyFill="1" applyBorder="1" applyAlignment="1">
      <alignment horizontal="center" vertical="center"/>
    </xf>
    <xf numFmtId="0" fontId="29" fillId="0" borderId="42" xfId="0" applyFont="1" applyFill="1" applyBorder="1" applyAlignment="1">
      <alignment horizontal="center" vertical="center"/>
    </xf>
    <xf numFmtId="0" fontId="29" fillId="0" borderId="43" xfId="0" applyFont="1" applyFill="1" applyBorder="1" applyAlignment="1">
      <alignment horizontal="center" vertical="center"/>
    </xf>
    <xf numFmtId="0" fontId="29" fillId="0" borderId="44" xfId="0" applyFont="1" applyFill="1" applyBorder="1" applyAlignment="1">
      <alignment horizontal="center" vertical="center"/>
    </xf>
    <xf numFmtId="0" fontId="29" fillId="0" borderId="45" xfId="0" applyFont="1" applyFill="1" applyBorder="1" applyAlignment="1">
      <alignment horizontal="center" vertical="center"/>
    </xf>
    <xf numFmtId="0" fontId="29" fillId="0" borderId="46" xfId="0" applyFont="1" applyFill="1" applyBorder="1" applyAlignment="1">
      <alignment horizontal="center" vertical="center"/>
    </xf>
    <xf numFmtId="0" fontId="29" fillId="0" borderId="47" xfId="0" applyFont="1" applyFill="1" applyBorder="1" applyAlignment="1">
      <alignment horizontal="center" vertical="center"/>
    </xf>
    <xf numFmtId="0" fontId="29" fillId="0" borderId="48" xfId="0" applyFont="1" applyFill="1" applyBorder="1" applyAlignment="1">
      <alignment horizontal="center" vertical="center"/>
    </xf>
    <xf numFmtId="0" fontId="29" fillId="0" borderId="49" xfId="0" applyFont="1" applyFill="1" applyBorder="1" applyAlignment="1">
      <alignment horizontal="center" vertical="center"/>
    </xf>
    <xf numFmtId="0" fontId="29" fillId="0" borderId="50" xfId="0" applyFont="1" applyFill="1" applyBorder="1" applyAlignment="1">
      <alignment horizontal="center" vertical="center"/>
    </xf>
    <xf numFmtId="0" fontId="29" fillId="0" borderId="51" xfId="0" applyFont="1" applyFill="1" applyBorder="1" applyAlignment="1">
      <alignment horizontal="center" vertical="center"/>
    </xf>
    <xf numFmtId="0" fontId="29" fillId="0" borderId="52" xfId="0" applyFont="1" applyFill="1" applyBorder="1" applyAlignment="1">
      <alignment horizontal="center" vertical="center"/>
    </xf>
    <xf numFmtId="0" fontId="29" fillId="0" borderId="53" xfId="0" applyFont="1" applyFill="1" applyBorder="1" applyAlignment="1">
      <alignment horizontal="center" vertical="center"/>
    </xf>
    <xf numFmtId="0" fontId="34" fillId="0" borderId="54" xfId="0" applyFont="1" applyFill="1" applyBorder="1" applyAlignment="1">
      <alignment vertical="center"/>
    </xf>
    <xf numFmtId="0" fontId="33" fillId="0" borderId="0" xfId="0" applyFont="1" applyFill="1" applyAlignment="1">
      <alignment horizontal="center"/>
    </xf>
    <xf numFmtId="0" fontId="33" fillId="0" borderId="12" xfId="0" applyFont="1" applyFill="1" applyBorder="1" applyAlignment="1">
      <alignment horizontal="center"/>
    </xf>
    <xf numFmtId="0" fontId="33" fillId="0" borderId="21" xfId="0" applyFont="1" applyFill="1" applyBorder="1" applyAlignment="1">
      <alignment horizontal="center"/>
    </xf>
    <xf numFmtId="0" fontId="29" fillId="0" borderId="55" xfId="0" applyFont="1" applyFill="1" applyBorder="1" applyAlignment="1"/>
    <xf numFmtId="0" fontId="33" fillId="0" borderId="37" xfId="0" applyFont="1" applyFill="1" applyBorder="1" applyAlignment="1">
      <alignment horizontal="center"/>
    </xf>
    <xf numFmtId="0" fontId="35" fillId="0" borderId="54" xfId="0" applyFont="1" applyFill="1" applyBorder="1" applyAlignment="1">
      <alignment vertical="center"/>
    </xf>
    <xf numFmtId="0" fontId="17" fillId="0" borderId="12" xfId="0" applyFont="1" applyFill="1" applyBorder="1" applyAlignment="1">
      <alignment horizontal="left"/>
    </xf>
    <xf numFmtId="0" fontId="17" fillId="0" borderId="37" xfId="0" applyFont="1" applyFill="1" applyBorder="1" applyAlignment="1">
      <alignment horizontal="left"/>
    </xf>
    <xf numFmtId="0" fontId="36" fillId="0" borderId="67" xfId="2" applyFont="1" applyBorder="1"/>
    <xf numFmtId="49" fontId="36" fillId="0" borderId="67" xfId="2" applyNumberFormat="1" applyFont="1" applyBorder="1"/>
    <xf numFmtId="0" fontId="2" fillId="0" borderId="0" xfId="2"/>
    <xf numFmtId="0" fontId="2" fillId="0" borderId="68" xfId="2" applyBorder="1"/>
    <xf numFmtId="49" fontId="2" fillId="0" borderId="68" xfId="2" applyNumberFormat="1" applyBorder="1"/>
    <xf numFmtId="0" fontId="2" fillId="0" borderId="69" xfId="2" applyBorder="1"/>
    <xf numFmtId="49" fontId="2" fillId="0" borderId="69" xfId="2" applyNumberFormat="1" applyBorder="1"/>
    <xf numFmtId="49" fontId="2" fillId="0" borderId="0" xfId="2" applyNumberFormat="1"/>
    <xf numFmtId="0" fontId="2" fillId="0" borderId="0" xfId="2" applyAlignment="1">
      <alignment horizontal="center"/>
    </xf>
    <xf numFmtId="0" fontId="2" fillId="3" borderId="69" xfId="2" applyFill="1" applyBorder="1" applyAlignment="1">
      <alignment horizontal="center"/>
    </xf>
    <xf numFmtId="0" fontId="2" fillId="0" borderId="69" xfId="2" applyBorder="1" applyAlignment="1">
      <alignment horizontal="center"/>
    </xf>
    <xf numFmtId="0" fontId="2" fillId="0" borderId="69" xfId="2" applyBorder="1" applyAlignment="1">
      <alignment horizontal="center" vertical="center" wrapText="1"/>
    </xf>
    <xf numFmtId="0" fontId="36" fillId="0" borderId="69" xfId="2" applyFont="1" applyBorder="1" applyAlignment="1">
      <alignment horizontal="center" vertical="center" wrapText="1"/>
    </xf>
    <xf numFmtId="0" fontId="36" fillId="3" borderId="69" xfId="2" applyFont="1" applyFill="1" applyBorder="1" applyAlignment="1">
      <alignment horizontal="center" vertical="center" wrapText="1"/>
    </xf>
    <xf numFmtId="0" fontId="36" fillId="0" borderId="70" xfId="2" applyFont="1" applyBorder="1" applyAlignment="1">
      <alignment horizontal="center" vertical="center" wrapText="1"/>
    </xf>
    <xf numFmtId="0" fontId="36" fillId="4" borderId="72" xfId="2" applyNumberFormat="1" applyFont="1" applyFill="1" applyBorder="1" applyAlignment="1" applyProtection="1">
      <alignment horizontal="center"/>
      <protection locked="0"/>
    </xf>
    <xf numFmtId="0" fontId="36" fillId="0" borderId="69" xfId="2" applyFont="1" applyBorder="1" applyAlignment="1">
      <alignment vertical="center" wrapText="1"/>
    </xf>
    <xf numFmtId="0" fontId="2" fillId="3" borderId="69" xfId="2" applyFill="1" applyBorder="1" applyAlignment="1">
      <alignment horizontal="center" vertical="center" wrapText="1"/>
    </xf>
    <xf numFmtId="49" fontId="2" fillId="0" borderId="69" xfId="2" applyNumberFormat="1" applyBorder="1" applyAlignment="1">
      <alignment horizontal="center"/>
    </xf>
    <xf numFmtId="0" fontId="2" fillId="0" borderId="69" xfId="2" applyFill="1" applyBorder="1" applyAlignment="1">
      <alignment horizontal="center"/>
    </xf>
    <xf numFmtId="0" fontId="2" fillId="5" borderId="69" xfId="2" applyFill="1" applyBorder="1" applyAlignment="1">
      <alignment horizontal="center"/>
    </xf>
    <xf numFmtId="169" fontId="2" fillId="0" borderId="0" xfId="2" applyNumberFormat="1"/>
    <xf numFmtId="0" fontId="2" fillId="0" borderId="0" xfId="2" applyFill="1" applyAlignment="1">
      <alignment horizontal="center"/>
    </xf>
    <xf numFmtId="0" fontId="2" fillId="0" borderId="0" xfId="2" applyBorder="1" applyAlignment="1">
      <alignment horizontal="center"/>
    </xf>
    <xf numFmtId="0" fontId="2" fillId="0" borderId="0" xfId="2" applyFill="1" applyBorder="1" applyAlignment="1">
      <alignment horizontal="center"/>
    </xf>
    <xf numFmtId="0" fontId="37" fillId="0" borderId="67" xfId="2" applyFont="1" applyFill="1" applyBorder="1" applyAlignment="1">
      <alignment horizontal="center"/>
    </xf>
    <xf numFmtId="0" fontId="2" fillId="5" borderId="68" xfId="2" applyFill="1" applyBorder="1" applyAlignment="1">
      <alignment horizontal="center"/>
    </xf>
    <xf numFmtId="0" fontId="2" fillId="0" borderId="68" xfId="2" applyFill="1" applyBorder="1" applyAlignment="1">
      <alignment horizontal="center"/>
    </xf>
    <xf numFmtId="22" fontId="2" fillId="0" borderId="0" xfId="2" applyNumberFormat="1" applyBorder="1" applyAlignment="1">
      <alignment horizontal="center"/>
    </xf>
    <xf numFmtId="0" fontId="40" fillId="0" borderId="0" xfId="3" applyFont="1"/>
    <xf numFmtId="0" fontId="2" fillId="0" borderId="0" xfId="2" applyNumberFormat="1" applyAlignment="1">
      <alignment horizontal="center"/>
    </xf>
    <xf numFmtId="0" fontId="2" fillId="0" borderId="69" xfId="2" applyNumberFormat="1" applyBorder="1" applyAlignment="1">
      <alignment horizontal="center" vertical="center" wrapText="1"/>
    </xf>
    <xf numFmtId="0" fontId="36" fillId="0" borderId="69" xfId="2" applyNumberFormat="1" applyFont="1" applyBorder="1" applyAlignment="1">
      <alignment horizontal="center" vertical="center" wrapText="1"/>
    </xf>
    <xf numFmtId="0" fontId="2" fillId="3" borderId="69" xfId="2" applyNumberFormat="1" applyFill="1" applyBorder="1" applyAlignment="1">
      <alignment horizontal="center" vertical="center" wrapText="1"/>
    </xf>
    <xf numFmtId="0" fontId="2" fillId="0" borderId="0" xfId="2" applyNumberFormat="1" applyBorder="1" applyAlignment="1">
      <alignment horizontal="center"/>
    </xf>
    <xf numFmtId="49" fontId="36" fillId="4" borderId="72" xfId="2" applyNumberFormat="1" applyFont="1" applyFill="1" applyBorder="1" applyAlignment="1" applyProtection="1">
      <alignment horizontal="center"/>
      <protection locked="0"/>
    </xf>
    <xf numFmtId="0" fontId="4" fillId="0" borderId="13" xfId="0" quotePrefix="1" applyFont="1" applyBorder="1" applyAlignment="1">
      <alignment horizontal="center" vertical="center"/>
    </xf>
    <xf numFmtId="0" fontId="2" fillId="0" borderId="69" xfId="2" applyBorder="1" applyAlignment="1">
      <alignment horizontal="center"/>
    </xf>
    <xf numFmtId="0" fontId="36" fillId="0" borderId="70" xfId="2" applyFont="1" applyBorder="1" applyAlignment="1">
      <alignment horizontal="center" vertical="center" wrapText="1"/>
    </xf>
    <xf numFmtId="0" fontId="2" fillId="6" borderId="69" xfId="2" applyFill="1" applyBorder="1" applyAlignment="1">
      <alignment horizontal="center"/>
    </xf>
    <xf numFmtId="0" fontId="2" fillId="0" borderId="68" xfId="2" applyNumberFormat="1" applyBorder="1"/>
    <xf numFmtId="0" fontId="37" fillId="0" borderId="67" xfId="2" applyFont="1" applyBorder="1" applyAlignment="1">
      <alignment horizontal="center" vertical="center" wrapText="1"/>
    </xf>
    <xf numFmtId="0" fontId="37" fillId="5" borderId="67" xfId="2" applyFont="1" applyFill="1" applyBorder="1" applyAlignment="1">
      <alignment horizontal="center" vertical="center" wrapText="1"/>
    </xf>
    <xf numFmtId="49" fontId="1" fillId="0" borderId="69" xfId="2" applyNumberFormat="1" applyFont="1" applyBorder="1"/>
    <xf numFmtId="49" fontId="1" fillId="0" borderId="68" xfId="2" applyNumberFormat="1" applyFont="1" applyBorder="1"/>
    <xf numFmtId="0" fontId="1" fillId="0" borderId="69" xfId="2" applyFont="1" applyBorder="1"/>
    <xf numFmtId="22" fontId="36" fillId="0" borderId="74" xfId="2" applyNumberFormat="1" applyFont="1" applyBorder="1" applyAlignment="1">
      <alignment horizontal="center"/>
    </xf>
    <xf numFmtId="22" fontId="36" fillId="0" borderId="75" xfId="2" applyNumberFormat="1" applyFont="1" applyBorder="1" applyAlignment="1">
      <alignment horizontal="center" vertical="center" wrapText="1"/>
    </xf>
    <xf numFmtId="22" fontId="36" fillId="0" borderId="76" xfId="2" applyNumberFormat="1" applyFont="1" applyBorder="1" applyAlignment="1">
      <alignment horizontal="center" vertical="center" wrapText="1"/>
    </xf>
    <xf numFmtId="0" fontId="36" fillId="0" borderId="77" xfId="2" applyFont="1" applyBorder="1"/>
    <xf numFmtId="0" fontId="36" fillId="0" borderId="78" xfId="2" applyFont="1" applyBorder="1"/>
    <xf numFmtId="0" fontId="36" fillId="0" borderId="79" xfId="2" applyFont="1" applyBorder="1"/>
    <xf numFmtId="0" fontId="36" fillId="0" borderId="68" xfId="2" applyFont="1" applyBorder="1" applyAlignment="1">
      <alignment vertical="center" wrapText="1"/>
    </xf>
    <xf numFmtId="0" fontId="2" fillId="6" borderId="69" xfId="2" applyFill="1" applyBorder="1"/>
    <xf numFmtId="0" fontId="4" fillId="5" borderId="13" xfId="0" quotePrefix="1" applyFont="1" applyFill="1" applyBorder="1" applyAlignment="1">
      <alignment horizontal="center" vertical="center"/>
    </xf>
    <xf numFmtId="0" fontId="29" fillId="5" borderId="21" xfId="0" applyFont="1" applyFill="1" applyBorder="1" applyAlignment="1"/>
    <xf numFmtId="0" fontId="29" fillId="5" borderId="37" xfId="0" applyFont="1" applyFill="1" applyBorder="1" applyAlignment="1"/>
    <xf numFmtId="0" fontId="4" fillId="0" borderId="13" xfId="0" quotePrefix="1" applyFont="1" applyFill="1" applyBorder="1" applyAlignment="1">
      <alignment horizontal="center" vertical="center"/>
    </xf>
    <xf numFmtId="0" fontId="32" fillId="0" borderId="0" xfId="0" applyFont="1"/>
    <xf numFmtId="0" fontId="0" fillId="0" borderId="0" xfId="0"/>
    <xf numFmtId="0" fontId="0" fillId="0" borderId="80" xfId="0" applyBorder="1"/>
    <xf numFmtId="0" fontId="0" fillId="0" borderId="83" xfId="0" applyBorder="1"/>
    <xf numFmtId="0" fontId="42" fillId="0" borderId="84" xfId="0" applyFont="1" applyBorder="1" applyAlignment="1">
      <alignment horizontal="center"/>
    </xf>
    <xf numFmtId="0" fontId="42" fillId="0" borderId="85" xfId="0" applyFont="1" applyBorder="1" applyAlignment="1">
      <alignment horizontal="center"/>
    </xf>
    <xf numFmtId="0" fontId="42" fillId="0" borderId="86" xfId="0" applyFont="1" applyBorder="1" applyAlignment="1">
      <alignment horizontal="center"/>
    </xf>
    <xf numFmtId="0" fontId="42" fillId="0" borderId="74" xfId="0" applyFont="1" applyBorder="1" applyAlignment="1">
      <alignment horizontal="center"/>
    </xf>
    <xf numFmtId="0" fontId="42" fillId="0" borderId="75" xfId="0" applyFont="1" applyBorder="1" applyAlignment="1">
      <alignment horizontal="center"/>
    </xf>
    <xf numFmtId="0" fontId="42" fillId="0" borderId="76" xfId="0" applyFont="1" applyBorder="1" applyAlignment="1">
      <alignment horizontal="center"/>
    </xf>
    <xf numFmtId="0" fontId="41" fillId="0" borderId="87" xfId="0" applyFont="1" applyBorder="1"/>
    <xf numFmtId="0" fontId="41" fillId="0" borderId="77" xfId="0" applyFont="1" applyBorder="1"/>
    <xf numFmtId="0" fontId="41" fillId="0" borderId="78" xfId="0" applyFont="1" applyBorder="1"/>
    <xf numFmtId="0" fontId="41" fillId="0" borderId="79" xfId="0" applyFont="1" applyBorder="1"/>
    <xf numFmtId="0" fontId="41" fillId="5" borderId="77" xfId="0" applyFont="1" applyFill="1" applyBorder="1"/>
    <xf numFmtId="0" fontId="41" fillId="5" borderId="78" xfId="0" applyFont="1" applyFill="1" applyBorder="1"/>
    <xf numFmtId="0" fontId="32" fillId="0" borderId="75" xfId="0" applyFont="1" applyBorder="1"/>
    <xf numFmtId="0" fontId="0" fillId="0" borderId="75" xfId="0" applyBorder="1"/>
    <xf numFmtId="0" fontId="32" fillId="0" borderId="69" xfId="0" applyFont="1" applyBorder="1"/>
    <xf numFmtId="0" fontId="0" fillId="0" borderId="69" xfId="0" applyBorder="1"/>
    <xf numFmtId="49" fontId="42" fillId="0" borderId="88" xfId="0" applyNumberFormat="1" applyFont="1" applyBorder="1"/>
    <xf numFmtId="49" fontId="42" fillId="0" borderId="89" xfId="0" applyNumberFormat="1" applyFont="1" applyBorder="1"/>
    <xf numFmtId="0" fontId="0" fillId="0" borderId="90" xfId="0" applyBorder="1"/>
    <xf numFmtId="0" fontId="0" fillId="0" borderId="91" xfId="0" applyBorder="1"/>
    <xf numFmtId="49" fontId="42" fillId="0" borderId="73" xfId="0" applyNumberFormat="1" applyFont="1" applyBorder="1"/>
    <xf numFmtId="0" fontId="32" fillId="0" borderId="68" xfId="0" applyFont="1" applyBorder="1"/>
    <xf numFmtId="0" fontId="0" fillId="0" borderId="68" xfId="0" applyBorder="1"/>
    <xf numFmtId="0" fontId="0" fillId="0" borderId="92" xfId="0" applyBorder="1"/>
    <xf numFmtId="49" fontId="42" fillId="0" borderId="71" xfId="0" applyNumberFormat="1" applyFont="1" applyBorder="1"/>
    <xf numFmtId="0" fontId="32" fillId="0" borderId="70" xfId="0" applyFont="1" applyBorder="1"/>
    <xf numFmtId="0" fontId="0" fillId="0" borderId="70" xfId="0" applyBorder="1"/>
    <xf numFmtId="0" fontId="0" fillId="0" borderId="93" xfId="0" applyBorder="1"/>
    <xf numFmtId="0" fontId="41" fillId="0" borderId="80" xfId="0" applyFont="1" applyBorder="1" applyAlignment="1">
      <alignment horizontal="center"/>
    </xf>
    <xf numFmtId="0" fontId="41" fillId="0" borderId="81" xfId="0" applyFont="1" applyBorder="1" applyAlignment="1">
      <alignment horizontal="center"/>
    </xf>
    <xf numFmtId="0" fontId="41" fillId="0" borderId="82" xfId="0" applyFont="1" applyBorder="1" applyAlignment="1">
      <alignment horizontal="center"/>
    </xf>
    <xf numFmtId="0" fontId="38" fillId="0" borderId="0" xfId="2" applyFont="1" applyAlignment="1">
      <alignment horizontal="center"/>
    </xf>
    <xf numFmtId="0" fontId="2" fillId="0" borderId="69" xfId="2" applyBorder="1" applyAlignment="1">
      <alignment horizontal="center"/>
    </xf>
    <xf numFmtId="0" fontId="36" fillId="0" borderId="70" xfId="2" applyFont="1" applyBorder="1" applyAlignment="1">
      <alignment horizontal="center" vertical="center" wrapText="1"/>
    </xf>
    <xf numFmtId="0" fontId="36" fillId="0" borderId="68" xfId="2" applyFont="1" applyBorder="1" applyAlignment="1">
      <alignment horizontal="center" vertical="center" wrapText="1"/>
    </xf>
    <xf numFmtId="0" fontId="36" fillId="0" borderId="70" xfId="2" applyFont="1" applyFill="1" applyBorder="1" applyAlignment="1">
      <alignment horizontal="center" vertical="center" wrapText="1"/>
    </xf>
    <xf numFmtId="0" fontId="36" fillId="0" borderId="68" xfId="2" applyFont="1" applyFill="1" applyBorder="1" applyAlignment="1">
      <alignment horizontal="center" vertical="center" wrapText="1"/>
    </xf>
    <xf numFmtId="0" fontId="36" fillId="0" borderId="71" xfId="2" applyFont="1" applyFill="1" applyBorder="1" applyAlignment="1">
      <alignment horizontal="center" vertical="center" wrapText="1"/>
    </xf>
    <xf numFmtId="0" fontId="36" fillId="0" borderId="73" xfId="2" applyFont="1" applyFill="1" applyBorder="1" applyAlignment="1">
      <alignment horizontal="center" vertical="center" wrapText="1"/>
    </xf>
    <xf numFmtId="0" fontId="33" fillId="0" borderId="14" xfId="0" applyFont="1" applyFill="1" applyBorder="1" applyAlignment="1">
      <alignment horizontal="center"/>
    </xf>
    <xf numFmtId="0" fontId="29" fillId="0" borderId="15" xfId="0" applyFont="1" applyFill="1" applyBorder="1"/>
    <xf numFmtId="0" fontId="33" fillId="0" borderId="16" xfId="0" applyFont="1" applyFill="1" applyBorder="1" applyAlignment="1">
      <alignment horizontal="center"/>
    </xf>
    <xf numFmtId="0" fontId="29" fillId="0" borderId="17" xfId="0" applyFont="1" applyFill="1" applyBorder="1"/>
    <xf numFmtId="0" fontId="29" fillId="0" borderId="18" xfId="0" applyFont="1" applyFill="1" applyBorder="1"/>
    <xf numFmtId="0" fontId="33" fillId="0" borderId="19" xfId="0" applyFont="1" applyFill="1" applyBorder="1" applyAlignment="1">
      <alignment horizontal="center"/>
    </xf>
    <xf numFmtId="0" fontId="29" fillId="0" borderId="20" xfId="0" applyFont="1" applyFill="1" applyBorder="1"/>
    <xf numFmtId="164" fontId="18" fillId="0" borderId="0" xfId="0" applyNumberFormat="1" applyFont="1" applyAlignment="1">
      <alignment horizontal="right"/>
    </xf>
    <xf numFmtId="0" fontId="24" fillId="0" borderId="0" xfId="0" applyFont="1" applyAlignment="1"/>
    <xf numFmtId="0" fontId="22" fillId="0" borderId="0" xfId="0" applyFont="1" applyFill="1" applyAlignment="1">
      <alignment horizontal="right"/>
    </xf>
    <xf numFmtId="0" fontId="17" fillId="0" borderId="0" xfId="0" applyFont="1" applyFill="1" applyAlignment="1"/>
    <xf numFmtId="0" fontId="22" fillId="0" borderId="0" xfId="0" applyFont="1" applyFill="1" applyAlignment="1">
      <alignment horizontal="center" vertical="center" wrapText="1"/>
    </xf>
    <xf numFmtId="0" fontId="22" fillId="0" borderId="54" xfId="0" applyFont="1" applyFill="1" applyBorder="1" applyAlignment="1">
      <alignment horizontal="right"/>
    </xf>
    <xf numFmtId="0" fontId="17" fillId="0" borderId="54" xfId="0" applyFont="1" applyFill="1" applyBorder="1"/>
    <xf numFmtId="0" fontId="17" fillId="0" borderId="56" xfId="0" applyFont="1" applyFill="1" applyBorder="1" applyAlignment="1">
      <alignment horizontal="center" vertical="center" wrapText="1"/>
    </xf>
    <xf numFmtId="0" fontId="17" fillId="0" borderId="57" xfId="0" applyFont="1" applyFill="1" applyBorder="1"/>
    <xf numFmtId="0" fontId="17" fillId="0" borderId="58" xfId="0" applyFont="1" applyFill="1" applyBorder="1"/>
    <xf numFmtId="0" fontId="17" fillId="0" borderId="59" xfId="0" applyFont="1" applyFill="1" applyBorder="1"/>
    <xf numFmtId="0" fontId="17" fillId="0" borderId="60" xfId="0" applyFont="1" applyFill="1" applyBorder="1"/>
    <xf numFmtId="0" fontId="17" fillId="0" borderId="61" xfId="0" applyFont="1" applyFill="1" applyBorder="1"/>
    <xf numFmtId="0" fontId="17" fillId="0" borderId="62" xfId="0" applyFont="1" applyFill="1" applyBorder="1"/>
    <xf numFmtId="0" fontId="17" fillId="0" borderId="63" xfId="0" applyFont="1" applyFill="1" applyBorder="1"/>
    <xf numFmtId="49" fontId="14" fillId="0" borderId="8" xfId="0" applyNumberFormat="1" applyFont="1" applyBorder="1" applyAlignment="1">
      <alignment horizontal="center" vertical="center"/>
    </xf>
    <xf numFmtId="0" fontId="17" fillId="0" borderId="9" xfId="0" applyFont="1" applyBorder="1"/>
    <xf numFmtId="0" fontId="17" fillId="0" borderId="10" xfId="0" applyFont="1" applyBorder="1"/>
    <xf numFmtId="164" fontId="18" fillId="0" borderId="11" xfId="0" applyNumberFormat="1" applyFont="1" applyBorder="1" applyAlignment="1">
      <alignment horizontal="center"/>
    </xf>
    <xf numFmtId="0" fontId="17" fillId="0" borderId="11" xfId="0" applyFont="1" applyBorder="1"/>
    <xf numFmtId="164" fontId="18" fillId="0" borderId="11" xfId="0" applyNumberFormat="1" applyFont="1" applyBorder="1" applyAlignment="1">
      <alignment horizontal="right"/>
    </xf>
    <xf numFmtId="0" fontId="36" fillId="2" borderId="0" xfId="1" applyFont="1" applyFill="1" applyBorder="1" applyAlignment="1">
      <alignment horizontal="center"/>
    </xf>
    <xf numFmtId="0" fontId="36" fillId="2" borderId="0" xfId="1" applyFont="1" applyFill="1" applyBorder="1" applyAlignment="1">
      <alignment horizontal="left"/>
    </xf>
    <xf numFmtId="0" fontId="36" fillId="2" borderId="0" xfId="1" applyFont="1" applyFill="1" applyBorder="1" applyAlignment="1">
      <alignment horizontal="right"/>
    </xf>
  </cellXfs>
  <cellStyles count="4">
    <cellStyle name="Hipervínculo" xfId="3" builtinId="8"/>
    <cellStyle name="Normal" xfId="0" builtinId="0"/>
    <cellStyle name="Normal 2" xfId="1" xr:uid="{00000000-0005-0000-0000-000002000000}"/>
    <cellStyle name="Normal 3" xfId="2" xr:uid="{00000000-0005-0000-0000-000003000000}"/>
  </cellStyles>
  <dxfs count="147">
    <dxf>
      <font>
        <color rgb="FF0000FF"/>
      </font>
      <fill>
        <patternFill patternType="solid">
          <fgColor rgb="FFFFFF00"/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font>
        <color rgb="FF00B741"/>
      </font>
      <fill>
        <patternFill patternType="solid">
          <bgColor rgb="FFFFFFCC"/>
        </patternFill>
      </fill>
    </dxf>
    <dxf>
      <font>
        <color auto="1"/>
      </font>
      <fill>
        <patternFill patternType="solid">
          <bgColor rgb="FFFFFFCC"/>
        </patternFill>
      </fill>
    </dxf>
    <dxf>
      <font>
        <color rgb="FFFF0000"/>
      </font>
      <fill>
        <patternFill patternType="solid">
          <bgColor rgb="FFFFFFCC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caballero/Desktop/Carpetas/tododesktop/bajado/soft/polla/posicionesd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ndexv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jecaballero\Desktop\Carpetas\tododesktop\bajado\soft\polla\posiciones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  <sheetName val="A"/>
      <sheetName val="B"/>
      <sheetName val="C"/>
      <sheetName val="D"/>
      <sheetName val="E"/>
      <sheetName val="F"/>
      <sheetName val="G"/>
      <sheetName val="H"/>
      <sheetName val="OCTAVOS"/>
      <sheetName val="CUARTOS"/>
      <sheetName val="DEFINICIÓN"/>
      <sheetName val="Posiciones"/>
      <sheetName val="AMG"/>
      <sheetName val="BMG"/>
      <sheetName val="CMG"/>
      <sheetName val="DMG"/>
      <sheetName val="EMG"/>
      <sheetName val="FMG"/>
      <sheetName val="GMG"/>
      <sheetName val="HMG"/>
      <sheetName val="Participantes"/>
      <sheetName val="Hoja1"/>
    </sheetNames>
    <sheetDataSet>
      <sheetData sheetId="0"/>
      <sheetData sheetId="1">
        <row r="38">
          <cell r="AO38" t="str">
            <v>Perú</v>
          </cell>
        </row>
        <row r="39">
          <cell r="AO39" t="str">
            <v>España</v>
          </cell>
        </row>
        <row r="40">
          <cell r="AO40" t="str">
            <v>México</v>
          </cell>
        </row>
        <row r="41">
          <cell r="AO41" t="str">
            <v>Chile</v>
          </cell>
        </row>
        <row r="42">
          <cell r="AO42" t="str">
            <v>Colombia</v>
          </cell>
        </row>
        <row r="43">
          <cell r="AO43" t="str">
            <v>Estados Unidos</v>
          </cell>
        </row>
        <row r="44">
          <cell r="AO44" t="str">
            <v>Argentina</v>
          </cell>
        </row>
        <row r="45">
          <cell r="AO45" t="str">
            <v>Bolivia</v>
          </cell>
        </row>
        <row r="46">
          <cell r="AO46" t="str">
            <v>Ecuador</v>
          </cell>
        </row>
        <row r="47">
          <cell r="AO47" t="str">
            <v>Venezuela</v>
          </cell>
        </row>
        <row r="48">
          <cell r="AO48" t="str">
            <v>Costa Rica</v>
          </cell>
        </row>
        <row r="49">
          <cell r="AO49" t="str">
            <v>República Dominicana</v>
          </cell>
        </row>
        <row r="50">
          <cell r="AO50" t="str">
            <v>Guatemala</v>
          </cell>
        </row>
        <row r="51">
          <cell r="AO51" t="str">
            <v>Nicaragua</v>
          </cell>
        </row>
        <row r="52">
          <cell r="AO52" t="str">
            <v>Panamá</v>
          </cell>
        </row>
        <row r="53">
          <cell r="AO53" t="str">
            <v>El Salvador</v>
          </cell>
        </row>
        <row r="54">
          <cell r="AO54" t="str">
            <v>Paraguay</v>
          </cell>
        </row>
        <row r="55">
          <cell r="AO55" t="str">
            <v>Honduras</v>
          </cell>
        </row>
        <row r="56">
          <cell r="AO56" t="str">
            <v>Uruguay</v>
          </cell>
        </row>
        <row r="57">
          <cell r="AO57" t="str">
            <v>Brasil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ceros"/>
      <sheetName val="Posiciones"/>
      <sheetName val="A"/>
      <sheetName val="B"/>
      <sheetName val="C"/>
      <sheetName val="D"/>
      <sheetName val="E"/>
      <sheetName val="F"/>
      <sheetName val="H1"/>
      <sheetName val="H2"/>
      <sheetName val="Hoja1"/>
      <sheetName val="Participantes"/>
    </sheetNames>
    <sheetDataSet>
      <sheetData sheetId="0"/>
      <sheetData sheetId="1"/>
      <sheetData sheetId="2">
        <row r="3">
          <cell r="AF3" t="str">
            <v>Suiza</v>
          </cell>
          <cell r="AK3">
            <v>9.577</v>
          </cell>
          <cell r="AL3">
            <v>0.43099999999999999</v>
          </cell>
          <cell r="AM3">
            <v>4.5110000000000001</v>
          </cell>
          <cell r="AN3">
            <v>4.4939999999999998</v>
          </cell>
          <cell r="AO3">
            <v>1</v>
          </cell>
          <cell r="AP3">
            <v>4</v>
          </cell>
          <cell r="AQ3">
            <v>2</v>
          </cell>
          <cell r="AR3">
            <v>3</v>
          </cell>
        </row>
        <row r="5">
          <cell r="AF5" t="str">
            <v/>
          </cell>
          <cell r="AK5">
            <v>7.5342000000000002</v>
          </cell>
          <cell r="AL5">
            <v>5.5150999999999994</v>
          </cell>
          <cell r="AM5">
            <v>1.4809999999999999</v>
          </cell>
          <cell r="AN5">
            <v>2.4819999999999998</v>
          </cell>
          <cell r="AO5">
            <v>1</v>
          </cell>
          <cell r="AP5">
            <v>2</v>
          </cell>
          <cell r="AQ5">
            <v>4</v>
          </cell>
          <cell r="AR5">
            <v>3</v>
          </cell>
        </row>
        <row r="6">
          <cell r="AF6" t="str">
            <v/>
          </cell>
          <cell r="AK6">
            <v>7.5241999999999996</v>
          </cell>
          <cell r="AL6">
            <v>6.5141999999999998</v>
          </cell>
          <cell r="AM6">
            <v>2.4930000000000003</v>
          </cell>
          <cell r="AN6">
            <v>1.4829999999999999</v>
          </cell>
          <cell r="AO6">
            <v>1</v>
          </cell>
          <cell r="AP6">
            <v>2</v>
          </cell>
          <cell r="AQ6">
            <v>3</v>
          </cell>
          <cell r="AR6">
            <v>4</v>
          </cell>
        </row>
        <row r="7">
          <cell r="AF7" t="str">
            <v>Suiza</v>
          </cell>
          <cell r="AK7">
            <v>9.5672999999999995</v>
          </cell>
          <cell r="AL7">
            <v>0.442</v>
          </cell>
          <cell r="AM7">
            <v>4.5050999999999997</v>
          </cell>
          <cell r="AN7">
            <v>4.5050999999999997</v>
          </cell>
          <cell r="AO7">
            <v>1</v>
          </cell>
          <cell r="AP7">
            <v>4</v>
          </cell>
          <cell r="AQ7">
            <v>2</v>
          </cell>
          <cell r="AR7">
            <v>3</v>
          </cell>
        </row>
        <row r="8">
          <cell r="AF8" t="str">
            <v>Suiza</v>
          </cell>
          <cell r="AK8">
            <v>9.5663</v>
          </cell>
          <cell r="AL8">
            <v>4.5030999999999999</v>
          </cell>
          <cell r="AM8">
            <v>0.44</v>
          </cell>
          <cell r="AN8">
            <v>4.5020999999999995</v>
          </cell>
          <cell r="AO8">
            <v>1</v>
          </cell>
          <cell r="AP8">
            <v>2</v>
          </cell>
          <cell r="AQ8">
            <v>4</v>
          </cell>
          <cell r="AR8">
            <v>3</v>
          </cell>
        </row>
        <row r="9">
          <cell r="AF9" t="str">
            <v>Suiza</v>
          </cell>
          <cell r="AK9">
            <v>9.5462999999999987</v>
          </cell>
          <cell r="AL9">
            <v>4.5030999999999999</v>
          </cell>
          <cell r="AM9">
            <v>1.472</v>
          </cell>
          <cell r="AN9">
            <v>2.492</v>
          </cell>
          <cell r="AO9">
            <v>1</v>
          </cell>
          <cell r="AP9">
            <v>2</v>
          </cell>
          <cell r="AQ9">
            <v>4</v>
          </cell>
          <cell r="AR9">
            <v>3</v>
          </cell>
        </row>
        <row r="10">
          <cell r="AF10" t="str">
            <v>Gales</v>
          </cell>
          <cell r="AK10">
            <v>9.5452999999999992</v>
          </cell>
          <cell r="AL10">
            <v>1.4709999999999999</v>
          </cell>
          <cell r="AM10">
            <v>2.4930000000000003</v>
          </cell>
          <cell r="AN10">
            <v>4.5020999999999995</v>
          </cell>
          <cell r="AO10">
            <v>1</v>
          </cell>
          <cell r="AP10">
            <v>4</v>
          </cell>
          <cell r="AQ10">
            <v>3</v>
          </cell>
          <cell r="AR10">
            <v>2</v>
          </cell>
        </row>
        <row r="11">
          <cell r="AF11" t="str">
            <v>Turquía</v>
          </cell>
          <cell r="AK11">
            <v>7.5552000000000001</v>
          </cell>
          <cell r="AL11">
            <v>4.4931000000000001</v>
          </cell>
          <cell r="AM11">
            <v>0.44</v>
          </cell>
          <cell r="AN11">
            <v>5.5240999999999989</v>
          </cell>
          <cell r="AO11">
            <v>1</v>
          </cell>
          <cell r="AP11">
            <v>3</v>
          </cell>
          <cell r="AQ11">
            <v>4</v>
          </cell>
          <cell r="AR11">
            <v>2</v>
          </cell>
        </row>
        <row r="12">
          <cell r="AF12" t="str">
            <v>Italia</v>
          </cell>
          <cell r="AK12">
            <v>4.5020999999999995</v>
          </cell>
          <cell r="AL12">
            <v>0.46</v>
          </cell>
          <cell r="AM12">
            <v>9.5452999999999992</v>
          </cell>
          <cell r="AN12">
            <v>4.5030999999999999</v>
          </cell>
          <cell r="AO12">
            <v>3</v>
          </cell>
          <cell r="AP12">
            <v>4</v>
          </cell>
          <cell r="AQ12">
            <v>1</v>
          </cell>
          <cell r="AR12">
            <v>2</v>
          </cell>
        </row>
        <row r="13">
          <cell r="AF13" t="str">
            <v>Turquía</v>
          </cell>
          <cell r="AK13">
            <v>7.5342000000000002</v>
          </cell>
          <cell r="AL13">
            <v>3.4821</v>
          </cell>
          <cell r="AM13">
            <v>0.47199999999999998</v>
          </cell>
          <cell r="AN13">
            <v>7.5221999999999998</v>
          </cell>
          <cell r="AO13">
            <v>1</v>
          </cell>
          <cell r="AP13">
            <v>3</v>
          </cell>
          <cell r="AQ13">
            <v>4</v>
          </cell>
          <cell r="AR13">
            <v>2</v>
          </cell>
        </row>
        <row r="14">
          <cell r="AF14" t="str">
            <v>Suiza</v>
          </cell>
          <cell r="AK14">
            <v>7.5251999999999999</v>
          </cell>
          <cell r="AL14">
            <v>1.482</v>
          </cell>
          <cell r="AM14">
            <v>4.5030999999999999</v>
          </cell>
          <cell r="AN14">
            <v>3.5030000000000001</v>
          </cell>
          <cell r="AO14">
            <v>1</v>
          </cell>
          <cell r="AP14">
            <v>4</v>
          </cell>
          <cell r="AQ14">
            <v>2</v>
          </cell>
          <cell r="AR14">
            <v>3</v>
          </cell>
        </row>
        <row r="15">
          <cell r="AF15" t="str">
            <v>Suiza</v>
          </cell>
          <cell r="AK15">
            <v>7.5352000000000006</v>
          </cell>
          <cell r="AL15">
            <v>0.45100000000000001</v>
          </cell>
          <cell r="AM15">
            <v>7.5342000000000002</v>
          </cell>
          <cell r="AN15">
            <v>3.4931000000000005</v>
          </cell>
          <cell r="AO15">
            <v>1</v>
          </cell>
          <cell r="AP15">
            <v>4</v>
          </cell>
          <cell r="AQ15">
            <v>2</v>
          </cell>
          <cell r="AR15">
            <v>3</v>
          </cell>
        </row>
        <row r="16">
          <cell r="AF16" t="str">
            <v>Gales</v>
          </cell>
          <cell r="AK16">
            <v>7.5482000000000005</v>
          </cell>
          <cell r="AL16">
            <v>0.442</v>
          </cell>
          <cell r="AM16">
            <v>3.4851000000000001</v>
          </cell>
          <cell r="AN16">
            <v>7.5482000000000005</v>
          </cell>
          <cell r="AO16">
            <v>1</v>
          </cell>
          <cell r="AP16">
            <v>4</v>
          </cell>
          <cell r="AQ16">
            <v>3</v>
          </cell>
          <cell r="AR16">
            <v>2</v>
          </cell>
        </row>
        <row r="17">
          <cell r="AF17" t="str">
            <v>Suiza</v>
          </cell>
          <cell r="AK17">
            <v>9.5553000000000008</v>
          </cell>
          <cell r="AL17">
            <v>6.5042</v>
          </cell>
          <cell r="AM17">
            <v>0.45200000000000001</v>
          </cell>
          <cell r="AN17">
            <v>3.5041000000000002</v>
          </cell>
          <cell r="AO17">
            <v>1</v>
          </cell>
          <cell r="AP17">
            <v>2</v>
          </cell>
          <cell r="AQ17">
            <v>4</v>
          </cell>
          <cell r="AR17">
            <v>3</v>
          </cell>
        </row>
        <row r="18">
          <cell r="AF18" t="str">
            <v>Suiza</v>
          </cell>
          <cell r="AK18">
            <v>9.5563000000000002</v>
          </cell>
          <cell r="AL18">
            <v>4.5050999999999997</v>
          </cell>
          <cell r="AM18">
            <v>0.45100000000000001</v>
          </cell>
          <cell r="AN18">
            <v>4.5030999999999999</v>
          </cell>
          <cell r="AO18">
            <v>1</v>
          </cell>
          <cell r="AP18">
            <v>2</v>
          </cell>
          <cell r="AQ18">
            <v>4</v>
          </cell>
          <cell r="AR18">
            <v>3</v>
          </cell>
        </row>
        <row r="19">
          <cell r="AF19" t="str">
            <v>Suiza</v>
          </cell>
          <cell r="AK19">
            <v>9.5782999999999987</v>
          </cell>
          <cell r="AL19">
            <v>0.45200000000000001</v>
          </cell>
          <cell r="AM19">
            <v>6.5042</v>
          </cell>
          <cell r="AN19">
            <v>3.4821</v>
          </cell>
          <cell r="AO19">
            <v>1</v>
          </cell>
          <cell r="AP19">
            <v>4</v>
          </cell>
          <cell r="AQ19">
            <v>2</v>
          </cell>
          <cell r="AR19">
            <v>3</v>
          </cell>
        </row>
        <row r="20">
          <cell r="AF20" t="str">
            <v/>
          </cell>
          <cell r="AK20">
            <v>9.5472999999999981</v>
          </cell>
          <cell r="AL20">
            <v>1.482</v>
          </cell>
          <cell r="AM20">
            <v>4.5030999999999999</v>
          </cell>
          <cell r="AN20">
            <v>2.4809999999999999</v>
          </cell>
          <cell r="AO20">
            <v>1</v>
          </cell>
          <cell r="AP20">
            <v>4</v>
          </cell>
          <cell r="AQ20">
            <v>2</v>
          </cell>
          <cell r="AR20">
            <v>3</v>
          </cell>
        </row>
        <row r="21">
          <cell r="AF21" t="str">
            <v>Gales</v>
          </cell>
          <cell r="AK21">
            <v>9.5572999999999997</v>
          </cell>
          <cell r="AL21">
            <v>2.4809999999999999</v>
          </cell>
          <cell r="AM21">
            <v>2.4819999999999998</v>
          </cell>
          <cell r="AN21">
            <v>2.4930000000000003</v>
          </cell>
          <cell r="AO21">
            <v>1</v>
          </cell>
          <cell r="AP21">
            <v>4</v>
          </cell>
          <cell r="AQ21">
            <v>3</v>
          </cell>
          <cell r="AR21">
            <v>2</v>
          </cell>
        </row>
        <row r="22">
          <cell r="AF22" t="str">
            <v>Gales</v>
          </cell>
          <cell r="AK22">
            <v>9.5452999999999992</v>
          </cell>
          <cell r="AL22">
            <v>0.45100000000000001</v>
          </cell>
          <cell r="AM22">
            <v>4.5030999999999999</v>
          </cell>
          <cell r="AN22">
            <v>4.5140999999999991</v>
          </cell>
          <cell r="AO22">
            <v>1</v>
          </cell>
          <cell r="AP22">
            <v>4</v>
          </cell>
          <cell r="AQ22">
            <v>3</v>
          </cell>
          <cell r="AR22">
            <v>2</v>
          </cell>
        </row>
        <row r="23">
          <cell r="AF23" t="str">
            <v>Suiza</v>
          </cell>
          <cell r="AK23">
            <v>9.5452999999999992</v>
          </cell>
          <cell r="AL23">
            <v>6.5141999999999998</v>
          </cell>
          <cell r="AM23">
            <v>0.46200000000000002</v>
          </cell>
          <cell r="AN23">
            <v>3.4941000000000004</v>
          </cell>
          <cell r="AO23">
            <v>1</v>
          </cell>
          <cell r="AP23">
            <v>2</v>
          </cell>
          <cell r="AQ23">
            <v>4</v>
          </cell>
          <cell r="AR23">
            <v>3</v>
          </cell>
        </row>
        <row r="24">
          <cell r="AF24" t="str">
            <v/>
          </cell>
          <cell r="AK24">
            <v>9.5342999999999982</v>
          </cell>
          <cell r="AL24">
            <v>1.482</v>
          </cell>
          <cell r="AM24">
            <v>1.47</v>
          </cell>
          <cell r="AN24">
            <v>6.5241999999999996</v>
          </cell>
          <cell r="AO24">
            <v>1</v>
          </cell>
          <cell r="AP24">
            <v>3</v>
          </cell>
          <cell r="AQ24">
            <v>4</v>
          </cell>
          <cell r="AR24">
            <v>2</v>
          </cell>
        </row>
        <row r="25">
          <cell r="AF25" t="str">
            <v/>
          </cell>
          <cell r="AK25">
            <v>9.5563000000000002</v>
          </cell>
          <cell r="AL25">
            <v>6.5241999999999996</v>
          </cell>
          <cell r="AM25">
            <v>1.45</v>
          </cell>
          <cell r="AN25">
            <v>1.482</v>
          </cell>
          <cell r="AO25">
            <v>1</v>
          </cell>
          <cell r="AP25">
            <v>2</v>
          </cell>
          <cell r="AQ25">
            <v>4</v>
          </cell>
          <cell r="AR25">
            <v>3</v>
          </cell>
        </row>
        <row r="26">
          <cell r="AF26" t="str">
            <v>Gales</v>
          </cell>
          <cell r="AK26">
            <v>7.5352000000000006</v>
          </cell>
          <cell r="AL26">
            <v>0.43</v>
          </cell>
          <cell r="AM26">
            <v>4.5250999999999992</v>
          </cell>
          <cell r="AN26">
            <v>5.5240999999999989</v>
          </cell>
          <cell r="AO26">
            <v>1</v>
          </cell>
          <cell r="AP26">
            <v>4</v>
          </cell>
          <cell r="AQ26">
            <v>3</v>
          </cell>
          <cell r="AR26">
            <v>2</v>
          </cell>
        </row>
        <row r="27">
          <cell r="AF27" t="str">
            <v>Turquía</v>
          </cell>
          <cell r="AK27">
            <v>6.5262000000000002</v>
          </cell>
          <cell r="AL27">
            <v>3.5041000000000002</v>
          </cell>
          <cell r="AM27">
            <v>0.442</v>
          </cell>
          <cell r="AN27">
            <v>9.5472999999999981</v>
          </cell>
          <cell r="AO27">
            <v>2</v>
          </cell>
          <cell r="AP27">
            <v>3</v>
          </cell>
          <cell r="AQ27">
            <v>4</v>
          </cell>
          <cell r="AR27">
            <v>1</v>
          </cell>
        </row>
      </sheetData>
      <sheetData sheetId="3">
        <row r="3">
          <cell r="AF3" t="str">
            <v>Finlandia</v>
          </cell>
          <cell r="AK3">
            <v>3.5149999999999997</v>
          </cell>
          <cell r="AL3">
            <v>3.4809999999999999</v>
          </cell>
          <cell r="AM3">
            <v>3.452</v>
          </cell>
          <cell r="AN3">
            <v>9.5670000000000002</v>
          </cell>
          <cell r="AO3">
            <v>2</v>
          </cell>
          <cell r="AP3">
            <v>3</v>
          </cell>
          <cell r="AQ3">
            <v>4</v>
          </cell>
          <cell r="AR3">
            <v>1</v>
          </cell>
        </row>
        <row r="5">
          <cell r="AF5" t="str">
            <v>Dinamarca</v>
          </cell>
          <cell r="AK5">
            <v>4.4911000000000003</v>
          </cell>
          <cell r="AL5">
            <v>0.44</v>
          </cell>
          <cell r="AM5">
            <v>4.4920999999999998</v>
          </cell>
          <cell r="AN5">
            <v>9.5890000000000004</v>
          </cell>
          <cell r="AO5">
            <v>3</v>
          </cell>
          <cell r="AP5">
            <v>4</v>
          </cell>
          <cell r="AQ5">
            <v>2</v>
          </cell>
          <cell r="AR5">
            <v>1</v>
          </cell>
        </row>
        <row r="6">
          <cell r="AF6" t="str">
            <v>Dinamarca</v>
          </cell>
          <cell r="AK6">
            <v>2.4930000000000003</v>
          </cell>
          <cell r="AL6">
            <v>1.462</v>
          </cell>
          <cell r="AM6">
            <v>4.4931000000000001</v>
          </cell>
          <cell r="AN6">
            <v>9.5670000000000002</v>
          </cell>
          <cell r="AO6">
            <v>3</v>
          </cell>
          <cell r="AP6">
            <v>4</v>
          </cell>
          <cell r="AQ6">
            <v>2</v>
          </cell>
          <cell r="AR6">
            <v>1</v>
          </cell>
        </row>
        <row r="7">
          <cell r="AF7" t="str">
            <v/>
          </cell>
          <cell r="AK7">
            <v>4.5150999999999994</v>
          </cell>
          <cell r="AL7">
            <v>0.432</v>
          </cell>
          <cell r="AM7">
            <v>4.4940999999999995</v>
          </cell>
          <cell r="AN7">
            <v>9.5779999999999994</v>
          </cell>
          <cell r="AO7">
            <v>2</v>
          </cell>
          <cell r="AP7">
            <v>4</v>
          </cell>
          <cell r="AQ7">
            <v>3</v>
          </cell>
          <cell r="AR7">
            <v>1</v>
          </cell>
        </row>
        <row r="8">
          <cell r="AF8" t="str">
            <v>Dinamarca</v>
          </cell>
          <cell r="AK8">
            <v>4.5130999999999997</v>
          </cell>
          <cell r="AL8">
            <v>0.43</v>
          </cell>
          <cell r="AM8">
            <v>6.5352000000000006</v>
          </cell>
          <cell r="AN8">
            <v>7.5350000000000001</v>
          </cell>
          <cell r="AO8">
            <v>3</v>
          </cell>
          <cell r="AP8">
            <v>4</v>
          </cell>
          <cell r="AQ8">
            <v>2</v>
          </cell>
          <cell r="AR8">
            <v>1</v>
          </cell>
        </row>
        <row r="9">
          <cell r="AF9" t="str">
            <v>Rusia</v>
          </cell>
          <cell r="AK9">
            <v>4.5140999999999991</v>
          </cell>
          <cell r="AL9">
            <v>0.43</v>
          </cell>
          <cell r="AM9">
            <v>4.5040999999999993</v>
          </cell>
          <cell r="AN9">
            <v>9.5679999999999996</v>
          </cell>
          <cell r="AO9">
            <v>2</v>
          </cell>
          <cell r="AP9">
            <v>4</v>
          </cell>
          <cell r="AQ9">
            <v>3</v>
          </cell>
          <cell r="AR9">
            <v>1</v>
          </cell>
        </row>
        <row r="10">
          <cell r="AF10" t="str">
            <v/>
          </cell>
          <cell r="AK10">
            <v>6.5132000000000003</v>
          </cell>
          <cell r="AL10">
            <v>1.4709999999999999</v>
          </cell>
          <cell r="AM10">
            <v>1.4609999999999999</v>
          </cell>
          <cell r="AN10">
            <v>9.5670000000000002</v>
          </cell>
          <cell r="AO10">
            <v>2</v>
          </cell>
          <cell r="AP10">
            <v>3</v>
          </cell>
          <cell r="AQ10">
            <v>4</v>
          </cell>
          <cell r="AR10">
            <v>1</v>
          </cell>
        </row>
        <row r="11">
          <cell r="AF11" t="str">
            <v>Rusia</v>
          </cell>
          <cell r="AK11">
            <v>2.4729999999999999</v>
          </cell>
          <cell r="AL11">
            <v>2.4939999999999998</v>
          </cell>
          <cell r="AM11">
            <v>2.4819999999999998</v>
          </cell>
          <cell r="AN11">
            <v>9.5670000000000002</v>
          </cell>
          <cell r="AO11">
            <v>4</v>
          </cell>
          <cell r="AP11">
            <v>2</v>
          </cell>
          <cell r="AQ11">
            <v>3</v>
          </cell>
          <cell r="AR11">
            <v>1</v>
          </cell>
        </row>
        <row r="12">
          <cell r="AF12" t="str">
            <v/>
          </cell>
          <cell r="AK12">
            <v>6.5141999999999998</v>
          </cell>
          <cell r="AL12">
            <v>3.492</v>
          </cell>
          <cell r="AM12">
            <v>0.45100000000000001</v>
          </cell>
          <cell r="AN12">
            <v>9.5560000000000009</v>
          </cell>
          <cell r="AO12">
            <v>2</v>
          </cell>
          <cell r="AP12">
            <v>3</v>
          </cell>
          <cell r="AQ12">
            <v>4</v>
          </cell>
          <cell r="AR12">
            <v>1</v>
          </cell>
        </row>
        <row r="13">
          <cell r="AF13" t="str">
            <v/>
          </cell>
          <cell r="AK13">
            <v>2.4939999999999998</v>
          </cell>
          <cell r="AL13">
            <v>1.472</v>
          </cell>
          <cell r="AM13">
            <v>4.4931000000000001</v>
          </cell>
          <cell r="AN13">
            <v>9.5570000000000004</v>
          </cell>
          <cell r="AO13">
            <v>3</v>
          </cell>
          <cell r="AP13">
            <v>4</v>
          </cell>
          <cell r="AQ13">
            <v>2</v>
          </cell>
          <cell r="AR13">
            <v>1</v>
          </cell>
        </row>
        <row r="14">
          <cell r="AF14" t="str">
            <v>Rusia</v>
          </cell>
          <cell r="AK14">
            <v>4.5040999999999993</v>
          </cell>
          <cell r="AL14">
            <v>3.4930000000000003</v>
          </cell>
          <cell r="AM14">
            <v>4.5030999999999999</v>
          </cell>
          <cell r="AN14">
            <v>5.5139999999999993</v>
          </cell>
          <cell r="AO14">
            <v>2</v>
          </cell>
          <cell r="AP14">
            <v>4</v>
          </cell>
          <cell r="AQ14">
            <v>3</v>
          </cell>
          <cell r="AR14">
            <v>1</v>
          </cell>
        </row>
        <row r="15">
          <cell r="AF15" t="str">
            <v>Dinamarca</v>
          </cell>
          <cell r="AK15">
            <v>3.4811000000000001</v>
          </cell>
          <cell r="AL15">
            <v>0.46100000000000002</v>
          </cell>
          <cell r="AM15">
            <v>6.5132000000000003</v>
          </cell>
          <cell r="AN15">
            <v>9.5570000000000004</v>
          </cell>
          <cell r="AO15">
            <v>3</v>
          </cell>
          <cell r="AP15">
            <v>4</v>
          </cell>
          <cell r="AQ15">
            <v>2</v>
          </cell>
          <cell r="AR15">
            <v>1</v>
          </cell>
        </row>
        <row r="16">
          <cell r="AF16" t="str">
            <v/>
          </cell>
          <cell r="AK16">
            <v>6.5152000000000001</v>
          </cell>
          <cell r="AL16">
            <v>1.4529999999999998</v>
          </cell>
          <cell r="AM16">
            <v>1.4749999999999999</v>
          </cell>
          <cell r="AN16">
            <v>9.5809999999999995</v>
          </cell>
          <cell r="AO16">
            <v>2</v>
          </cell>
          <cell r="AP16">
            <v>4</v>
          </cell>
          <cell r="AQ16">
            <v>3</v>
          </cell>
          <cell r="AR16">
            <v>1</v>
          </cell>
        </row>
        <row r="17">
          <cell r="AF17" t="str">
            <v>Rusia</v>
          </cell>
          <cell r="AK17">
            <v>4.5280999999999993</v>
          </cell>
          <cell r="AL17">
            <v>0.44400000000000001</v>
          </cell>
          <cell r="AM17">
            <v>4.4961000000000002</v>
          </cell>
          <cell r="AN17">
            <v>9.5609999999999999</v>
          </cell>
          <cell r="AO17">
            <v>2</v>
          </cell>
          <cell r="AP17">
            <v>4</v>
          </cell>
          <cell r="AQ17">
            <v>3</v>
          </cell>
          <cell r="AR17">
            <v>1</v>
          </cell>
        </row>
        <row r="18">
          <cell r="AF18" t="str">
            <v>Rusia</v>
          </cell>
          <cell r="AK18">
            <v>6.5472000000000001</v>
          </cell>
          <cell r="AL18">
            <v>0.41100000000000003</v>
          </cell>
          <cell r="AM18">
            <v>3.4841000000000002</v>
          </cell>
          <cell r="AN18">
            <v>9.5790000000000006</v>
          </cell>
          <cell r="AO18">
            <v>2</v>
          </cell>
          <cell r="AP18">
            <v>4</v>
          </cell>
          <cell r="AQ18">
            <v>3</v>
          </cell>
          <cell r="AR18">
            <v>1</v>
          </cell>
        </row>
        <row r="19">
          <cell r="AF19" t="str">
            <v>Dinamarca</v>
          </cell>
          <cell r="AK19">
            <v>3.4831000000000003</v>
          </cell>
          <cell r="AL19">
            <v>0.42199999999999999</v>
          </cell>
          <cell r="AM19">
            <v>6.5152000000000001</v>
          </cell>
          <cell r="AN19">
            <v>9.6</v>
          </cell>
          <cell r="AO19">
            <v>3</v>
          </cell>
          <cell r="AP19">
            <v>4</v>
          </cell>
          <cell r="AQ19">
            <v>2</v>
          </cell>
          <cell r="AR19">
            <v>1</v>
          </cell>
        </row>
        <row r="20">
          <cell r="AF20" t="str">
            <v>Rusia</v>
          </cell>
          <cell r="AK20">
            <v>4.5030999999999999</v>
          </cell>
          <cell r="AL20">
            <v>0.45100000000000001</v>
          </cell>
          <cell r="AM20">
            <v>4.4831000000000003</v>
          </cell>
          <cell r="AN20">
            <v>9.577</v>
          </cell>
          <cell r="AO20">
            <v>2</v>
          </cell>
          <cell r="AP20">
            <v>4</v>
          </cell>
          <cell r="AQ20">
            <v>3</v>
          </cell>
          <cell r="AR20">
            <v>1</v>
          </cell>
        </row>
        <row r="21">
          <cell r="AF21" t="str">
            <v>Dinamarca</v>
          </cell>
          <cell r="AK21">
            <v>4.5040999999999993</v>
          </cell>
          <cell r="AL21">
            <v>4.5049999999999999</v>
          </cell>
          <cell r="AM21">
            <v>1.474</v>
          </cell>
          <cell r="AN21">
            <v>7.5360000000000005</v>
          </cell>
          <cell r="AO21">
            <v>3</v>
          </cell>
          <cell r="AP21">
            <v>2</v>
          </cell>
          <cell r="AQ21">
            <v>4</v>
          </cell>
          <cell r="AR21">
            <v>1</v>
          </cell>
        </row>
        <row r="22">
          <cell r="AF22" t="str">
            <v>Rusia</v>
          </cell>
          <cell r="AK22">
            <v>6.5352000000000006</v>
          </cell>
          <cell r="AL22">
            <v>0.41000000000000003</v>
          </cell>
          <cell r="AM22">
            <v>3.4941000000000004</v>
          </cell>
          <cell r="AN22">
            <v>9.577</v>
          </cell>
          <cell r="AO22">
            <v>2</v>
          </cell>
          <cell r="AP22">
            <v>4</v>
          </cell>
          <cell r="AQ22">
            <v>3</v>
          </cell>
          <cell r="AR22">
            <v>1</v>
          </cell>
        </row>
        <row r="23">
          <cell r="AF23" t="str">
            <v>Rusia</v>
          </cell>
          <cell r="AK23">
            <v>6.5452000000000004</v>
          </cell>
          <cell r="AL23">
            <v>0.4</v>
          </cell>
          <cell r="AM23">
            <v>3.5141</v>
          </cell>
          <cell r="AN23">
            <v>9.5560000000000009</v>
          </cell>
          <cell r="AO23">
            <v>2</v>
          </cell>
          <cell r="AP23">
            <v>4</v>
          </cell>
          <cell r="AQ23">
            <v>3</v>
          </cell>
          <cell r="AR23">
            <v>1</v>
          </cell>
        </row>
        <row r="24">
          <cell r="AF24" t="str">
            <v>Rusia</v>
          </cell>
          <cell r="AK24">
            <v>7.5462000000000007</v>
          </cell>
          <cell r="AL24">
            <v>0.43</v>
          </cell>
          <cell r="AM24">
            <v>3.4931000000000005</v>
          </cell>
          <cell r="AN24">
            <v>7.5449999999999999</v>
          </cell>
          <cell r="AO24">
            <v>1</v>
          </cell>
          <cell r="AP24">
            <v>4</v>
          </cell>
          <cell r="AQ24">
            <v>3</v>
          </cell>
          <cell r="AR24">
            <v>2</v>
          </cell>
        </row>
        <row r="25">
          <cell r="AF25" t="str">
            <v/>
          </cell>
          <cell r="AK25">
            <v>5.5140999999999991</v>
          </cell>
          <cell r="AL25">
            <v>2.4909999999999997</v>
          </cell>
          <cell r="AM25">
            <v>7.5241999999999996</v>
          </cell>
          <cell r="AN25">
            <v>1.482</v>
          </cell>
          <cell r="AO25">
            <v>2</v>
          </cell>
          <cell r="AP25">
            <v>3</v>
          </cell>
          <cell r="AQ25">
            <v>1</v>
          </cell>
          <cell r="AR25">
            <v>4</v>
          </cell>
        </row>
        <row r="26">
          <cell r="AF26" t="str">
            <v/>
          </cell>
          <cell r="AK26">
            <v>7.5472000000000001</v>
          </cell>
          <cell r="AL26">
            <v>0.41000000000000003</v>
          </cell>
          <cell r="AM26">
            <v>3.5051000000000001</v>
          </cell>
          <cell r="AN26">
            <v>7.5590000000000002</v>
          </cell>
          <cell r="AO26">
            <v>2</v>
          </cell>
          <cell r="AP26">
            <v>4</v>
          </cell>
          <cell r="AQ26">
            <v>3</v>
          </cell>
          <cell r="AR26">
            <v>1</v>
          </cell>
        </row>
        <row r="27">
          <cell r="AF27" t="str">
            <v/>
          </cell>
          <cell r="AK27">
            <v>3.4831000000000003</v>
          </cell>
          <cell r="AL27">
            <v>0.42</v>
          </cell>
          <cell r="AM27">
            <v>6.5362000000000009</v>
          </cell>
          <cell r="AN27">
            <v>9.5790000000000006</v>
          </cell>
          <cell r="AO27">
            <v>3</v>
          </cell>
          <cell r="AP27">
            <v>4</v>
          </cell>
          <cell r="AQ27">
            <v>2</v>
          </cell>
          <cell r="AR27">
            <v>1</v>
          </cell>
        </row>
      </sheetData>
      <sheetData sheetId="4">
        <row r="3">
          <cell r="AF3" t="str">
            <v>Ucrania</v>
          </cell>
          <cell r="AK3">
            <v>6.5139999999999993</v>
          </cell>
          <cell r="AL3">
            <v>0.442</v>
          </cell>
          <cell r="AM3">
            <v>3.504</v>
          </cell>
          <cell r="AN3">
            <v>9.5579999999999998</v>
          </cell>
          <cell r="AO3">
            <v>2</v>
          </cell>
          <cell r="AP3">
            <v>4</v>
          </cell>
          <cell r="AQ3">
            <v>3</v>
          </cell>
          <cell r="AR3">
            <v>1</v>
          </cell>
        </row>
        <row r="5">
          <cell r="AF5" t="str">
            <v>Austria</v>
          </cell>
          <cell r="AK5">
            <v>4.4939999999999998</v>
          </cell>
          <cell r="AL5">
            <v>0.45100000000000001</v>
          </cell>
          <cell r="AM5">
            <v>4.5030000000000001</v>
          </cell>
          <cell r="AN5">
            <v>9.5679999999999996</v>
          </cell>
          <cell r="AO5">
            <v>3</v>
          </cell>
          <cell r="AP5">
            <v>4</v>
          </cell>
          <cell r="AQ5">
            <v>2</v>
          </cell>
          <cell r="AR5">
            <v>1</v>
          </cell>
        </row>
        <row r="6">
          <cell r="AF6" t="str">
            <v>Austria</v>
          </cell>
          <cell r="AK6">
            <v>3.4619999999999997</v>
          </cell>
          <cell r="AL6">
            <v>0.45</v>
          </cell>
          <cell r="AM6">
            <v>6.5360000000000005</v>
          </cell>
          <cell r="AN6">
            <v>9.5670000000000002</v>
          </cell>
          <cell r="AO6">
            <v>3</v>
          </cell>
          <cell r="AP6">
            <v>4</v>
          </cell>
          <cell r="AQ6">
            <v>2</v>
          </cell>
          <cell r="AR6">
            <v>1</v>
          </cell>
        </row>
        <row r="7">
          <cell r="AF7" t="str">
            <v>Macedonia</v>
          </cell>
          <cell r="AK7">
            <v>0.47199999999999998</v>
          </cell>
          <cell r="AL7">
            <v>4.4950000000000001</v>
          </cell>
          <cell r="AM7">
            <v>4.5039999999999996</v>
          </cell>
          <cell r="AN7">
            <v>9.5469999999999988</v>
          </cell>
          <cell r="AO7">
            <v>4</v>
          </cell>
          <cell r="AP7">
            <v>3</v>
          </cell>
          <cell r="AQ7">
            <v>2</v>
          </cell>
          <cell r="AR7">
            <v>1</v>
          </cell>
        </row>
        <row r="8">
          <cell r="AF8" t="str">
            <v>Austria</v>
          </cell>
          <cell r="AK8">
            <v>3.5149999999999997</v>
          </cell>
          <cell r="AL8">
            <v>0.42099999999999999</v>
          </cell>
          <cell r="AM8">
            <v>9.5570000000000004</v>
          </cell>
          <cell r="AN8">
            <v>6.5269999999999992</v>
          </cell>
          <cell r="AO8">
            <v>3</v>
          </cell>
          <cell r="AP8">
            <v>4</v>
          </cell>
          <cell r="AQ8">
            <v>1</v>
          </cell>
          <cell r="AR8">
            <v>2</v>
          </cell>
        </row>
        <row r="9">
          <cell r="AF9" t="str">
            <v>Austria</v>
          </cell>
          <cell r="AK9">
            <v>3.5149999999999997</v>
          </cell>
          <cell r="AL9">
            <v>0.4</v>
          </cell>
          <cell r="AM9">
            <v>7.5449999999999999</v>
          </cell>
          <cell r="AN9">
            <v>7.5569999999999995</v>
          </cell>
          <cell r="AO9">
            <v>3</v>
          </cell>
          <cell r="AP9">
            <v>4</v>
          </cell>
          <cell r="AQ9">
            <v>2</v>
          </cell>
          <cell r="AR9">
            <v>1</v>
          </cell>
        </row>
        <row r="10">
          <cell r="AF10" t="str">
            <v/>
          </cell>
          <cell r="AK10">
            <v>6.5119999999999996</v>
          </cell>
          <cell r="AL10">
            <v>1.48</v>
          </cell>
          <cell r="AM10">
            <v>1.47</v>
          </cell>
          <cell r="AN10">
            <v>9.5439999999999987</v>
          </cell>
          <cell r="AO10">
            <v>2</v>
          </cell>
          <cell r="AP10">
            <v>3</v>
          </cell>
          <cell r="AQ10">
            <v>4</v>
          </cell>
          <cell r="AR10">
            <v>1</v>
          </cell>
        </row>
        <row r="11">
          <cell r="AF11" t="str">
            <v/>
          </cell>
          <cell r="AK11">
            <v>1.4709999999999999</v>
          </cell>
          <cell r="AL11">
            <v>1.4809999999999999</v>
          </cell>
          <cell r="AM11">
            <v>7.5239999999999991</v>
          </cell>
          <cell r="AN11">
            <v>7.5350000000000001</v>
          </cell>
          <cell r="AO11">
            <v>4</v>
          </cell>
          <cell r="AP11">
            <v>3</v>
          </cell>
          <cell r="AQ11">
            <v>2</v>
          </cell>
          <cell r="AR11">
            <v>1</v>
          </cell>
        </row>
        <row r="12">
          <cell r="AF12" t="str">
            <v>Ucrania</v>
          </cell>
          <cell r="AK12">
            <v>6.5030000000000001</v>
          </cell>
          <cell r="AL12">
            <v>0.43099999999999999</v>
          </cell>
          <cell r="AM12">
            <v>3.4930000000000003</v>
          </cell>
          <cell r="AN12">
            <v>9.5890000000000004</v>
          </cell>
          <cell r="AO12">
            <v>2</v>
          </cell>
          <cell r="AP12">
            <v>4</v>
          </cell>
          <cell r="AQ12">
            <v>3</v>
          </cell>
          <cell r="AR12">
            <v>1</v>
          </cell>
        </row>
        <row r="13">
          <cell r="AF13" t="str">
            <v>Ucrania</v>
          </cell>
          <cell r="AK13">
            <v>5.5360000000000005</v>
          </cell>
          <cell r="AL13">
            <v>0.4</v>
          </cell>
          <cell r="AM13">
            <v>4.5259999999999998</v>
          </cell>
          <cell r="AN13">
            <v>7.5579999999999998</v>
          </cell>
          <cell r="AO13">
            <v>2</v>
          </cell>
          <cell r="AP13">
            <v>4</v>
          </cell>
          <cell r="AQ13">
            <v>3</v>
          </cell>
          <cell r="AR13">
            <v>1</v>
          </cell>
        </row>
        <row r="14">
          <cell r="AF14" t="str">
            <v/>
          </cell>
          <cell r="AK14">
            <v>5.5149999999999997</v>
          </cell>
          <cell r="AL14">
            <v>1.4829999999999999</v>
          </cell>
          <cell r="AM14">
            <v>7.5259999999999998</v>
          </cell>
          <cell r="AN14">
            <v>2.4930000000000003</v>
          </cell>
          <cell r="AO14">
            <v>2</v>
          </cell>
          <cell r="AP14">
            <v>4</v>
          </cell>
          <cell r="AQ14">
            <v>1</v>
          </cell>
          <cell r="AR14">
            <v>3</v>
          </cell>
        </row>
        <row r="15">
          <cell r="AF15" t="str">
            <v>Austria</v>
          </cell>
          <cell r="AK15">
            <v>3.4809999999999999</v>
          </cell>
          <cell r="AL15">
            <v>0.47</v>
          </cell>
          <cell r="AM15">
            <v>6.5129999999999999</v>
          </cell>
          <cell r="AN15">
            <v>9.5449999999999999</v>
          </cell>
          <cell r="AO15">
            <v>3</v>
          </cell>
          <cell r="AP15">
            <v>4</v>
          </cell>
          <cell r="AQ15">
            <v>2</v>
          </cell>
          <cell r="AR15">
            <v>1</v>
          </cell>
        </row>
        <row r="16">
          <cell r="AF16" t="str">
            <v>Ucrania</v>
          </cell>
          <cell r="AK16">
            <v>6.5259999999999998</v>
          </cell>
          <cell r="AL16">
            <v>0.43099999999999999</v>
          </cell>
          <cell r="AM16">
            <v>4.5049999999999999</v>
          </cell>
          <cell r="AN16">
            <v>7.5579999999999998</v>
          </cell>
          <cell r="AO16">
            <v>2</v>
          </cell>
          <cell r="AP16">
            <v>4</v>
          </cell>
          <cell r="AQ16">
            <v>3</v>
          </cell>
          <cell r="AR16">
            <v>1</v>
          </cell>
        </row>
        <row r="17">
          <cell r="AF17" t="str">
            <v/>
          </cell>
          <cell r="AK17">
            <v>4.5039999999999996</v>
          </cell>
          <cell r="AL17">
            <v>1.4629999999999999</v>
          </cell>
          <cell r="AM17">
            <v>2.4830000000000001</v>
          </cell>
          <cell r="AN17">
            <v>9.5679999999999996</v>
          </cell>
          <cell r="AO17">
            <v>2</v>
          </cell>
          <cell r="AP17">
            <v>4</v>
          </cell>
          <cell r="AQ17">
            <v>3</v>
          </cell>
          <cell r="AR17">
            <v>1</v>
          </cell>
        </row>
        <row r="18">
          <cell r="AF18" t="str">
            <v>Austria</v>
          </cell>
          <cell r="AK18">
            <v>3.492</v>
          </cell>
          <cell r="AL18">
            <v>0.45</v>
          </cell>
          <cell r="AM18">
            <v>7.5229999999999997</v>
          </cell>
          <cell r="AN18">
            <v>7.5460000000000003</v>
          </cell>
          <cell r="AO18">
            <v>3</v>
          </cell>
          <cell r="AP18">
            <v>4</v>
          </cell>
          <cell r="AQ18">
            <v>2</v>
          </cell>
          <cell r="AR18">
            <v>1</v>
          </cell>
        </row>
        <row r="19">
          <cell r="AF19" t="str">
            <v>Macedonia</v>
          </cell>
          <cell r="AK19">
            <v>6.5149999999999997</v>
          </cell>
          <cell r="AL19">
            <v>3.4819999999999998</v>
          </cell>
          <cell r="AM19">
            <v>9.5579999999999998</v>
          </cell>
          <cell r="AN19">
            <v>0.46100000000000002</v>
          </cell>
          <cell r="AO19">
            <v>2</v>
          </cell>
          <cell r="AP19">
            <v>3</v>
          </cell>
          <cell r="AQ19">
            <v>1</v>
          </cell>
          <cell r="AR19">
            <v>4</v>
          </cell>
        </row>
        <row r="20">
          <cell r="AF20" t="str">
            <v/>
          </cell>
          <cell r="AK20">
            <v>4.492</v>
          </cell>
          <cell r="AL20">
            <v>2.4819999999999998</v>
          </cell>
          <cell r="AM20">
            <v>9.5670000000000002</v>
          </cell>
          <cell r="AN20">
            <v>1.472</v>
          </cell>
          <cell r="AO20">
            <v>2</v>
          </cell>
          <cell r="AP20">
            <v>3</v>
          </cell>
          <cell r="AQ20">
            <v>1</v>
          </cell>
          <cell r="AR20">
            <v>4</v>
          </cell>
        </row>
        <row r="21">
          <cell r="AF21" t="str">
            <v>Ucrania</v>
          </cell>
          <cell r="AK21">
            <v>6.5369999999999999</v>
          </cell>
          <cell r="AL21">
            <v>0.42099999999999999</v>
          </cell>
          <cell r="AM21">
            <v>3.484</v>
          </cell>
          <cell r="AN21">
            <v>9.5790000000000006</v>
          </cell>
          <cell r="AO21">
            <v>2</v>
          </cell>
          <cell r="AP21">
            <v>4</v>
          </cell>
          <cell r="AQ21">
            <v>3</v>
          </cell>
          <cell r="AR21">
            <v>1</v>
          </cell>
        </row>
        <row r="22">
          <cell r="AF22" t="str">
            <v>Ucrania</v>
          </cell>
          <cell r="AK22">
            <v>6.5350000000000001</v>
          </cell>
          <cell r="AL22">
            <v>0.441</v>
          </cell>
          <cell r="AM22">
            <v>3.4930000000000003</v>
          </cell>
          <cell r="AN22">
            <v>9.5469999999999988</v>
          </cell>
          <cell r="AO22">
            <v>2</v>
          </cell>
          <cell r="AP22">
            <v>4</v>
          </cell>
          <cell r="AQ22">
            <v>3</v>
          </cell>
          <cell r="AR22">
            <v>1</v>
          </cell>
        </row>
        <row r="23">
          <cell r="AF23" t="str">
            <v/>
          </cell>
          <cell r="AK23">
            <v>1.472</v>
          </cell>
          <cell r="AL23">
            <v>1.4729999999999999</v>
          </cell>
          <cell r="AM23">
            <v>6.5149999999999997</v>
          </cell>
          <cell r="AN23">
            <v>9.5570000000000004</v>
          </cell>
          <cell r="AO23">
            <v>4</v>
          </cell>
          <cell r="AP23">
            <v>3</v>
          </cell>
          <cell r="AQ23">
            <v>2</v>
          </cell>
          <cell r="AR23">
            <v>1</v>
          </cell>
        </row>
        <row r="24">
          <cell r="AF24" t="str">
            <v>Austria</v>
          </cell>
          <cell r="AK24">
            <v>4.5030000000000001</v>
          </cell>
          <cell r="AL24">
            <v>0.45100000000000001</v>
          </cell>
          <cell r="AM24">
            <v>4.5039999999999996</v>
          </cell>
          <cell r="AN24">
            <v>9.5570000000000004</v>
          </cell>
          <cell r="AO24">
            <v>3</v>
          </cell>
          <cell r="AP24">
            <v>4</v>
          </cell>
          <cell r="AQ24">
            <v>2</v>
          </cell>
          <cell r="AR24">
            <v>1</v>
          </cell>
        </row>
        <row r="25">
          <cell r="AF25" t="str">
            <v>Macedonia</v>
          </cell>
          <cell r="AK25">
            <v>4.5039999999999996</v>
          </cell>
          <cell r="AL25">
            <v>2.492</v>
          </cell>
          <cell r="AM25">
            <v>9.5350000000000001</v>
          </cell>
          <cell r="AN25">
            <v>1.4829999999999999</v>
          </cell>
          <cell r="AO25">
            <v>2</v>
          </cell>
          <cell r="AP25">
            <v>3</v>
          </cell>
          <cell r="AQ25">
            <v>1</v>
          </cell>
          <cell r="AR25">
            <v>4</v>
          </cell>
        </row>
        <row r="26">
          <cell r="AF26" t="str">
            <v/>
          </cell>
          <cell r="AK26">
            <v>3.4750000000000001</v>
          </cell>
          <cell r="AL26">
            <v>0.443</v>
          </cell>
          <cell r="AM26">
            <v>6.4930000000000003</v>
          </cell>
          <cell r="AN26">
            <v>9.61</v>
          </cell>
          <cell r="AO26">
            <v>3</v>
          </cell>
          <cell r="AP26">
            <v>4</v>
          </cell>
          <cell r="AQ26">
            <v>2</v>
          </cell>
          <cell r="AR26">
            <v>1</v>
          </cell>
        </row>
        <row r="27">
          <cell r="AF27" t="str">
            <v>Austria</v>
          </cell>
          <cell r="AK27">
            <v>4.5030000000000001</v>
          </cell>
          <cell r="AL27">
            <v>0.45</v>
          </cell>
          <cell r="AM27">
            <v>4.5039999999999996</v>
          </cell>
          <cell r="AN27">
            <v>9.5570000000000004</v>
          </cell>
          <cell r="AO27">
            <v>3</v>
          </cell>
          <cell r="AP27">
            <v>4</v>
          </cell>
          <cell r="AQ27">
            <v>2</v>
          </cell>
          <cell r="AR27">
            <v>1</v>
          </cell>
        </row>
      </sheetData>
      <sheetData sheetId="5">
        <row r="3">
          <cell r="AF3" t="str">
            <v/>
          </cell>
          <cell r="AK3">
            <v>5.5110000000000001</v>
          </cell>
          <cell r="AL3">
            <v>2.4909999999999997</v>
          </cell>
          <cell r="AM3">
            <v>5.5219999999999994</v>
          </cell>
          <cell r="AN3">
            <v>2.4809999999999999</v>
          </cell>
          <cell r="AO3">
            <v>2</v>
          </cell>
          <cell r="AP3">
            <v>3</v>
          </cell>
          <cell r="AQ3">
            <v>1</v>
          </cell>
          <cell r="AR3">
            <v>4</v>
          </cell>
        </row>
        <row r="5">
          <cell r="AF5" t="str">
            <v>Escocia</v>
          </cell>
          <cell r="AK5">
            <v>7.5460000000000003</v>
          </cell>
          <cell r="AL5">
            <v>6.5249999999999995</v>
          </cell>
          <cell r="AM5">
            <v>0.44</v>
          </cell>
          <cell r="AN5">
            <v>4.5030999999999999</v>
          </cell>
          <cell r="AO5">
            <v>1</v>
          </cell>
          <cell r="AP5">
            <v>2</v>
          </cell>
          <cell r="AQ5">
            <v>4</v>
          </cell>
          <cell r="AR5">
            <v>3</v>
          </cell>
        </row>
        <row r="6">
          <cell r="AF6" t="str">
            <v>Escocia</v>
          </cell>
          <cell r="AK6">
            <v>5.5139999999999993</v>
          </cell>
          <cell r="AL6">
            <v>7.5239999999999991</v>
          </cell>
          <cell r="AM6">
            <v>1.4829999999999999</v>
          </cell>
          <cell r="AN6">
            <v>2.4939999999999998</v>
          </cell>
          <cell r="AO6">
            <v>2</v>
          </cell>
          <cell r="AP6">
            <v>1</v>
          </cell>
          <cell r="AQ6">
            <v>4</v>
          </cell>
          <cell r="AR6">
            <v>3</v>
          </cell>
        </row>
        <row r="7">
          <cell r="AF7" t="str">
            <v>Escocia</v>
          </cell>
          <cell r="AK7">
            <v>9.5779999999999994</v>
          </cell>
          <cell r="AL7">
            <v>4.5039999999999996</v>
          </cell>
          <cell r="AM7">
            <v>0.442</v>
          </cell>
          <cell r="AN7">
            <v>4.4940999999999995</v>
          </cell>
          <cell r="AO7">
            <v>1</v>
          </cell>
          <cell r="AP7">
            <v>2</v>
          </cell>
          <cell r="AQ7">
            <v>4</v>
          </cell>
          <cell r="AR7">
            <v>3</v>
          </cell>
        </row>
        <row r="8">
          <cell r="AF8" t="str">
            <v/>
          </cell>
          <cell r="AK8">
            <v>9.5570000000000004</v>
          </cell>
          <cell r="AL8">
            <v>6.5460000000000003</v>
          </cell>
          <cell r="AM8">
            <v>1.4609999999999999</v>
          </cell>
          <cell r="AN8">
            <v>1.452</v>
          </cell>
          <cell r="AO8">
            <v>1</v>
          </cell>
          <cell r="AP8">
            <v>2</v>
          </cell>
          <cell r="AQ8">
            <v>3</v>
          </cell>
          <cell r="AR8">
            <v>4</v>
          </cell>
        </row>
        <row r="9">
          <cell r="AF9" t="str">
            <v/>
          </cell>
          <cell r="AK9">
            <v>9.5579999999999998</v>
          </cell>
          <cell r="AL9">
            <v>6.5149999999999997</v>
          </cell>
          <cell r="AM9">
            <v>1.4729999999999999</v>
          </cell>
          <cell r="AN9">
            <v>1.4729999999999999</v>
          </cell>
          <cell r="AO9">
            <v>1</v>
          </cell>
          <cell r="AP9">
            <v>2</v>
          </cell>
          <cell r="AQ9">
            <v>3</v>
          </cell>
          <cell r="AR9">
            <v>3</v>
          </cell>
        </row>
        <row r="10">
          <cell r="AF10" t="str">
            <v>Rep.Checa</v>
          </cell>
          <cell r="AK10">
            <v>7.5239999999999991</v>
          </cell>
          <cell r="AL10">
            <v>7.5339999999999998</v>
          </cell>
          <cell r="AM10">
            <v>1.4809999999999999</v>
          </cell>
          <cell r="AN10">
            <v>1.47</v>
          </cell>
          <cell r="AO10">
            <v>2</v>
          </cell>
          <cell r="AP10">
            <v>1</v>
          </cell>
          <cell r="AQ10">
            <v>3</v>
          </cell>
          <cell r="AR10">
            <v>4</v>
          </cell>
        </row>
        <row r="11">
          <cell r="AF11" t="str">
            <v>Rep.Checa</v>
          </cell>
          <cell r="AK11">
            <v>5.5249999999999995</v>
          </cell>
          <cell r="AL11">
            <v>7.5569999999999995</v>
          </cell>
          <cell r="AM11">
            <v>2.4819999999999998</v>
          </cell>
          <cell r="AN11">
            <v>1.4509999999999998</v>
          </cell>
          <cell r="AO11">
            <v>2</v>
          </cell>
          <cell r="AP11">
            <v>1</v>
          </cell>
          <cell r="AQ11">
            <v>3</v>
          </cell>
          <cell r="AR11">
            <v>4</v>
          </cell>
        </row>
        <row r="12">
          <cell r="AF12" t="str">
            <v>Rep.Checa</v>
          </cell>
          <cell r="AK12">
            <v>7.5350000000000001</v>
          </cell>
          <cell r="AL12">
            <v>4.5019999999999998</v>
          </cell>
          <cell r="AM12">
            <v>3.5030000000000001</v>
          </cell>
          <cell r="AN12">
            <v>1.47</v>
          </cell>
          <cell r="AO12">
            <v>1</v>
          </cell>
          <cell r="AP12">
            <v>2</v>
          </cell>
          <cell r="AQ12">
            <v>3</v>
          </cell>
          <cell r="AR12">
            <v>4</v>
          </cell>
        </row>
        <row r="13">
          <cell r="AF13" t="str">
            <v>Croacia</v>
          </cell>
          <cell r="AK13">
            <v>7.5460000000000003</v>
          </cell>
          <cell r="AL13">
            <v>4.4950000000000001</v>
          </cell>
          <cell r="AM13">
            <v>6.5350000000000001</v>
          </cell>
          <cell r="AN13">
            <v>0.441</v>
          </cell>
          <cell r="AO13">
            <v>1</v>
          </cell>
          <cell r="AP13">
            <v>3</v>
          </cell>
          <cell r="AQ13">
            <v>2</v>
          </cell>
          <cell r="AR13">
            <v>4</v>
          </cell>
        </row>
        <row r="14">
          <cell r="AF14" t="str">
            <v/>
          </cell>
          <cell r="AK14">
            <v>9.5359999999999996</v>
          </cell>
          <cell r="AL14">
            <v>6.5149999999999997</v>
          </cell>
          <cell r="AM14">
            <v>1.4829999999999999</v>
          </cell>
          <cell r="AN14">
            <v>1.4829999999999999</v>
          </cell>
          <cell r="AO14">
            <v>1</v>
          </cell>
          <cell r="AP14">
            <v>2</v>
          </cell>
          <cell r="AQ14">
            <v>3</v>
          </cell>
          <cell r="AR14">
            <v>3</v>
          </cell>
        </row>
        <row r="15">
          <cell r="AF15" t="str">
            <v/>
          </cell>
          <cell r="AK15">
            <v>9.5469999999999988</v>
          </cell>
          <cell r="AL15">
            <v>2.4909999999999997</v>
          </cell>
          <cell r="AM15">
            <v>4.5019999999999998</v>
          </cell>
          <cell r="AN15">
            <v>1.4709999999999999</v>
          </cell>
          <cell r="AO15">
            <v>1</v>
          </cell>
          <cell r="AP15">
            <v>3</v>
          </cell>
          <cell r="AQ15">
            <v>2</v>
          </cell>
          <cell r="AR15">
            <v>4</v>
          </cell>
        </row>
        <row r="16">
          <cell r="AF16" t="str">
            <v>Rep.Checa</v>
          </cell>
          <cell r="AK16">
            <v>9.57</v>
          </cell>
          <cell r="AL16">
            <v>6.5169999999999995</v>
          </cell>
          <cell r="AM16">
            <v>3.4849999999999999</v>
          </cell>
          <cell r="AN16">
            <v>0.45300000000000001</v>
          </cell>
          <cell r="AO16">
            <v>1</v>
          </cell>
          <cell r="AP16">
            <v>2</v>
          </cell>
          <cell r="AQ16">
            <v>3</v>
          </cell>
          <cell r="AR16">
            <v>4</v>
          </cell>
        </row>
        <row r="17">
          <cell r="AF17" t="str">
            <v>Rep.Checa</v>
          </cell>
          <cell r="AK17">
            <v>9.5909999999999993</v>
          </cell>
          <cell r="AL17">
            <v>4.5069999999999997</v>
          </cell>
          <cell r="AM17">
            <v>3.464</v>
          </cell>
          <cell r="AN17">
            <v>1.4629999999999999</v>
          </cell>
          <cell r="AO17">
            <v>1</v>
          </cell>
          <cell r="AP17">
            <v>2</v>
          </cell>
          <cell r="AQ17">
            <v>3</v>
          </cell>
          <cell r="AR17">
            <v>4</v>
          </cell>
        </row>
        <row r="18">
          <cell r="AF18" t="str">
            <v/>
          </cell>
          <cell r="AK18">
            <v>7.5360000000000005</v>
          </cell>
          <cell r="AL18">
            <v>7.5469999999999997</v>
          </cell>
          <cell r="AM18">
            <v>1.4729999999999999</v>
          </cell>
          <cell r="AN18">
            <v>1.4609999999999999</v>
          </cell>
          <cell r="AO18">
            <v>2</v>
          </cell>
          <cell r="AP18">
            <v>1</v>
          </cell>
          <cell r="AQ18">
            <v>3</v>
          </cell>
          <cell r="AR18">
            <v>4</v>
          </cell>
        </row>
        <row r="19">
          <cell r="AF19" t="str">
            <v/>
          </cell>
          <cell r="AK19">
            <v>7.5449999999999999</v>
          </cell>
          <cell r="AL19">
            <v>7.5549999999999997</v>
          </cell>
          <cell r="AM19">
            <v>3.4710000000000001</v>
          </cell>
          <cell r="AN19">
            <v>0.441</v>
          </cell>
          <cell r="AO19">
            <v>2</v>
          </cell>
          <cell r="AP19">
            <v>1</v>
          </cell>
          <cell r="AQ19">
            <v>3</v>
          </cell>
          <cell r="AR19">
            <v>4</v>
          </cell>
        </row>
        <row r="20">
          <cell r="AF20" t="str">
            <v>Rep.Checa</v>
          </cell>
          <cell r="AK20">
            <v>6.5369999999999999</v>
          </cell>
          <cell r="AL20">
            <v>9.5469999999999988</v>
          </cell>
          <cell r="AM20">
            <v>3.4830000000000001</v>
          </cell>
          <cell r="AN20">
            <v>0.45200000000000001</v>
          </cell>
          <cell r="AO20">
            <v>2</v>
          </cell>
          <cell r="AP20">
            <v>1</v>
          </cell>
          <cell r="AQ20">
            <v>3</v>
          </cell>
          <cell r="AR20">
            <v>4</v>
          </cell>
        </row>
        <row r="21">
          <cell r="AF21" t="str">
            <v/>
          </cell>
          <cell r="AK21">
            <v>7.5249999999999995</v>
          </cell>
          <cell r="AL21">
            <v>7.5339999999999998</v>
          </cell>
          <cell r="AM21">
            <v>1.4809999999999999</v>
          </cell>
          <cell r="AN21">
            <v>1.4709999999999999</v>
          </cell>
          <cell r="AO21">
            <v>2</v>
          </cell>
          <cell r="AP21">
            <v>1</v>
          </cell>
          <cell r="AQ21">
            <v>3</v>
          </cell>
          <cell r="AR21">
            <v>4</v>
          </cell>
        </row>
        <row r="22">
          <cell r="AF22" t="str">
            <v/>
          </cell>
          <cell r="AK22">
            <v>7.5350000000000001</v>
          </cell>
          <cell r="AL22">
            <v>7.5339999999999998</v>
          </cell>
          <cell r="AM22">
            <v>0.46100000000000002</v>
          </cell>
          <cell r="AN22">
            <v>3.4811000000000001</v>
          </cell>
          <cell r="AO22">
            <v>1</v>
          </cell>
          <cell r="AP22">
            <v>2</v>
          </cell>
          <cell r="AQ22">
            <v>4</v>
          </cell>
          <cell r="AR22">
            <v>3</v>
          </cell>
        </row>
        <row r="23">
          <cell r="AF23" t="str">
            <v>Rep.Checa</v>
          </cell>
          <cell r="AK23">
            <v>9.5670000000000002</v>
          </cell>
          <cell r="AL23">
            <v>6.5339999999999998</v>
          </cell>
          <cell r="AM23">
            <v>3.5030000000000001</v>
          </cell>
          <cell r="AN23">
            <v>0.41000000000000003</v>
          </cell>
          <cell r="AO23">
            <v>1</v>
          </cell>
          <cell r="AP23">
            <v>2</v>
          </cell>
          <cell r="AQ23">
            <v>3</v>
          </cell>
          <cell r="AR23">
            <v>4</v>
          </cell>
        </row>
        <row r="24">
          <cell r="AF24" t="str">
            <v>Croacia</v>
          </cell>
          <cell r="AK24">
            <v>7.5460000000000003</v>
          </cell>
          <cell r="AL24">
            <v>4.5149999999999997</v>
          </cell>
          <cell r="AM24">
            <v>5.5139999999999993</v>
          </cell>
          <cell r="AN24">
            <v>0.44</v>
          </cell>
          <cell r="AO24">
            <v>1</v>
          </cell>
          <cell r="AP24">
            <v>3</v>
          </cell>
          <cell r="AQ24">
            <v>2</v>
          </cell>
          <cell r="AR24">
            <v>4</v>
          </cell>
        </row>
        <row r="25">
          <cell r="AF25" t="str">
            <v>Escocia</v>
          </cell>
          <cell r="AK25">
            <v>9.5670000000000002</v>
          </cell>
          <cell r="AL25">
            <v>6.5039999999999996</v>
          </cell>
          <cell r="AM25">
            <v>0.46200000000000002</v>
          </cell>
          <cell r="AN25">
            <v>3.4821</v>
          </cell>
          <cell r="AO25">
            <v>1</v>
          </cell>
          <cell r="AP25">
            <v>2</v>
          </cell>
          <cell r="AQ25">
            <v>4</v>
          </cell>
          <cell r="AR25">
            <v>3</v>
          </cell>
        </row>
        <row r="26">
          <cell r="AF26" t="str">
            <v>Rep.Checa</v>
          </cell>
          <cell r="AK26">
            <v>5.5369999999999999</v>
          </cell>
          <cell r="AL26">
            <v>7.5369999999999999</v>
          </cell>
          <cell r="AM26">
            <v>4.516</v>
          </cell>
          <cell r="AN26">
            <v>0.432</v>
          </cell>
          <cell r="AO26">
            <v>2</v>
          </cell>
          <cell r="AP26">
            <v>1</v>
          </cell>
          <cell r="AQ26">
            <v>3</v>
          </cell>
          <cell r="AR26">
            <v>4</v>
          </cell>
        </row>
        <row r="27">
          <cell r="AF27" t="str">
            <v>Rep.Checa</v>
          </cell>
          <cell r="AK27">
            <v>7.548</v>
          </cell>
          <cell r="AL27">
            <v>7.5460000000000003</v>
          </cell>
          <cell r="AM27">
            <v>3.4930000000000003</v>
          </cell>
          <cell r="AN27">
            <v>0.43</v>
          </cell>
          <cell r="AO27">
            <v>1</v>
          </cell>
          <cell r="AP27">
            <v>2</v>
          </cell>
          <cell r="AQ27">
            <v>3</v>
          </cell>
          <cell r="AR27">
            <v>4</v>
          </cell>
        </row>
      </sheetData>
      <sheetData sheetId="6">
        <row r="3">
          <cell r="AF3" t="str">
            <v/>
          </cell>
          <cell r="AK3">
            <v>1.492</v>
          </cell>
          <cell r="AL3">
            <v>3.5019999999999998</v>
          </cell>
          <cell r="AM3">
            <v>4.5010000000000003</v>
          </cell>
          <cell r="AN3">
            <v>2.5109999999999997</v>
          </cell>
          <cell r="AO3">
            <v>4</v>
          </cell>
          <cell r="AP3">
            <v>2</v>
          </cell>
          <cell r="AQ3">
            <v>1</v>
          </cell>
          <cell r="AR3">
            <v>3</v>
          </cell>
        </row>
        <row r="5">
          <cell r="AF5" t="str">
            <v/>
          </cell>
          <cell r="AK5">
            <v>2.492</v>
          </cell>
          <cell r="AL5">
            <v>1.4509999999999998</v>
          </cell>
          <cell r="AM5">
            <v>4.5139999999999993</v>
          </cell>
          <cell r="AN5">
            <v>9.5560000000000009</v>
          </cell>
          <cell r="AO5">
            <v>3</v>
          </cell>
          <cell r="AP5">
            <v>4</v>
          </cell>
          <cell r="AQ5">
            <v>2</v>
          </cell>
          <cell r="AR5">
            <v>1</v>
          </cell>
        </row>
        <row r="6">
          <cell r="AF6" t="str">
            <v/>
          </cell>
          <cell r="AK6">
            <v>2.4819999999999998</v>
          </cell>
          <cell r="AL6">
            <v>1.4829999999999999</v>
          </cell>
          <cell r="AM6">
            <v>4.5039999999999996</v>
          </cell>
          <cell r="AN6">
            <v>9.5459999999999994</v>
          </cell>
          <cell r="AO6">
            <v>3</v>
          </cell>
          <cell r="AP6">
            <v>4</v>
          </cell>
          <cell r="AQ6">
            <v>2</v>
          </cell>
          <cell r="AR6">
            <v>1</v>
          </cell>
        </row>
        <row r="7">
          <cell r="AF7" t="str">
            <v/>
          </cell>
          <cell r="AK7">
            <v>7.5259999999999998</v>
          </cell>
          <cell r="AL7">
            <v>1.4829999999999999</v>
          </cell>
          <cell r="AM7">
            <v>2.4939999999999998</v>
          </cell>
          <cell r="AN7">
            <v>5.516</v>
          </cell>
          <cell r="AO7">
            <v>1</v>
          </cell>
          <cell r="AP7">
            <v>4</v>
          </cell>
          <cell r="AQ7">
            <v>3</v>
          </cell>
          <cell r="AR7">
            <v>2</v>
          </cell>
        </row>
        <row r="8">
          <cell r="AF8" t="str">
            <v>Polonia</v>
          </cell>
          <cell r="AK8">
            <v>4.4930000000000003</v>
          </cell>
          <cell r="AL8">
            <v>0.47299999999999998</v>
          </cell>
          <cell r="AM8">
            <v>7.5350000000000001</v>
          </cell>
          <cell r="AN8">
            <v>5.5139999999999993</v>
          </cell>
          <cell r="AO8">
            <v>3</v>
          </cell>
          <cell r="AP8">
            <v>4</v>
          </cell>
          <cell r="AQ8">
            <v>1</v>
          </cell>
          <cell r="AR8">
            <v>2</v>
          </cell>
        </row>
        <row r="9">
          <cell r="AF9" t="str">
            <v/>
          </cell>
          <cell r="AK9">
            <v>1.4829999999999999</v>
          </cell>
          <cell r="AL9">
            <v>1.4609999999999999</v>
          </cell>
          <cell r="AM9">
            <v>6.5249999999999995</v>
          </cell>
          <cell r="AN9">
            <v>9.5459999999999994</v>
          </cell>
          <cell r="AO9">
            <v>3</v>
          </cell>
          <cell r="AP9">
            <v>4</v>
          </cell>
          <cell r="AQ9">
            <v>2</v>
          </cell>
          <cell r="AR9">
            <v>1</v>
          </cell>
        </row>
        <row r="10">
          <cell r="AF10" t="str">
            <v>Suecia</v>
          </cell>
          <cell r="AK10">
            <v>4.5019999999999998</v>
          </cell>
          <cell r="AL10">
            <v>0.45</v>
          </cell>
          <cell r="AM10">
            <v>4.492</v>
          </cell>
          <cell r="AN10">
            <v>9.5660000000000007</v>
          </cell>
          <cell r="AO10">
            <v>2</v>
          </cell>
          <cell r="AP10">
            <v>4</v>
          </cell>
          <cell r="AQ10">
            <v>3</v>
          </cell>
          <cell r="AR10">
            <v>1</v>
          </cell>
        </row>
        <row r="11">
          <cell r="AF11" t="str">
            <v>Polonia</v>
          </cell>
          <cell r="AK11">
            <v>2.4719999999999995</v>
          </cell>
          <cell r="AL11">
            <v>1.4509999999999998</v>
          </cell>
          <cell r="AM11">
            <v>5.5249999999999995</v>
          </cell>
          <cell r="AN11">
            <v>7.5679999999999996</v>
          </cell>
          <cell r="AO11">
            <v>3</v>
          </cell>
          <cell r="AP11">
            <v>4</v>
          </cell>
          <cell r="AQ11">
            <v>2</v>
          </cell>
          <cell r="AR11">
            <v>1</v>
          </cell>
        </row>
        <row r="12">
          <cell r="AF12" t="str">
            <v/>
          </cell>
          <cell r="AK12">
            <v>3.4619999999999997</v>
          </cell>
          <cell r="AL12">
            <v>1.4729999999999999</v>
          </cell>
          <cell r="AM12">
            <v>4.5149999999999997</v>
          </cell>
          <cell r="AN12">
            <v>9.5690000000000008</v>
          </cell>
          <cell r="AO12">
            <v>3</v>
          </cell>
          <cell r="AP12">
            <v>4</v>
          </cell>
          <cell r="AQ12">
            <v>2</v>
          </cell>
          <cell r="AR12">
            <v>1</v>
          </cell>
        </row>
        <row r="13">
          <cell r="AF13" t="str">
            <v>Polonia</v>
          </cell>
          <cell r="AK13">
            <v>3.4830000000000001</v>
          </cell>
          <cell r="AL13">
            <v>0.46300000000000002</v>
          </cell>
          <cell r="AM13">
            <v>7.5249999999999995</v>
          </cell>
          <cell r="AN13">
            <v>7.5460000000000003</v>
          </cell>
          <cell r="AO13">
            <v>3</v>
          </cell>
          <cell r="AP13">
            <v>4</v>
          </cell>
          <cell r="AQ13">
            <v>2</v>
          </cell>
          <cell r="AR13">
            <v>1</v>
          </cell>
        </row>
        <row r="14">
          <cell r="AF14" t="str">
            <v>Eslovaquia</v>
          </cell>
          <cell r="AK14">
            <v>0.46300000000000002</v>
          </cell>
          <cell r="AL14">
            <v>3.4740000000000002</v>
          </cell>
          <cell r="AM14">
            <v>6.5259999999999998</v>
          </cell>
          <cell r="AN14">
            <v>9.5579999999999998</v>
          </cell>
          <cell r="AO14">
            <v>4</v>
          </cell>
          <cell r="AP14">
            <v>3</v>
          </cell>
          <cell r="AQ14">
            <v>2</v>
          </cell>
          <cell r="AR14">
            <v>1</v>
          </cell>
        </row>
        <row r="15">
          <cell r="AF15" t="str">
            <v/>
          </cell>
          <cell r="AK15">
            <v>0.45200000000000001</v>
          </cell>
          <cell r="AL15">
            <v>3.472</v>
          </cell>
          <cell r="AM15">
            <v>6.4930000000000003</v>
          </cell>
          <cell r="AN15">
            <v>9.5990000000000002</v>
          </cell>
          <cell r="AO15">
            <v>4</v>
          </cell>
          <cell r="AP15">
            <v>3</v>
          </cell>
          <cell r="AQ15">
            <v>2</v>
          </cell>
          <cell r="AR15">
            <v>1</v>
          </cell>
        </row>
        <row r="16">
          <cell r="AF16" t="str">
            <v/>
          </cell>
          <cell r="AK16">
            <v>1.484</v>
          </cell>
          <cell r="AL16">
            <v>1.472</v>
          </cell>
          <cell r="AM16">
            <v>9.536999999999999</v>
          </cell>
          <cell r="AN16">
            <v>6.5269999999999992</v>
          </cell>
          <cell r="AO16">
            <v>3</v>
          </cell>
          <cell r="AP16">
            <v>4</v>
          </cell>
          <cell r="AQ16">
            <v>1</v>
          </cell>
          <cell r="AR16">
            <v>2</v>
          </cell>
        </row>
        <row r="17">
          <cell r="AF17" t="str">
            <v/>
          </cell>
          <cell r="AK17">
            <v>4.4830000000000005</v>
          </cell>
          <cell r="AL17">
            <v>1.472</v>
          </cell>
          <cell r="AM17">
            <v>2.4819999999999998</v>
          </cell>
          <cell r="AN17">
            <v>9.5790000000000006</v>
          </cell>
          <cell r="AO17">
            <v>2</v>
          </cell>
          <cell r="AP17">
            <v>4</v>
          </cell>
          <cell r="AQ17">
            <v>3</v>
          </cell>
          <cell r="AR17">
            <v>1</v>
          </cell>
        </row>
        <row r="18">
          <cell r="AF18" t="str">
            <v/>
          </cell>
          <cell r="AK18">
            <v>2.4939999999999998</v>
          </cell>
          <cell r="AL18">
            <v>1.4809999999999999</v>
          </cell>
          <cell r="AM18">
            <v>4.5039999999999996</v>
          </cell>
          <cell r="AN18">
            <v>9.5350000000000001</v>
          </cell>
          <cell r="AO18">
            <v>3</v>
          </cell>
          <cell r="AP18">
            <v>4</v>
          </cell>
          <cell r="AQ18">
            <v>2</v>
          </cell>
          <cell r="AR18">
            <v>1</v>
          </cell>
        </row>
        <row r="19">
          <cell r="AF19" t="str">
            <v/>
          </cell>
          <cell r="AK19">
            <v>1.47</v>
          </cell>
          <cell r="AL19">
            <v>1.4609999999999999</v>
          </cell>
          <cell r="AM19">
            <v>7.5339999999999998</v>
          </cell>
          <cell r="AN19">
            <v>7.5460000000000003</v>
          </cell>
          <cell r="AO19">
            <v>3</v>
          </cell>
          <cell r="AP19">
            <v>4</v>
          </cell>
          <cell r="AQ19">
            <v>2</v>
          </cell>
          <cell r="AR19">
            <v>1</v>
          </cell>
        </row>
        <row r="20">
          <cell r="AF20" t="str">
            <v>Eslovaquia</v>
          </cell>
          <cell r="AK20">
            <v>0.46100000000000002</v>
          </cell>
          <cell r="AL20">
            <v>3.4830000000000001</v>
          </cell>
          <cell r="AM20">
            <v>9.5350000000000001</v>
          </cell>
          <cell r="AN20">
            <v>6.5350000000000001</v>
          </cell>
          <cell r="AO20">
            <v>4</v>
          </cell>
          <cell r="AP20">
            <v>3</v>
          </cell>
          <cell r="AQ20">
            <v>1</v>
          </cell>
          <cell r="AR20">
            <v>2</v>
          </cell>
        </row>
        <row r="21">
          <cell r="AF21" t="str">
            <v/>
          </cell>
          <cell r="AK21">
            <v>1.4729999999999999</v>
          </cell>
          <cell r="AL21">
            <v>1.472</v>
          </cell>
          <cell r="AM21">
            <v>7.5360000000000005</v>
          </cell>
          <cell r="AN21">
            <v>7.5350000000000001</v>
          </cell>
          <cell r="AO21">
            <v>3</v>
          </cell>
          <cell r="AP21">
            <v>4</v>
          </cell>
          <cell r="AQ21">
            <v>1</v>
          </cell>
          <cell r="AR21">
            <v>2</v>
          </cell>
        </row>
        <row r="22">
          <cell r="AF22" t="str">
            <v/>
          </cell>
          <cell r="AK22">
            <v>2.4930000000000003</v>
          </cell>
          <cell r="AL22">
            <v>1.472</v>
          </cell>
          <cell r="AM22">
            <v>6.5249999999999995</v>
          </cell>
          <cell r="AN22">
            <v>7.5249999999999995</v>
          </cell>
          <cell r="AO22">
            <v>3</v>
          </cell>
          <cell r="AP22">
            <v>4</v>
          </cell>
          <cell r="AQ22">
            <v>2</v>
          </cell>
          <cell r="AR22">
            <v>1</v>
          </cell>
        </row>
        <row r="23">
          <cell r="AF23" t="str">
            <v>Eslovaquia</v>
          </cell>
          <cell r="AK23">
            <v>5.5129999999999999</v>
          </cell>
          <cell r="AL23">
            <v>3.492</v>
          </cell>
          <cell r="AM23">
            <v>1.4709999999999999</v>
          </cell>
          <cell r="AN23">
            <v>7.5350000000000001</v>
          </cell>
          <cell r="AO23">
            <v>2</v>
          </cell>
          <cell r="AP23">
            <v>3</v>
          </cell>
          <cell r="AQ23">
            <v>4</v>
          </cell>
          <cell r="AR23">
            <v>1</v>
          </cell>
        </row>
        <row r="24">
          <cell r="AF24" t="str">
            <v/>
          </cell>
          <cell r="AK24">
            <v>4.5019999999999998</v>
          </cell>
          <cell r="AL24">
            <v>2.492</v>
          </cell>
          <cell r="AM24">
            <v>1.482</v>
          </cell>
          <cell r="AN24">
            <v>9.5339999999999989</v>
          </cell>
          <cell r="AO24">
            <v>2</v>
          </cell>
          <cell r="AP24">
            <v>3</v>
          </cell>
          <cell r="AQ24">
            <v>4</v>
          </cell>
          <cell r="AR24">
            <v>1</v>
          </cell>
        </row>
        <row r="25">
          <cell r="AF25" t="str">
            <v>Eslovaquia</v>
          </cell>
          <cell r="AK25">
            <v>6.5149999999999997</v>
          </cell>
          <cell r="AL25">
            <v>3.4940000000000002</v>
          </cell>
          <cell r="AM25">
            <v>0.47299999999999998</v>
          </cell>
          <cell r="AN25">
            <v>9.5359999999999996</v>
          </cell>
          <cell r="AO25">
            <v>2</v>
          </cell>
          <cell r="AP25">
            <v>3</v>
          </cell>
          <cell r="AQ25">
            <v>4</v>
          </cell>
          <cell r="AR25">
            <v>1</v>
          </cell>
        </row>
        <row r="26">
          <cell r="AF26" t="str">
            <v>Polonia</v>
          </cell>
          <cell r="AK26">
            <v>3.5149999999999997</v>
          </cell>
          <cell r="AL26">
            <v>0.42</v>
          </cell>
          <cell r="AM26">
            <v>6.5249999999999995</v>
          </cell>
          <cell r="AN26">
            <v>9.5570000000000004</v>
          </cell>
          <cell r="AO26">
            <v>3</v>
          </cell>
          <cell r="AP26">
            <v>4</v>
          </cell>
          <cell r="AQ26">
            <v>2</v>
          </cell>
          <cell r="AR26">
            <v>1</v>
          </cell>
        </row>
        <row r="27">
          <cell r="AF27" t="str">
            <v>Suecia</v>
          </cell>
          <cell r="AK27">
            <v>9.5449999999999999</v>
          </cell>
          <cell r="AL27">
            <v>0.442</v>
          </cell>
          <cell r="AM27">
            <v>3.492</v>
          </cell>
          <cell r="AN27">
            <v>6.5350000000000001</v>
          </cell>
          <cell r="AO27">
            <v>1</v>
          </cell>
          <cell r="AP27">
            <v>4</v>
          </cell>
          <cell r="AQ27">
            <v>3</v>
          </cell>
          <cell r="AR27">
            <v>2</v>
          </cell>
        </row>
      </sheetData>
      <sheetData sheetId="7">
        <row r="3">
          <cell r="AF3" t="str">
            <v>Alemania</v>
          </cell>
          <cell r="AK3">
            <v>3.5149999999999997</v>
          </cell>
          <cell r="AL3">
            <v>1.4709999999999999</v>
          </cell>
          <cell r="AM3">
            <v>4.5350000000000001</v>
          </cell>
          <cell r="AN3">
            <v>3.4910000000000001</v>
          </cell>
          <cell r="AO3">
            <v>2</v>
          </cell>
          <cell r="AP3">
            <v>4</v>
          </cell>
          <cell r="AQ3">
            <v>1</v>
          </cell>
          <cell r="AR3">
            <v>3</v>
          </cell>
        </row>
        <row r="5">
          <cell r="AF5" t="str">
            <v>Portugal</v>
          </cell>
          <cell r="AK5">
            <v>2.4930000000000003</v>
          </cell>
          <cell r="AL5">
            <v>2.4939999999999998</v>
          </cell>
          <cell r="AM5">
            <v>9.5459999999999994</v>
          </cell>
          <cell r="AN5">
            <v>2.4830000000000001</v>
          </cell>
          <cell r="AO5">
            <v>3</v>
          </cell>
          <cell r="AP5">
            <v>2</v>
          </cell>
          <cell r="AQ5">
            <v>1</v>
          </cell>
          <cell r="AR5">
            <v>4</v>
          </cell>
        </row>
        <row r="6">
          <cell r="AF6" t="str">
            <v>Alemania</v>
          </cell>
          <cell r="AK6">
            <v>5.5249999999999995</v>
          </cell>
          <cell r="AL6">
            <v>0.43</v>
          </cell>
          <cell r="AM6">
            <v>7.5469999999999997</v>
          </cell>
          <cell r="AN6">
            <v>4.5139999999999993</v>
          </cell>
          <cell r="AO6">
            <v>2</v>
          </cell>
          <cell r="AP6">
            <v>4</v>
          </cell>
          <cell r="AQ6">
            <v>1</v>
          </cell>
          <cell r="AR6">
            <v>3</v>
          </cell>
        </row>
        <row r="7">
          <cell r="AF7" t="str">
            <v>Alemania</v>
          </cell>
          <cell r="AK7">
            <v>7.5360000000000005</v>
          </cell>
          <cell r="AL7">
            <v>0.43</v>
          </cell>
          <cell r="AM7">
            <v>5.5259999999999998</v>
          </cell>
          <cell r="AN7">
            <v>4.5259999999999998</v>
          </cell>
          <cell r="AO7">
            <v>1</v>
          </cell>
          <cell r="AP7">
            <v>4</v>
          </cell>
          <cell r="AQ7">
            <v>2</v>
          </cell>
          <cell r="AR7">
            <v>3</v>
          </cell>
        </row>
        <row r="8">
          <cell r="AF8" t="str">
            <v/>
          </cell>
          <cell r="AK8">
            <v>3.4930000000000003</v>
          </cell>
          <cell r="AL8">
            <v>0.44</v>
          </cell>
          <cell r="AM8">
            <v>9.5560000000000009</v>
          </cell>
          <cell r="AN8">
            <v>6.5249999999999995</v>
          </cell>
          <cell r="AO8">
            <v>3</v>
          </cell>
          <cell r="AP8">
            <v>4</v>
          </cell>
          <cell r="AQ8">
            <v>1</v>
          </cell>
          <cell r="AR8">
            <v>2</v>
          </cell>
        </row>
        <row r="9">
          <cell r="AF9" t="str">
            <v>Portugal</v>
          </cell>
          <cell r="AK9">
            <v>5.5149999999999997</v>
          </cell>
          <cell r="AL9">
            <v>0.45300000000000001</v>
          </cell>
          <cell r="AM9">
            <v>5.5259999999999998</v>
          </cell>
          <cell r="AN9">
            <v>5.5269999999999992</v>
          </cell>
          <cell r="AO9">
            <v>3</v>
          </cell>
          <cell r="AP9">
            <v>4</v>
          </cell>
          <cell r="AQ9">
            <v>2</v>
          </cell>
          <cell r="AR9">
            <v>1</v>
          </cell>
        </row>
        <row r="10">
          <cell r="AF10" t="str">
            <v>Portugal</v>
          </cell>
          <cell r="AK10">
            <v>5.5239999999999991</v>
          </cell>
          <cell r="AL10">
            <v>0.43</v>
          </cell>
          <cell r="AM10">
            <v>5.5350000000000001</v>
          </cell>
          <cell r="AN10">
            <v>5.5239999999999991</v>
          </cell>
          <cell r="AO10">
            <v>3</v>
          </cell>
          <cell r="AP10">
            <v>4</v>
          </cell>
          <cell r="AQ10">
            <v>1</v>
          </cell>
          <cell r="AR10">
            <v>2</v>
          </cell>
        </row>
        <row r="11">
          <cell r="AF11" t="str">
            <v/>
          </cell>
          <cell r="AK11">
            <v>1.462</v>
          </cell>
          <cell r="AL11">
            <v>1.482</v>
          </cell>
          <cell r="AM11">
            <v>9.5469999999999988</v>
          </cell>
          <cell r="AN11">
            <v>6.5259999999999998</v>
          </cell>
          <cell r="AO11">
            <v>4</v>
          </cell>
          <cell r="AP11">
            <v>3</v>
          </cell>
          <cell r="AQ11">
            <v>1</v>
          </cell>
          <cell r="AR11">
            <v>2</v>
          </cell>
        </row>
        <row r="12">
          <cell r="AF12" t="str">
            <v>Alemania</v>
          </cell>
          <cell r="AK12">
            <v>4.5249999999999995</v>
          </cell>
          <cell r="AL12">
            <v>0.41000000000000003</v>
          </cell>
          <cell r="AM12">
            <v>9.5550000000000015</v>
          </cell>
          <cell r="AN12">
            <v>4.5249999999999995</v>
          </cell>
          <cell r="AO12">
            <v>2</v>
          </cell>
          <cell r="AP12">
            <v>4</v>
          </cell>
          <cell r="AQ12">
            <v>1</v>
          </cell>
          <cell r="AR12">
            <v>3</v>
          </cell>
        </row>
        <row r="13">
          <cell r="AF13" t="str">
            <v/>
          </cell>
          <cell r="AK13">
            <v>4.5139999999999993</v>
          </cell>
          <cell r="AL13">
            <v>2.484</v>
          </cell>
          <cell r="AM13">
            <v>1.472</v>
          </cell>
          <cell r="AN13">
            <v>9.5459999999999994</v>
          </cell>
          <cell r="AO13">
            <v>2</v>
          </cell>
          <cell r="AP13">
            <v>3</v>
          </cell>
          <cell r="AQ13">
            <v>4</v>
          </cell>
          <cell r="AR13">
            <v>1</v>
          </cell>
        </row>
        <row r="14">
          <cell r="AF14" t="str">
            <v>Francia</v>
          </cell>
          <cell r="AK14">
            <v>9.5479999999999983</v>
          </cell>
          <cell r="AL14">
            <v>0.46300000000000002</v>
          </cell>
          <cell r="AM14">
            <v>3.484</v>
          </cell>
          <cell r="AN14">
            <v>6.5269999999999992</v>
          </cell>
          <cell r="AO14">
            <v>1</v>
          </cell>
          <cell r="AP14">
            <v>4</v>
          </cell>
          <cell r="AQ14">
            <v>3</v>
          </cell>
          <cell r="AR14">
            <v>2</v>
          </cell>
        </row>
        <row r="15">
          <cell r="AF15" t="str">
            <v>Portugal</v>
          </cell>
          <cell r="AK15">
            <v>4.5030000000000001</v>
          </cell>
          <cell r="AL15">
            <v>0.46</v>
          </cell>
          <cell r="AM15">
            <v>9.5350000000000001</v>
          </cell>
          <cell r="AN15">
            <v>4.5139999999999993</v>
          </cell>
          <cell r="AO15">
            <v>3</v>
          </cell>
          <cell r="AP15">
            <v>4</v>
          </cell>
          <cell r="AQ15">
            <v>1</v>
          </cell>
          <cell r="AR15">
            <v>2</v>
          </cell>
        </row>
        <row r="16">
          <cell r="AF16" t="str">
            <v>Alemania</v>
          </cell>
          <cell r="AK16">
            <v>6.5169999999999995</v>
          </cell>
          <cell r="AL16">
            <v>0.46300000000000002</v>
          </cell>
          <cell r="AM16">
            <v>9.5379999999999985</v>
          </cell>
          <cell r="AN16">
            <v>3.5070000000000001</v>
          </cell>
          <cell r="AO16">
            <v>2</v>
          </cell>
          <cell r="AP16">
            <v>4</v>
          </cell>
          <cell r="AQ16">
            <v>1</v>
          </cell>
          <cell r="AR16">
            <v>3</v>
          </cell>
        </row>
        <row r="17">
          <cell r="AF17" t="str">
            <v>Alemania</v>
          </cell>
          <cell r="AK17">
            <v>5.5390000000000006</v>
          </cell>
          <cell r="AL17">
            <v>0.41100000000000003</v>
          </cell>
          <cell r="AM17">
            <v>7.56</v>
          </cell>
          <cell r="AN17">
            <v>4.516</v>
          </cell>
          <cell r="AO17">
            <v>2</v>
          </cell>
          <cell r="AP17">
            <v>4</v>
          </cell>
          <cell r="AQ17">
            <v>1</v>
          </cell>
          <cell r="AR17">
            <v>3</v>
          </cell>
        </row>
        <row r="18">
          <cell r="AF18" t="str">
            <v>Alemania</v>
          </cell>
          <cell r="AK18">
            <v>7.5460000000000003</v>
          </cell>
          <cell r="AL18">
            <v>0.43099999999999999</v>
          </cell>
          <cell r="AM18">
            <v>7.5360000000000005</v>
          </cell>
          <cell r="AN18">
            <v>3.5059999999999998</v>
          </cell>
          <cell r="AO18">
            <v>1</v>
          </cell>
          <cell r="AP18">
            <v>4</v>
          </cell>
          <cell r="AQ18">
            <v>2</v>
          </cell>
          <cell r="AR18">
            <v>3</v>
          </cell>
        </row>
        <row r="19">
          <cell r="AF19" t="str">
            <v>Portugal</v>
          </cell>
          <cell r="AK19">
            <v>3.5030000000000001</v>
          </cell>
          <cell r="AL19">
            <v>0.44</v>
          </cell>
          <cell r="AM19">
            <v>9.5570000000000004</v>
          </cell>
          <cell r="AN19">
            <v>6.5129999999999999</v>
          </cell>
          <cell r="AO19">
            <v>3</v>
          </cell>
          <cell r="AP19">
            <v>4</v>
          </cell>
          <cell r="AQ19">
            <v>1</v>
          </cell>
          <cell r="AR19">
            <v>2</v>
          </cell>
        </row>
        <row r="20">
          <cell r="AF20" t="str">
            <v>Portugal</v>
          </cell>
          <cell r="AK20">
            <v>4.5139999999999993</v>
          </cell>
          <cell r="AL20">
            <v>0.442</v>
          </cell>
          <cell r="AM20">
            <v>9.5479999999999983</v>
          </cell>
          <cell r="AN20">
            <v>4.516</v>
          </cell>
          <cell r="AO20">
            <v>3</v>
          </cell>
          <cell r="AP20">
            <v>4</v>
          </cell>
          <cell r="AQ20">
            <v>1</v>
          </cell>
          <cell r="AR20">
            <v>2</v>
          </cell>
        </row>
        <row r="21">
          <cell r="AF21" t="str">
            <v>Portugal</v>
          </cell>
          <cell r="AK21">
            <v>4.5049999999999999</v>
          </cell>
          <cell r="AL21">
            <v>0.46300000000000002</v>
          </cell>
          <cell r="AM21">
            <v>5.516</v>
          </cell>
          <cell r="AN21">
            <v>7.5369999999999999</v>
          </cell>
          <cell r="AO21">
            <v>3</v>
          </cell>
          <cell r="AP21">
            <v>4</v>
          </cell>
          <cell r="AQ21">
            <v>2</v>
          </cell>
          <cell r="AR21">
            <v>1</v>
          </cell>
        </row>
        <row r="22">
          <cell r="AF22" t="str">
            <v>Portugal</v>
          </cell>
          <cell r="AK22">
            <v>4.5139999999999993</v>
          </cell>
          <cell r="AL22">
            <v>0.43099999999999999</v>
          </cell>
          <cell r="AM22">
            <v>9.5570000000000004</v>
          </cell>
          <cell r="AN22">
            <v>4.5149999999999997</v>
          </cell>
          <cell r="AO22">
            <v>3</v>
          </cell>
          <cell r="AP22">
            <v>4</v>
          </cell>
          <cell r="AQ22">
            <v>1</v>
          </cell>
          <cell r="AR22">
            <v>2</v>
          </cell>
        </row>
        <row r="23">
          <cell r="AF23" t="str">
            <v/>
          </cell>
          <cell r="AK23">
            <v>3.484</v>
          </cell>
          <cell r="AL23">
            <v>0.443</v>
          </cell>
          <cell r="AM23">
            <v>7.5469999999999997</v>
          </cell>
          <cell r="AN23">
            <v>7.5490000000000004</v>
          </cell>
          <cell r="AO23">
            <v>3</v>
          </cell>
          <cell r="AP23">
            <v>4</v>
          </cell>
          <cell r="AQ23">
            <v>2</v>
          </cell>
          <cell r="AR23">
            <v>1</v>
          </cell>
        </row>
        <row r="24">
          <cell r="AF24" t="str">
            <v>Portugal</v>
          </cell>
          <cell r="AK24">
            <v>4.5039999999999996</v>
          </cell>
          <cell r="AL24">
            <v>0.45</v>
          </cell>
          <cell r="AM24">
            <v>9.5469999999999988</v>
          </cell>
          <cell r="AN24">
            <v>4.516</v>
          </cell>
          <cell r="AO24">
            <v>3</v>
          </cell>
          <cell r="AP24">
            <v>4</v>
          </cell>
          <cell r="AQ24">
            <v>1</v>
          </cell>
          <cell r="AR24">
            <v>2</v>
          </cell>
        </row>
        <row r="25">
          <cell r="AF25" t="str">
            <v>Francia</v>
          </cell>
          <cell r="AK25">
            <v>6.5129999999999999</v>
          </cell>
          <cell r="AL25">
            <v>0.45200000000000001</v>
          </cell>
          <cell r="AM25">
            <v>4.5139999999999993</v>
          </cell>
          <cell r="AN25">
            <v>7.5360000000000005</v>
          </cell>
          <cell r="AO25">
            <v>2</v>
          </cell>
          <cell r="AP25">
            <v>4</v>
          </cell>
          <cell r="AQ25">
            <v>3</v>
          </cell>
          <cell r="AR25">
            <v>1</v>
          </cell>
        </row>
        <row r="26">
          <cell r="AF26" t="str">
            <v>Portugal</v>
          </cell>
          <cell r="AK26">
            <v>4.5169999999999995</v>
          </cell>
          <cell r="AL26">
            <v>0.42199999999999999</v>
          </cell>
          <cell r="AM26">
            <v>7.548</v>
          </cell>
          <cell r="AN26">
            <v>5.5380000000000003</v>
          </cell>
          <cell r="AO26">
            <v>3</v>
          </cell>
          <cell r="AP26">
            <v>4</v>
          </cell>
          <cell r="AQ26">
            <v>1</v>
          </cell>
          <cell r="AR26">
            <v>2</v>
          </cell>
        </row>
        <row r="27">
          <cell r="AF27" t="str">
            <v/>
          </cell>
          <cell r="AK27">
            <v>3.4750000000000001</v>
          </cell>
          <cell r="AL27">
            <v>0.41000000000000003</v>
          </cell>
          <cell r="AM27">
            <v>7.5709999999999997</v>
          </cell>
          <cell r="AN27">
            <v>7.5699999999999994</v>
          </cell>
          <cell r="AO27">
            <v>3</v>
          </cell>
          <cell r="AP27">
            <v>4</v>
          </cell>
          <cell r="AQ27">
            <v>1</v>
          </cell>
          <cell r="AR27">
            <v>2</v>
          </cell>
        </row>
      </sheetData>
      <sheetData sheetId="8"/>
      <sheetData sheetId="9"/>
      <sheetData sheetId="10"/>
      <sheetData sheetId="11">
        <row r="2">
          <cell r="B2" t="str">
            <v>Luis Medica</v>
          </cell>
        </row>
        <row r="3">
          <cell r="B3" t="str">
            <v>Isaac Solanilla</v>
          </cell>
        </row>
        <row r="4">
          <cell r="B4" t="str">
            <v>Andres Corcho</v>
          </cell>
        </row>
        <row r="5">
          <cell r="B5" t="str">
            <v>Rodrigo Palavicini</v>
          </cell>
        </row>
        <row r="6">
          <cell r="B6" t="str">
            <v>Carlos Medina</v>
          </cell>
        </row>
        <row r="7">
          <cell r="B7" t="str">
            <v>July Batista</v>
          </cell>
        </row>
        <row r="8">
          <cell r="B8" t="str">
            <v>Carlos Quiel</v>
          </cell>
        </row>
        <row r="9">
          <cell r="B9" t="str">
            <v>Oliver Amaya</v>
          </cell>
        </row>
        <row r="10">
          <cell r="B10" t="str">
            <v>Radames Guerrero</v>
          </cell>
        </row>
        <row r="11">
          <cell r="B11" t="str">
            <v>Effie Latouche</v>
          </cell>
        </row>
        <row r="12">
          <cell r="B12" t="str">
            <v>Sandra Badilla</v>
          </cell>
        </row>
        <row r="13">
          <cell r="B13" t="str">
            <v>Samantha Montero 1</v>
          </cell>
        </row>
        <row r="14">
          <cell r="B14" t="str">
            <v>Samantha Mont. 2 (Jairo)</v>
          </cell>
        </row>
        <row r="15">
          <cell r="B15" t="str">
            <v>Samantha Mont. 3(Jafet)</v>
          </cell>
        </row>
        <row r="16">
          <cell r="B16" t="str">
            <v>Mileny Acosta</v>
          </cell>
        </row>
        <row r="17">
          <cell r="B17" t="str">
            <v>Mileny Acosta(CF)</v>
          </cell>
        </row>
        <row r="18">
          <cell r="B18" t="str">
            <v>Juan Rojas</v>
          </cell>
        </row>
        <row r="19">
          <cell r="B19" t="str">
            <v>Bilis Cedeño</v>
          </cell>
        </row>
        <row r="20">
          <cell r="B20" t="str">
            <v>Alfredo Quintero 1</v>
          </cell>
        </row>
        <row r="21">
          <cell r="B21" t="str">
            <v>Alfredo Quintero 2</v>
          </cell>
        </row>
        <row r="22">
          <cell r="B22" t="str">
            <v>Antonio Barahona</v>
          </cell>
        </row>
        <row r="23">
          <cell r="B23" t="str">
            <v>Jose Caballero 1</v>
          </cell>
        </row>
        <row r="24">
          <cell r="B24" t="str">
            <v>Jose Caballero 2(Betito)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C0D655-8EA1-4445-9BA8-DE801983EF40}" name="Tabla1" displayName="Tabla1" ref="A5:S28" totalsRowShown="0" headerRowDxfId="146" headerRowBorderDxfId="145" tableBorderDxfId="144">
  <autoFilter ref="A5:S28" xr:uid="{F4CB0C35-59CE-4C08-837E-1658CFA199E2}"/>
  <tableColumns count="19">
    <tableColumn id="1" xr3:uid="{BEB3E42E-2553-4411-9A03-DD7F21C163E5}" name="Columna1" dataDxfId="143">
      <calculatedColumnFormula>[2]Participantes!B2</calculatedColumnFormula>
    </tableColumn>
    <tableColumn id="2" xr3:uid="{C4037473-91F0-4064-89D7-E99081369E5F}" name="Columna2" dataDxfId="142">
      <calculatedColumnFormula>[2]A!AF5</calculatedColumnFormula>
    </tableColumn>
    <tableColumn id="3" xr3:uid="{5BCAB15D-6A46-4EDC-8734-15F4A6BA169C}" name="Columna3" dataDxfId="141">
      <calculatedColumnFormula>[2]B!AF5</calculatedColumnFormula>
    </tableColumn>
    <tableColumn id="4" xr3:uid="{D7367F12-5AA1-4C16-A199-78CF6FC40139}" name="Columna4" dataDxfId="140">
      <calculatedColumnFormula>[2]C!$AF5</calculatedColumnFormula>
    </tableColumn>
    <tableColumn id="5" xr3:uid="{780914D1-6061-449F-A2D1-69F0F37FC4D3}" name="Columna5" dataDxfId="139">
      <calculatedColumnFormula>[2]D!$AF5</calculatedColumnFormula>
    </tableColumn>
    <tableColumn id="6" xr3:uid="{D81140B4-3969-4B47-9222-F85C504EC32D}" name="Columna6" dataDxfId="138">
      <calculatedColumnFormula>[2]E!$AF5</calculatedColumnFormula>
    </tableColumn>
    <tableColumn id="7" xr3:uid="{D543534E-8E7D-40A2-99AC-D538B036EF38}" name="Columna7" dataDxfId="137">
      <calculatedColumnFormula>[2]F!$AF5</calculatedColumnFormula>
    </tableColumn>
    <tableColumn id="8" xr3:uid="{A97E00C9-8768-4B3A-AFB1-6E1DA33C69F3}" name="Columna8" dataDxfId="136">
      <calculatedColumnFormula>IF([2]A!AO5=3,[2]A!$AK5,IF([2]A!AP5=3,[2]A!$AL5,IF([2]A!AQ5=3,[2]A!$AM5,IF([2]A!AR5=3,[2]A!$AN5,"error"))))</calculatedColumnFormula>
    </tableColumn>
    <tableColumn id="9" xr3:uid="{3CE6D79F-140A-4EC8-9CC6-426B8834BDFD}" name="Columna9" dataDxfId="135">
      <calculatedColumnFormula>IF([2]B!AO5=3,[2]B!$AK5,IF([2]B!AP5=3,[2]B!$AL5,IF([2]B!AQ5=3,[2]B!$AM5,IF([2]B!AR5=3,[2]B!$AN5,"error"))))</calculatedColumnFormula>
    </tableColumn>
    <tableColumn id="10" xr3:uid="{815F0EDE-B9F7-4C09-A39B-40CF38275B22}" name="Columna10" dataDxfId="134">
      <calculatedColumnFormula>IF([2]C!AO5=3,[2]C!$AK5,IF([2]C!AP5=3,[2]C!$AL5,IF([2]C!AQ5=3,[2]C!$AM5,IF([2]C!AR5=3,[2]C!$AN5,"error"))))</calculatedColumnFormula>
    </tableColumn>
    <tableColumn id="11" xr3:uid="{FD81A124-1AAC-48A1-98C2-F2E9AD9F59FF}" name="Columna11" dataDxfId="133">
      <calculatedColumnFormula>IF([2]D!AO5=3,[2]D!$AK5,IF([2]D!AP5=3,[2]D!$AL5,IF([2]D!AQ5=3,[2]D!$AM5,IF([2]D!AR5=3,[2]D!$AN5,"error"))))</calculatedColumnFormula>
    </tableColumn>
    <tableColumn id="12" xr3:uid="{A2A8A497-E05C-466D-9048-82B8FEC5E18F}" name="Columna12" dataDxfId="132">
      <calculatedColumnFormula>IF([2]E!AO5=3,[2]E!$AK5,IF([2]E!AP5=3,[2]E!$AL5,IF([2]E!AQ5=3,[2]E!$AM5,IF([2]E!AR5=3,[2]E!$AN5,"error"))))</calculatedColumnFormula>
    </tableColumn>
    <tableColumn id="13" xr3:uid="{EEF3ADC0-94B4-4AFA-B834-4D7D06C1D0C8}" name="Columna13" dataDxfId="131">
      <calculatedColumnFormula>IF([2]F!AO5=3,[2]F!$AK5,IF([2]F!AP5=3,[2]F!$AL5,IF([2]F!AQ5=3,[2]F!$AM5,IF([2]F!AR5=3,[2]F!$AN5,"error"))))</calculatedColumnFormula>
    </tableColumn>
    <tableColumn id="14" xr3:uid="{EC547AB1-4BB6-4D1A-8539-D8264DEBA691}" name="Columna14" dataDxfId="130">
      <calculatedColumnFormula>_xlfn.RANK.EQ($H6,$H6:$M6,0)</calculatedColumnFormula>
    </tableColumn>
    <tableColumn id="15" xr3:uid="{BDD1E3AB-784D-4BE6-8268-D81B4341AC7E}" name="Columna15" dataDxfId="129">
      <calculatedColumnFormula>_xlfn.RANK.EQ($I6,$H6:$M6,0)</calculatedColumnFormula>
    </tableColumn>
    <tableColumn id="16" xr3:uid="{D6FEE110-91FA-4EAD-99AC-9F5C125E840F}" name="Columna16" dataDxfId="128">
      <calculatedColumnFormula>_xlfn.RANK.EQ($J6,$H6:$M6,0)</calculatedColumnFormula>
    </tableColumn>
    <tableColumn id="17" xr3:uid="{981ADB31-4FD9-434C-B185-418C46640DFA}" name="Columna17" dataDxfId="127">
      <calculatedColumnFormula>_xlfn.RANK.EQ($K6,$H6:$M6,0)</calculatedColumnFormula>
    </tableColumn>
    <tableColumn id="18" xr3:uid="{BFBE8F37-4FB1-47C7-B880-CE477FC8502A}" name="Columna18" dataDxfId="126">
      <calculatedColumnFormula>_xlfn.RANK.EQ($L6,$H6:$M6,0)</calculatedColumnFormula>
    </tableColumn>
    <tableColumn id="19" xr3:uid="{3E973F0A-A66B-4958-BFC1-C138766E6AA7}" name="Columna19" dataDxfId="125">
      <calculatedColumnFormula>_xlfn.RANK.EQ($M6,$H6:$M6,0)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pollait.000webhostapp.com/posiciones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B687-63F1-4B87-8F5F-7D23DA0C31F2}">
  <dimension ref="A1:X28"/>
  <sheetViews>
    <sheetView workbookViewId="0">
      <selection activeCell="A16" sqref="A16"/>
    </sheetView>
  </sheetViews>
  <sheetFormatPr baseColWidth="10" defaultRowHeight="12.75"/>
  <cols>
    <col min="1" max="1" width="28.28515625" style="170" customWidth="1"/>
    <col min="2" max="3" width="11.28515625" style="170" customWidth="1"/>
    <col min="4" max="4" width="12.140625" style="170" customWidth="1"/>
    <col min="5" max="5" width="14.85546875" style="170" customWidth="1"/>
    <col min="6" max="6" width="12" style="170" customWidth="1"/>
    <col min="7" max="7" width="13" style="170" customWidth="1"/>
    <col min="8" max="9" width="11.42578125" style="170"/>
    <col min="10" max="19" width="12.28515625" style="170" customWidth="1"/>
    <col min="20" max="25" width="0" style="170" hidden="1" customWidth="1"/>
    <col min="26" max="16384" width="11.42578125" style="170"/>
  </cols>
  <sheetData>
    <row r="1" spans="1:24" ht="13.5" thickBot="1">
      <c r="A1" s="169"/>
    </row>
    <row r="2" spans="1:24" ht="16.5" thickBot="1">
      <c r="A2" s="171"/>
      <c r="B2" s="201" t="s">
        <v>438</v>
      </c>
      <c r="C2" s="202"/>
      <c r="D2" s="202"/>
      <c r="E2" s="202"/>
      <c r="F2" s="202"/>
      <c r="G2" s="203"/>
      <c r="H2" s="201" t="s">
        <v>439</v>
      </c>
      <c r="I2" s="202"/>
      <c r="J2" s="202"/>
      <c r="K2" s="202"/>
      <c r="L2" s="202"/>
      <c r="M2" s="203"/>
      <c r="N2" s="201" t="s">
        <v>440</v>
      </c>
      <c r="O2" s="202"/>
      <c r="P2" s="202"/>
      <c r="Q2" s="202"/>
      <c r="R2" s="202"/>
      <c r="S2" s="203"/>
    </row>
    <row r="3" spans="1:24">
      <c r="A3" s="172"/>
      <c r="B3" s="173" t="s">
        <v>20</v>
      </c>
      <c r="C3" s="174" t="s">
        <v>9</v>
      </c>
      <c r="D3" s="174" t="s">
        <v>10</v>
      </c>
      <c r="E3" s="174" t="s">
        <v>21</v>
      </c>
      <c r="F3" s="174" t="s">
        <v>11</v>
      </c>
      <c r="G3" s="175" t="s">
        <v>12</v>
      </c>
      <c r="H3" s="173" t="s">
        <v>20</v>
      </c>
      <c r="I3" s="174" t="s">
        <v>9</v>
      </c>
      <c r="J3" s="174" t="s">
        <v>10</v>
      </c>
      <c r="K3" s="174" t="s">
        <v>21</v>
      </c>
      <c r="L3" s="174" t="s">
        <v>11</v>
      </c>
      <c r="M3" s="175" t="s">
        <v>12</v>
      </c>
      <c r="N3" s="176" t="s">
        <v>20</v>
      </c>
      <c r="O3" s="177" t="s">
        <v>9</v>
      </c>
      <c r="P3" s="177" t="s">
        <v>10</v>
      </c>
      <c r="Q3" s="177" t="s">
        <v>21</v>
      </c>
      <c r="R3" s="177" t="s">
        <v>11</v>
      </c>
      <c r="S3" s="178" t="s">
        <v>12</v>
      </c>
    </row>
    <row r="4" spans="1:24" ht="16.5" thickBot="1">
      <c r="A4" s="179" t="s">
        <v>441</v>
      </c>
      <c r="B4" s="180" t="str">
        <f>[2]A!AF3</f>
        <v>Suiza</v>
      </c>
      <c r="C4" s="181" t="str">
        <f>[2]B!$AF3</f>
        <v>Finlandia</v>
      </c>
      <c r="D4" s="181" t="str">
        <f>[2]C!$AF3</f>
        <v>Ucrania</v>
      </c>
      <c r="E4" s="181" t="str">
        <f>[2]D!$AF3</f>
        <v/>
      </c>
      <c r="F4" s="181" t="str">
        <f>[2]E!$AF3</f>
        <v/>
      </c>
      <c r="G4" s="182" t="str">
        <f>[2]F!$AF3</f>
        <v>Alemania</v>
      </c>
      <c r="H4" s="183">
        <f>IF([2]A!AO3=3,[2]A!$AK3,IF([2]A!AP3=3,[2]A!$AL3,IF([2]A!AQ3=3,[2]A!$AM3,IF([2]A!AR3=3,[2]A!$AN3,"error"))))</f>
        <v>4.4939999999999998</v>
      </c>
      <c r="I4" s="184">
        <f>IF([2]B!AO3=3,[2]B!$AK3,IF([2]B!AP3=3,[2]B!$AL3,IF([2]B!AQ3=3,[2]B!$AM3,IF([2]B!AR3=3,[2]B!$AN3,"error"))))</f>
        <v>3.4809999999999999</v>
      </c>
      <c r="J4" s="184">
        <f>IF([2]C!AO3=3,[2]C!$AK3,IF([2]C!AP3=3,[2]C!$AL3,IF([2]C!AQ3=3,[2]C!$AM3,IF([2]C!AR3=3,[2]C!$AN3,"error"))))</f>
        <v>3.504</v>
      </c>
      <c r="K4" s="181">
        <f>IF([2]D!AO3=3,[2]D!$AK3,IF([2]D!AP3=3,[2]D!$AL3,IF([2]D!AQ3=3,[2]D!$AM3,IF([2]D!AR3=3,[2]D!$AN3,"error"))))</f>
        <v>2.4909999999999997</v>
      </c>
      <c r="L4" s="181">
        <f>IF([2]E!AO3=3,[2]E!$AK3,IF([2]E!AP3=3,[2]E!$AL3,IF([2]E!AQ3=3,[2]E!$AM3,IF([2]E!AR3=3,[2]E!$AN3,"error"))))</f>
        <v>2.5109999999999997</v>
      </c>
      <c r="M4" s="182">
        <f>IF([2]F!AO3=3,[2]F!$AK3,IF([2]F!AP3=3,[2]F!$AL3,IF([2]F!AQ3=3,[2]F!$AM3,IF([2]F!AR3=3,[2]F!$AN3,"error"))))</f>
        <v>3.4910000000000001</v>
      </c>
      <c r="N4" s="180">
        <f>_xlfn.RANK.EQ($H4,$H4:$M4,0)</f>
        <v>1</v>
      </c>
      <c r="O4" s="181">
        <f>_xlfn.RANK.EQ($I4,$H4:$M4,0)</f>
        <v>4</v>
      </c>
      <c r="P4" s="181">
        <f>_xlfn.RANK.EQ($J4,$H4:$M4,0)</f>
        <v>2</v>
      </c>
      <c r="Q4" s="181">
        <f>_xlfn.RANK.EQ($K4,$H4:$M4,0)</f>
        <v>6</v>
      </c>
      <c r="R4" s="181">
        <f>_xlfn.RANK.EQ($L4,$H4:$M4,0)</f>
        <v>5</v>
      </c>
      <c r="S4" s="182">
        <f>_xlfn.RANK.EQ($M4,$H4:$M4,0)</f>
        <v>3</v>
      </c>
      <c r="T4" s="170">
        <f>SUM(N4:S4)</f>
        <v>21</v>
      </c>
    </row>
    <row r="5" spans="1:24" ht="13.5" hidden="1" thickBot="1">
      <c r="A5" s="193" t="s">
        <v>442</v>
      </c>
      <c r="B5" s="194" t="s">
        <v>443</v>
      </c>
      <c r="C5" s="194" t="s">
        <v>444</v>
      </c>
      <c r="D5" s="194" t="s">
        <v>445</v>
      </c>
      <c r="E5" s="194" t="s">
        <v>446</v>
      </c>
      <c r="F5" s="194" t="s">
        <v>447</v>
      </c>
      <c r="G5" s="194" t="s">
        <v>448</v>
      </c>
      <c r="H5" s="195" t="s">
        <v>449</v>
      </c>
      <c r="I5" s="195" t="s">
        <v>450</v>
      </c>
      <c r="J5" s="195" t="s">
        <v>451</v>
      </c>
      <c r="K5" s="195" t="s">
        <v>452</v>
      </c>
      <c r="L5" s="195" t="s">
        <v>453</v>
      </c>
      <c r="M5" s="195" t="s">
        <v>454</v>
      </c>
      <c r="N5" s="195" t="s">
        <v>455</v>
      </c>
      <c r="O5" s="195" t="s">
        <v>456</v>
      </c>
      <c r="P5" s="195" t="s">
        <v>457</v>
      </c>
      <c r="Q5" s="195" t="s">
        <v>458</v>
      </c>
      <c r="R5" s="195" t="s">
        <v>459</v>
      </c>
      <c r="S5" s="196" t="s">
        <v>460</v>
      </c>
      <c r="T5" s="170">
        <f t="shared" ref="T5:T27" si="0">SUM(N6:S6)</f>
        <v>21</v>
      </c>
      <c r="U5" s="170">
        <f>COUNTIF($N6:$S6,1)</f>
        <v>1</v>
      </c>
      <c r="V5" s="170">
        <f t="shared" ref="V5:V27" si="1">COUNTIF($N6:$S6,2)</f>
        <v>1</v>
      </c>
      <c r="W5" s="170">
        <f t="shared" ref="W5:W27" si="2">COUNTIF($N6:$S6,3)</f>
        <v>1</v>
      </c>
      <c r="X5" s="170">
        <f t="shared" ref="X5:X27" si="3">COUNTIF($N6:$S6,4)</f>
        <v>1</v>
      </c>
    </row>
    <row r="6" spans="1:24">
      <c r="A6" s="189" t="str">
        <f>[2]Participantes!B2</f>
        <v>Luis Medica</v>
      </c>
      <c r="B6" s="185" t="str">
        <f>[2]A!AF5</f>
        <v/>
      </c>
      <c r="C6" s="185" t="str">
        <f>[2]B!$AF5</f>
        <v>Dinamarca</v>
      </c>
      <c r="D6" s="185" t="str">
        <f>[2]C!$AF5</f>
        <v>Austria</v>
      </c>
      <c r="E6" s="185" t="str">
        <f>[2]D!$AF5</f>
        <v>Escocia</v>
      </c>
      <c r="F6" s="185" t="str">
        <f>[2]E!$AF5</f>
        <v/>
      </c>
      <c r="G6" s="185" t="str">
        <f>[2]F!$AF5</f>
        <v>Portugal</v>
      </c>
      <c r="H6" s="186">
        <f>IF([2]A!AO5=3,[2]A!$AK5,IF([2]A!AP5=3,[2]A!$AL5,IF([2]A!AQ5=3,[2]A!$AM5,IF([2]A!AR5=3,[2]A!$AN5,"error"))))</f>
        <v>2.4819999999999998</v>
      </c>
      <c r="I6" s="186">
        <f>IF([2]B!AO5=3,[2]B!$AK5,IF([2]B!AP5=3,[2]B!$AL5,IF([2]B!AQ5=3,[2]B!$AM5,IF([2]B!AR5=3,[2]B!$AN5,"error"))))</f>
        <v>4.4911000000000003</v>
      </c>
      <c r="J6" s="186">
        <f>IF([2]C!AO5=3,[2]C!$AK5,IF([2]C!AP5=3,[2]C!$AL5,IF([2]C!AQ5=3,[2]C!$AM5,IF([2]C!AR5=3,[2]C!$AN5,"error"))))</f>
        <v>4.4939999999999998</v>
      </c>
      <c r="K6" s="186">
        <f>IF([2]D!AO5=3,[2]D!$AK5,IF([2]D!AP5=3,[2]D!$AL5,IF([2]D!AQ5=3,[2]D!$AM5,IF([2]D!AR5=3,[2]D!$AN5,"error"))))</f>
        <v>4.5030999999999999</v>
      </c>
      <c r="L6" s="186">
        <f>IF([2]E!AO5=3,[2]E!$AK5,IF([2]E!AP5=3,[2]E!$AL5,IF([2]E!AQ5=3,[2]E!$AM5,IF([2]E!AR5=3,[2]E!$AN5,"error"))))</f>
        <v>2.492</v>
      </c>
      <c r="M6" s="186">
        <f>IF([2]F!AO5=3,[2]F!$AK5,IF([2]F!AP5=3,[2]F!$AL5,IF([2]F!AQ5=3,[2]F!$AM5,IF([2]F!AR5=3,[2]F!$AN5,"error"))))</f>
        <v>2.4930000000000003</v>
      </c>
      <c r="N6" s="186">
        <f>_xlfn.RANK.EQ($H6,$H6:$M6,0)</f>
        <v>6</v>
      </c>
      <c r="O6" s="186">
        <f>_xlfn.RANK.EQ($I6,$H6:$M6,0)</f>
        <v>3</v>
      </c>
      <c r="P6" s="186">
        <f t="shared" ref="P6:P28" si="4">_xlfn.RANK.EQ($J6,$H6:$M6,0)</f>
        <v>2</v>
      </c>
      <c r="Q6" s="186">
        <f t="shared" ref="Q6:Q28" si="5">_xlfn.RANK.EQ($K6,$H6:$M6,0)</f>
        <v>1</v>
      </c>
      <c r="R6" s="186">
        <f t="shared" ref="R6:R28" si="6">_xlfn.RANK.EQ($L6,$H6:$M6,0)</f>
        <v>5</v>
      </c>
      <c r="S6" s="191">
        <f t="shared" ref="S6:S28" si="7">_xlfn.RANK.EQ($M6,$H6:$M6,0)</f>
        <v>4</v>
      </c>
      <c r="T6" s="170">
        <f t="shared" si="0"/>
        <v>21</v>
      </c>
      <c r="U6" s="170">
        <f t="shared" ref="U6:U27" si="8">COUNTIF(N7:S7,1)</f>
        <v>1</v>
      </c>
      <c r="V6" s="170">
        <f t="shared" si="1"/>
        <v>1</v>
      </c>
      <c r="W6" s="170">
        <f t="shared" si="2"/>
        <v>1</v>
      </c>
      <c r="X6" s="170">
        <f t="shared" si="3"/>
        <v>1</v>
      </c>
    </row>
    <row r="7" spans="1:24">
      <c r="A7" s="190" t="str">
        <f>[2]Participantes!B3</f>
        <v>Isaac Solanilla</v>
      </c>
      <c r="B7" s="187" t="str">
        <f>[2]A!AF6</f>
        <v/>
      </c>
      <c r="C7" s="187" t="str">
        <f>[2]B!AF6</f>
        <v>Dinamarca</v>
      </c>
      <c r="D7" s="187" t="str">
        <f>[2]C!$AF6</f>
        <v>Austria</v>
      </c>
      <c r="E7" s="187" t="str">
        <f>[2]D!$AF6</f>
        <v>Escocia</v>
      </c>
      <c r="F7" s="187" t="str">
        <f>[2]E!$AF6</f>
        <v/>
      </c>
      <c r="G7" s="187" t="str">
        <f>[2]F!$AF6</f>
        <v>Alemania</v>
      </c>
      <c r="H7" s="188">
        <f>IF([2]A!AO6=3,[2]A!$AK6,IF([2]A!AP6=3,[2]A!$AL6,IF([2]A!AQ6=3,[2]A!$AM6,IF([2]A!AR6=3,[2]A!$AN6,"error"))))</f>
        <v>2.4930000000000003</v>
      </c>
      <c r="I7" s="188">
        <f>IF([2]B!AO6=3,[2]B!$AK6,IF([2]B!AP6=3,[2]B!$AL6,IF([2]B!AQ6=3,[2]B!$AM6,IF([2]B!AR6=3,[2]B!$AN6,"error"))))</f>
        <v>2.4930000000000003</v>
      </c>
      <c r="J7" s="188">
        <f>IF([2]C!AO6=3,[2]C!$AK6,IF([2]C!AP6=3,[2]C!$AL6,IF([2]C!AQ6=3,[2]C!$AM6,IF([2]C!AR6=3,[2]C!$AN6,"error"))))</f>
        <v>3.4619999999999997</v>
      </c>
      <c r="K7" s="188">
        <f>IF([2]D!AO6=3,[2]D!$AK6,IF([2]D!AP6=3,[2]D!$AL6,IF([2]D!AQ6=3,[2]D!$AM6,IF([2]D!AR6=3,[2]D!$AN6,"error"))))</f>
        <v>2.4939999999999998</v>
      </c>
      <c r="L7" s="188">
        <f>IF([2]E!AO6=3,[2]E!$AK6,IF([2]E!AP6=3,[2]E!$AL6,IF([2]E!AQ6=3,[2]E!$AM6,IF([2]E!AR6=3,[2]E!$AN6,"error"))))</f>
        <v>2.4819999999999998</v>
      </c>
      <c r="M7" s="188">
        <f>IF([2]F!AO6=3,[2]F!$AK6,IF([2]F!AP6=3,[2]F!$AL6,IF([2]F!AQ6=3,[2]F!$AM6,IF([2]F!AR6=3,[2]F!$AN6,"error"))))</f>
        <v>4.5139999999999993</v>
      </c>
      <c r="N7" s="188">
        <v>5</v>
      </c>
      <c r="O7" s="188">
        <f>_xlfn.RANK.EQ($I7,$H7:$M7,0)</f>
        <v>4</v>
      </c>
      <c r="P7" s="188">
        <f t="shared" si="4"/>
        <v>2</v>
      </c>
      <c r="Q7" s="188">
        <f t="shared" si="5"/>
        <v>3</v>
      </c>
      <c r="R7" s="188">
        <f t="shared" si="6"/>
        <v>6</v>
      </c>
      <c r="S7" s="192">
        <f t="shared" si="7"/>
        <v>1</v>
      </c>
      <c r="T7" s="170">
        <f t="shared" si="0"/>
        <v>21</v>
      </c>
      <c r="U7" s="170">
        <f t="shared" si="8"/>
        <v>1</v>
      </c>
      <c r="V7" s="170">
        <f t="shared" si="1"/>
        <v>1</v>
      </c>
      <c r="W7" s="170">
        <f t="shared" si="2"/>
        <v>1</v>
      </c>
      <c r="X7" s="170">
        <f t="shared" si="3"/>
        <v>1</v>
      </c>
    </row>
    <row r="8" spans="1:24">
      <c r="A8" s="190" t="str">
        <f>[2]Participantes!B4</f>
        <v>Andres Corcho</v>
      </c>
      <c r="B8" s="187" t="str">
        <f>[2]A!AF7</f>
        <v>Suiza</v>
      </c>
      <c r="C8" s="187" t="str">
        <f>[2]B!AF7</f>
        <v/>
      </c>
      <c r="D8" s="187" t="str">
        <f>[2]C!$AF7</f>
        <v>Macedonia</v>
      </c>
      <c r="E8" s="187" t="str">
        <f>[2]D!$AF7</f>
        <v>Escocia</v>
      </c>
      <c r="F8" s="187" t="str">
        <f>[2]E!$AF7</f>
        <v/>
      </c>
      <c r="G8" s="187" t="str">
        <f>[2]F!$AF7</f>
        <v>Alemania</v>
      </c>
      <c r="H8" s="188">
        <f>IF([2]A!AO7=3,[2]A!$AK7,IF([2]A!AP7=3,[2]A!$AL7,IF([2]A!AQ7=3,[2]A!$AM7,IF([2]A!AR7=3,[2]A!$AN7,"error"))))</f>
        <v>4.5050999999999997</v>
      </c>
      <c r="I8" s="188">
        <f>IF([2]B!AO7=3,[2]B!$AK7,IF([2]B!AP7=3,[2]B!$AL7,IF([2]B!AQ7=3,[2]B!$AM7,IF([2]B!AR7=3,[2]B!$AN7,"error"))))</f>
        <v>4.4940999999999995</v>
      </c>
      <c r="J8" s="188">
        <f>IF([2]C!AO7=3,[2]C!$AK7,IF([2]C!AP7=3,[2]C!$AL7,IF([2]C!AQ7=3,[2]C!$AM7,IF([2]C!AR7=3,[2]C!$AN7,"error"))))</f>
        <v>4.4950000000000001</v>
      </c>
      <c r="K8" s="188">
        <f>IF([2]D!AO7=3,[2]D!$AK7,IF([2]D!AP7=3,[2]D!$AL7,IF([2]D!AQ7=3,[2]D!$AM7,IF([2]D!AR7=3,[2]D!$AN7,"error"))))</f>
        <v>4.4940999999999995</v>
      </c>
      <c r="L8" s="188">
        <f>IF([2]E!AO7=3,[2]E!$AK7,IF([2]E!AP7=3,[2]E!$AL7,IF([2]E!AQ7=3,[2]E!$AM7,IF([2]E!AR7=3,[2]E!$AN7,"error"))))</f>
        <v>2.4939999999999998</v>
      </c>
      <c r="M8" s="188">
        <f>IF([2]F!AO7=3,[2]F!$AK7,IF([2]F!AP7=3,[2]F!$AL7,IF([2]F!AQ7=3,[2]F!$AM7,IF([2]F!AR7=3,[2]F!$AN7,"error"))))</f>
        <v>4.5259999999999998</v>
      </c>
      <c r="N8" s="188">
        <f t="shared" ref="N8:N28" si="9">_xlfn.RANK.EQ($H8,$H8:$M8,0)</f>
        <v>2</v>
      </c>
      <c r="O8" s="188">
        <v>5</v>
      </c>
      <c r="P8" s="188">
        <f t="shared" si="4"/>
        <v>3</v>
      </c>
      <c r="Q8" s="188">
        <f t="shared" si="5"/>
        <v>4</v>
      </c>
      <c r="R8" s="188">
        <f t="shared" si="6"/>
        <v>6</v>
      </c>
      <c r="S8" s="192">
        <f t="shared" si="7"/>
        <v>1</v>
      </c>
      <c r="T8" s="170">
        <f t="shared" si="0"/>
        <v>21</v>
      </c>
      <c r="U8" s="170">
        <f t="shared" si="8"/>
        <v>1</v>
      </c>
      <c r="V8" s="170">
        <f t="shared" si="1"/>
        <v>1</v>
      </c>
      <c r="W8" s="170">
        <f t="shared" si="2"/>
        <v>1</v>
      </c>
      <c r="X8" s="170">
        <f t="shared" si="3"/>
        <v>1</v>
      </c>
    </row>
    <row r="9" spans="1:24">
      <c r="A9" s="190" t="str">
        <f>[2]Participantes!B5</f>
        <v>Rodrigo Palavicini</v>
      </c>
      <c r="B9" s="187" t="str">
        <f>[2]A!AF8</f>
        <v>Suiza</v>
      </c>
      <c r="C9" s="187" t="str">
        <f>[2]B!AF8</f>
        <v>Dinamarca</v>
      </c>
      <c r="D9" s="187" t="str">
        <f>[2]C!$AF8</f>
        <v>Austria</v>
      </c>
      <c r="E9" s="187" t="str">
        <f>[2]D!$AF8</f>
        <v/>
      </c>
      <c r="F9" s="187" t="str">
        <f>[2]E!$AF8</f>
        <v>Polonia</v>
      </c>
      <c r="G9" s="187" t="str">
        <f>[2]F!$AF8</f>
        <v/>
      </c>
      <c r="H9" s="188">
        <f>IF([2]A!AO8=3,[2]A!$AK8,IF([2]A!AP8=3,[2]A!$AL8,IF([2]A!AQ8=3,[2]A!$AM8,IF([2]A!AR8=3,[2]A!$AN8,"error"))))</f>
        <v>4.5020999999999995</v>
      </c>
      <c r="I9" s="188">
        <f>IF([2]B!AO8=3,[2]B!$AK8,IF([2]B!AP8=3,[2]B!$AL8,IF([2]B!AQ8=3,[2]B!$AM8,IF([2]B!AR8=3,[2]B!$AN8,"error"))))</f>
        <v>4.5130999999999997</v>
      </c>
      <c r="J9" s="188">
        <f>IF([2]C!AO8=3,[2]C!$AK8,IF([2]C!AP8=3,[2]C!$AL8,IF([2]C!AQ8=3,[2]C!$AM8,IF([2]C!AR8=3,[2]C!$AN8,"error"))))</f>
        <v>3.5149999999999997</v>
      </c>
      <c r="K9" s="188">
        <f>IF([2]D!AO8=3,[2]D!$AK8,IF([2]D!AP8=3,[2]D!$AL8,IF([2]D!AQ8=3,[2]D!$AM8,IF([2]D!AR8=3,[2]D!$AN8,"error"))))</f>
        <v>1.4609999999999999</v>
      </c>
      <c r="L9" s="188">
        <f>IF([2]E!AO8=3,[2]E!$AK8,IF([2]E!AP8=3,[2]E!$AL8,IF([2]E!AQ8=3,[2]E!$AM8,IF([2]E!AR8=3,[2]E!$AN8,"error"))))</f>
        <v>4.4930000000000003</v>
      </c>
      <c r="M9" s="188">
        <f>IF([2]F!AO8=3,[2]F!$AK8,IF([2]F!AP8=3,[2]F!$AL8,IF([2]F!AQ8=3,[2]F!$AM8,IF([2]F!AR8=3,[2]F!$AN8,"error"))))</f>
        <v>3.4930000000000003</v>
      </c>
      <c r="N9" s="188">
        <f t="shared" si="9"/>
        <v>2</v>
      </c>
      <c r="O9" s="188">
        <f t="shared" ref="O9:O28" si="10">_xlfn.RANK.EQ($I9,$H9:$M9,0)</f>
        <v>1</v>
      </c>
      <c r="P9" s="188">
        <f t="shared" si="4"/>
        <v>4</v>
      </c>
      <c r="Q9" s="188">
        <f t="shared" si="5"/>
        <v>6</v>
      </c>
      <c r="R9" s="188">
        <f t="shared" si="6"/>
        <v>3</v>
      </c>
      <c r="S9" s="192">
        <f t="shared" si="7"/>
        <v>5</v>
      </c>
      <c r="T9" s="170">
        <f t="shared" si="0"/>
        <v>21</v>
      </c>
      <c r="U9" s="170">
        <f t="shared" si="8"/>
        <v>1</v>
      </c>
      <c r="V9" s="170">
        <f t="shared" si="1"/>
        <v>1</v>
      </c>
      <c r="W9" s="170">
        <f t="shared" si="2"/>
        <v>1</v>
      </c>
      <c r="X9" s="170">
        <f t="shared" si="3"/>
        <v>1</v>
      </c>
    </row>
    <row r="10" spans="1:24">
      <c r="A10" s="190" t="str">
        <f>[2]Participantes!B6</f>
        <v>Carlos Medina</v>
      </c>
      <c r="B10" s="187" t="str">
        <f>[2]A!AF9</f>
        <v>Suiza</v>
      </c>
      <c r="C10" s="187" t="str">
        <f>[2]B!AF9</f>
        <v>Rusia</v>
      </c>
      <c r="D10" s="187" t="str">
        <f>[2]C!$AF9</f>
        <v>Austria</v>
      </c>
      <c r="E10" s="187" t="str">
        <f>[2]D!$AF9</f>
        <v/>
      </c>
      <c r="F10" s="187" t="str">
        <f>[2]E!$AF9</f>
        <v/>
      </c>
      <c r="G10" s="187" t="str">
        <f>[2]F!$AF9</f>
        <v>Portugal</v>
      </c>
      <c r="H10" s="188">
        <f>IF([2]A!AO9=3,[2]A!$AK9,IF([2]A!AP9=3,[2]A!$AL9,IF([2]A!AQ9=3,[2]A!$AM9,IF([2]A!AR9=3,[2]A!$AN9,"error"))))</f>
        <v>2.492</v>
      </c>
      <c r="I10" s="188">
        <f>IF([2]B!AO9=3,[2]B!$AK9,IF([2]B!AP9=3,[2]B!$AL9,IF([2]B!AQ9=3,[2]B!$AM9,IF([2]B!AR9=3,[2]B!$AN9,"error"))))</f>
        <v>4.5040999999999993</v>
      </c>
      <c r="J10" s="188">
        <f>IF([2]C!AO9=3,[2]C!$AK9,IF([2]C!AP9=3,[2]C!$AL9,IF([2]C!AQ9=3,[2]C!$AM9,IF([2]C!AR9=3,[2]C!$AN9,"error"))))</f>
        <v>3.5149999999999997</v>
      </c>
      <c r="K10" s="188">
        <f>IF([2]D!AO9=3,[2]D!$AK9,IF([2]D!AP9=3,[2]D!$AL9,IF([2]D!AQ9=3,[2]D!$AM9,IF([2]D!AR9=3,[2]D!$AN9,"error"))))</f>
        <v>1.4729999999999999</v>
      </c>
      <c r="L10" s="188">
        <f>IF([2]E!AO9=3,[2]E!$AK9,IF([2]E!AP9=3,[2]E!$AL9,IF([2]E!AQ9=3,[2]E!$AM9,IF([2]E!AR9=3,[2]E!$AN9,"error"))))</f>
        <v>1.4829999999999999</v>
      </c>
      <c r="M10" s="188">
        <f>IF([2]F!AO9=3,[2]F!$AK9,IF([2]F!AP9=3,[2]F!$AL9,IF([2]F!AQ9=3,[2]F!$AM9,IF([2]F!AR9=3,[2]F!$AN9,"error"))))</f>
        <v>5.5149999999999997</v>
      </c>
      <c r="N10" s="188">
        <f t="shared" si="9"/>
        <v>4</v>
      </c>
      <c r="O10" s="188">
        <f t="shared" si="10"/>
        <v>2</v>
      </c>
      <c r="P10" s="188">
        <f t="shared" si="4"/>
        <v>3</v>
      </c>
      <c r="Q10" s="188">
        <f t="shared" si="5"/>
        <v>6</v>
      </c>
      <c r="R10" s="188">
        <f t="shared" si="6"/>
        <v>5</v>
      </c>
      <c r="S10" s="192">
        <f t="shared" si="7"/>
        <v>1</v>
      </c>
      <c r="T10" s="170">
        <f t="shared" si="0"/>
        <v>21</v>
      </c>
      <c r="U10" s="170">
        <f t="shared" si="8"/>
        <v>1</v>
      </c>
      <c r="V10" s="170">
        <f t="shared" si="1"/>
        <v>1</v>
      </c>
      <c r="W10" s="170">
        <f t="shared" si="2"/>
        <v>1</v>
      </c>
      <c r="X10" s="170">
        <f t="shared" si="3"/>
        <v>1</v>
      </c>
    </row>
    <row r="11" spans="1:24">
      <c r="A11" s="190" t="str">
        <f>[2]Participantes!B7</f>
        <v>July Batista</v>
      </c>
      <c r="B11" s="187" t="str">
        <f>[2]A!AF10</f>
        <v>Gales</v>
      </c>
      <c r="C11" s="187" t="str">
        <f>[2]B!AF10</f>
        <v/>
      </c>
      <c r="D11" s="187" t="str">
        <f>[2]C!$AF10</f>
        <v/>
      </c>
      <c r="E11" s="187" t="str">
        <f>[2]D!$AF10</f>
        <v>Rep.Checa</v>
      </c>
      <c r="F11" s="187" t="str">
        <f>[2]E!$AF10</f>
        <v>Suecia</v>
      </c>
      <c r="G11" s="187" t="str">
        <f>[2]F!$AF10</f>
        <v>Portugal</v>
      </c>
      <c r="H11" s="188">
        <f>IF([2]A!AO10=3,[2]A!$AK10,IF([2]A!AP10=3,[2]A!$AL10,IF([2]A!AQ10=3,[2]A!$AM10,IF([2]A!AR10=3,[2]A!$AN10,"error"))))</f>
        <v>2.4930000000000003</v>
      </c>
      <c r="I11" s="188">
        <f>IF([2]B!AO10=3,[2]B!$AK10,IF([2]B!AP10=3,[2]B!$AL10,IF([2]B!AQ10=3,[2]B!$AM10,IF([2]B!AR10=3,[2]B!$AN10,"error"))))</f>
        <v>1.4709999999999999</v>
      </c>
      <c r="J11" s="188">
        <f>IF([2]C!AO10=3,[2]C!$AK10,IF([2]C!AP10=3,[2]C!$AL10,IF([2]C!AQ10=3,[2]C!$AM10,IF([2]C!AR10=3,[2]C!$AN10,"error"))))</f>
        <v>1.48</v>
      </c>
      <c r="K11" s="188">
        <f>IF([2]D!AO10=3,[2]D!$AK10,IF([2]D!AP10=3,[2]D!$AL10,IF([2]D!AQ10=3,[2]D!$AM10,IF([2]D!AR10=3,[2]D!$AN10,"error"))))</f>
        <v>1.4809999999999999</v>
      </c>
      <c r="L11" s="188">
        <f>IF([2]E!AO10=3,[2]E!$AK10,IF([2]E!AP10=3,[2]E!$AL10,IF([2]E!AQ10=3,[2]E!$AM10,IF([2]E!AR10=3,[2]E!$AN10,"error"))))</f>
        <v>4.492</v>
      </c>
      <c r="M11" s="188">
        <f>IF([2]F!AO10=3,[2]F!$AK10,IF([2]F!AP10=3,[2]F!$AL10,IF([2]F!AQ10=3,[2]F!$AM10,IF([2]F!AR10=3,[2]F!$AN10,"error"))))</f>
        <v>5.5239999999999991</v>
      </c>
      <c r="N11" s="188">
        <f t="shared" si="9"/>
        <v>3</v>
      </c>
      <c r="O11" s="188">
        <f t="shared" si="10"/>
        <v>6</v>
      </c>
      <c r="P11" s="188">
        <f t="shared" si="4"/>
        <v>5</v>
      </c>
      <c r="Q11" s="188">
        <f t="shared" si="5"/>
        <v>4</v>
      </c>
      <c r="R11" s="188">
        <f t="shared" si="6"/>
        <v>2</v>
      </c>
      <c r="S11" s="192">
        <f t="shared" si="7"/>
        <v>1</v>
      </c>
      <c r="T11" s="170">
        <f t="shared" si="0"/>
        <v>20</v>
      </c>
      <c r="U11" s="170">
        <f t="shared" si="8"/>
        <v>1</v>
      </c>
      <c r="V11" s="170">
        <f t="shared" si="1"/>
        <v>2</v>
      </c>
      <c r="W11" s="170">
        <f t="shared" si="2"/>
        <v>0</v>
      </c>
      <c r="X11" s="170">
        <f t="shared" si="3"/>
        <v>1</v>
      </c>
    </row>
    <row r="12" spans="1:24">
      <c r="A12" s="190" t="str">
        <f>[2]Participantes!B8</f>
        <v>Carlos Quiel</v>
      </c>
      <c r="B12" s="187" t="str">
        <f>[2]A!AF11</f>
        <v>Turquía</v>
      </c>
      <c r="C12" s="187" t="str">
        <f>[2]B!AF11</f>
        <v>Rusia</v>
      </c>
      <c r="D12" s="187" t="str">
        <f>[2]C!$AF11</f>
        <v/>
      </c>
      <c r="E12" s="187" t="str">
        <f>[2]D!$AF11</f>
        <v>Rep.Checa</v>
      </c>
      <c r="F12" s="187" t="str">
        <f>[2]E!$AF11</f>
        <v>Polonia</v>
      </c>
      <c r="G12" s="187" t="str">
        <f>[2]F!$AF11</f>
        <v/>
      </c>
      <c r="H12" s="188">
        <f>IF([2]A!AO11=3,[2]A!$AK11,IF([2]A!AP11=3,[2]A!$AL11,IF([2]A!AQ11=3,[2]A!$AM11,IF([2]A!AR11=3,[2]A!$AN11,"error"))))</f>
        <v>4.4931000000000001</v>
      </c>
      <c r="I12" s="188">
        <f>IF([2]B!AO11=3,[2]B!$AK11,IF([2]B!AP11=3,[2]B!$AL11,IF([2]B!AQ11=3,[2]B!$AM11,IF([2]B!AR11=3,[2]B!$AN11,"error"))))</f>
        <v>2.4819999999999998</v>
      </c>
      <c r="J12" s="188">
        <f>IF([2]C!AO11=3,[2]C!$AK11,IF([2]C!AP11=3,[2]C!$AL11,IF([2]C!AQ11=3,[2]C!$AM11,IF([2]C!AR11=3,[2]C!$AN11,"error"))))</f>
        <v>1.4809999999999999</v>
      </c>
      <c r="K12" s="188">
        <f>IF([2]D!AO11=3,[2]D!$AK11,IF([2]D!AP11=3,[2]D!$AL11,IF([2]D!AQ11=3,[2]D!$AM11,IF([2]D!AR11=3,[2]D!$AN11,"error"))))</f>
        <v>2.4819999999999998</v>
      </c>
      <c r="L12" s="188">
        <f>IF([2]E!AO11=3,[2]E!$AK11,IF([2]E!AP11=3,[2]E!$AL11,IF([2]E!AQ11=3,[2]E!$AM11,IF([2]E!AR11=3,[2]E!$AN11,"error"))))</f>
        <v>2.4719999999999995</v>
      </c>
      <c r="M12" s="188">
        <f>IF([2]F!AO11=3,[2]F!$AK11,IF([2]F!AP11=3,[2]F!$AL11,IF([2]F!AQ11=3,[2]F!$AM11,IF([2]F!AR11=3,[2]F!$AN11,"error"))))</f>
        <v>1.482</v>
      </c>
      <c r="N12" s="188">
        <f t="shared" si="9"/>
        <v>1</v>
      </c>
      <c r="O12" s="188">
        <f t="shared" si="10"/>
        <v>2</v>
      </c>
      <c r="P12" s="188">
        <f t="shared" si="4"/>
        <v>6</v>
      </c>
      <c r="Q12" s="188">
        <f t="shared" si="5"/>
        <v>2</v>
      </c>
      <c r="R12" s="188">
        <f t="shared" si="6"/>
        <v>4</v>
      </c>
      <c r="S12" s="192">
        <f t="shared" si="7"/>
        <v>5</v>
      </c>
      <c r="T12" s="170">
        <f t="shared" si="0"/>
        <v>21</v>
      </c>
      <c r="U12" s="170">
        <f t="shared" si="8"/>
        <v>1</v>
      </c>
      <c r="V12" s="170">
        <f t="shared" si="1"/>
        <v>1</v>
      </c>
      <c r="W12" s="170">
        <f t="shared" si="2"/>
        <v>1</v>
      </c>
      <c r="X12" s="170">
        <f t="shared" si="3"/>
        <v>1</v>
      </c>
    </row>
    <row r="13" spans="1:24">
      <c r="A13" s="190" t="str">
        <f>[2]Participantes!B9</f>
        <v>Oliver Amaya</v>
      </c>
      <c r="B13" s="187" t="str">
        <f>[2]A!AF12</f>
        <v>Italia</v>
      </c>
      <c r="C13" s="187" t="str">
        <f>[2]B!AF12</f>
        <v/>
      </c>
      <c r="D13" s="187" t="str">
        <f>[2]C!$AF12</f>
        <v>Ucrania</v>
      </c>
      <c r="E13" s="187" t="str">
        <f>[2]D!$AF12</f>
        <v>Rep.Checa</v>
      </c>
      <c r="F13" s="187" t="str">
        <f>[2]E!$AF12</f>
        <v/>
      </c>
      <c r="G13" s="187" t="str">
        <f>[2]F!$AF12</f>
        <v>Alemania</v>
      </c>
      <c r="H13" s="188">
        <f>IF([2]A!AO12=3,[2]A!$AK12,IF([2]A!AP12=3,[2]A!$AL12,IF([2]A!AQ12=3,[2]A!$AM12,IF([2]A!AR12=3,[2]A!$AN12,"error"))))</f>
        <v>4.5020999999999995</v>
      </c>
      <c r="I13" s="188">
        <f>IF([2]B!AO12=3,[2]B!$AK12,IF([2]B!AP12=3,[2]B!$AL12,IF([2]B!AQ12=3,[2]B!$AM12,IF([2]B!AR12=3,[2]B!$AN12,"error"))))</f>
        <v>3.492</v>
      </c>
      <c r="J13" s="188">
        <f>IF([2]C!AO12=3,[2]C!$AK12,IF([2]C!AP12=3,[2]C!$AL12,IF([2]C!AQ12=3,[2]C!$AM12,IF([2]C!AR12=3,[2]C!$AN12,"error"))))</f>
        <v>3.4930000000000003</v>
      </c>
      <c r="K13" s="188">
        <f>IF([2]D!AO12=3,[2]D!$AK12,IF([2]D!AP12=3,[2]D!$AL12,IF([2]D!AQ12=3,[2]D!$AM12,IF([2]D!AR12=3,[2]D!$AN12,"error"))))</f>
        <v>3.5030000000000001</v>
      </c>
      <c r="L13" s="188">
        <f>IF([2]E!AO12=3,[2]E!$AK12,IF([2]E!AP12=3,[2]E!$AL12,IF([2]E!AQ12=3,[2]E!$AM12,IF([2]E!AR12=3,[2]E!$AN12,"error"))))</f>
        <v>3.4619999999999997</v>
      </c>
      <c r="M13" s="188">
        <f>IF([2]F!AO12=3,[2]F!$AK12,IF([2]F!AP12=3,[2]F!$AL12,IF([2]F!AQ12=3,[2]F!$AM12,IF([2]F!AR12=3,[2]F!$AN12,"error"))))</f>
        <v>4.5249999999999995</v>
      </c>
      <c r="N13" s="188">
        <f t="shared" si="9"/>
        <v>2</v>
      </c>
      <c r="O13" s="188">
        <f t="shared" si="10"/>
        <v>5</v>
      </c>
      <c r="P13" s="188">
        <f t="shared" si="4"/>
        <v>4</v>
      </c>
      <c r="Q13" s="188">
        <f t="shared" si="5"/>
        <v>3</v>
      </c>
      <c r="R13" s="188">
        <f t="shared" si="6"/>
        <v>6</v>
      </c>
      <c r="S13" s="192">
        <f t="shared" si="7"/>
        <v>1</v>
      </c>
      <c r="T13" s="170">
        <f t="shared" si="0"/>
        <v>21</v>
      </c>
      <c r="U13" s="170">
        <f t="shared" si="8"/>
        <v>1</v>
      </c>
      <c r="V13" s="170">
        <f t="shared" si="1"/>
        <v>1</v>
      </c>
      <c r="W13" s="170">
        <f t="shared" si="2"/>
        <v>1</v>
      </c>
      <c r="X13" s="170">
        <f t="shared" si="3"/>
        <v>1</v>
      </c>
    </row>
    <row r="14" spans="1:24">
      <c r="A14" s="190" t="str">
        <f>[2]Participantes!B10</f>
        <v>Radames Guerrero</v>
      </c>
      <c r="B14" s="187" t="str">
        <f>[2]A!AF13</f>
        <v>Turquía</v>
      </c>
      <c r="C14" s="187" t="str">
        <f>[2]B!AF13</f>
        <v/>
      </c>
      <c r="D14" s="187" t="str">
        <f>[2]C!$AF13</f>
        <v>Ucrania</v>
      </c>
      <c r="E14" s="187" t="str">
        <f>[2]D!$AF13</f>
        <v>Croacia</v>
      </c>
      <c r="F14" s="187" t="str">
        <f>[2]E!$AF13</f>
        <v>Polonia</v>
      </c>
      <c r="G14" s="187" t="str">
        <f>[2]F!$AF13</f>
        <v/>
      </c>
      <c r="H14" s="188">
        <f>IF([2]A!AO13=3,[2]A!$AK13,IF([2]A!AP13=3,[2]A!$AL13,IF([2]A!AQ13=3,[2]A!$AM13,IF([2]A!AR13=3,[2]A!$AN13,"error"))))</f>
        <v>3.4821</v>
      </c>
      <c r="I14" s="188">
        <f>IF([2]B!AO13=3,[2]B!$AK13,IF([2]B!AP13=3,[2]B!$AL13,IF([2]B!AQ13=3,[2]B!$AM13,IF([2]B!AR13=3,[2]B!$AN13,"error"))))</f>
        <v>2.4939999999999998</v>
      </c>
      <c r="J14" s="188">
        <f>IF([2]C!AO13=3,[2]C!$AK13,IF([2]C!AP13=3,[2]C!$AL13,IF([2]C!AQ13=3,[2]C!$AM13,IF([2]C!AR13=3,[2]C!$AN13,"error"))))</f>
        <v>4.5259999999999998</v>
      </c>
      <c r="K14" s="188">
        <f>IF([2]D!AO13=3,[2]D!$AK13,IF([2]D!AP13=3,[2]D!$AL13,IF([2]D!AQ13=3,[2]D!$AM13,IF([2]D!AR13=3,[2]D!$AN13,"error"))))</f>
        <v>4.4950000000000001</v>
      </c>
      <c r="L14" s="188">
        <f>IF([2]E!AO13=3,[2]E!$AK13,IF([2]E!AP13=3,[2]E!$AL13,IF([2]E!AQ13=3,[2]E!$AM13,IF([2]E!AR13=3,[2]E!$AN13,"error"))))</f>
        <v>3.4830000000000001</v>
      </c>
      <c r="M14" s="188">
        <f>IF([2]F!AO13=3,[2]F!$AK13,IF([2]F!AP13=3,[2]F!$AL13,IF([2]F!AQ13=3,[2]F!$AM13,IF([2]F!AR13=3,[2]F!$AN13,"error"))))</f>
        <v>2.484</v>
      </c>
      <c r="N14" s="188">
        <f t="shared" si="9"/>
        <v>4</v>
      </c>
      <c r="O14" s="188">
        <f t="shared" si="10"/>
        <v>5</v>
      </c>
      <c r="P14" s="188">
        <f t="shared" si="4"/>
        <v>1</v>
      </c>
      <c r="Q14" s="188">
        <f t="shared" si="5"/>
        <v>2</v>
      </c>
      <c r="R14" s="188">
        <f t="shared" si="6"/>
        <v>3</v>
      </c>
      <c r="S14" s="192">
        <f t="shared" si="7"/>
        <v>6</v>
      </c>
      <c r="T14" s="170">
        <f t="shared" si="0"/>
        <v>21</v>
      </c>
      <c r="U14" s="170">
        <f t="shared" si="8"/>
        <v>1</v>
      </c>
      <c r="V14" s="170">
        <f t="shared" si="1"/>
        <v>1</v>
      </c>
      <c r="W14" s="170">
        <f t="shared" si="2"/>
        <v>1</v>
      </c>
      <c r="X14" s="170">
        <f t="shared" si="3"/>
        <v>1</v>
      </c>
    </row>
    <row r="15" spans="1:24">
      <c r="A15" s="190" t="str">
        <f>[2]Participantes!B11</f>
        <v>Effie Latouche</v>
      </c>
      <c r="B15" s="187" t="str">
        <f>[2]A!AF14</f>
        <v>Suiza</v>
      </c>
      <c r="C15" s="187" t="str">
        <f>[2]B!AF14</f>
        <v>Rusia</v>
      </c>
      <c r="D15" s="187" t="str">
        <f>[2]C!$AF14</f>
        <v/>
      </c>
      <c r="E15" s="187" t="str">
        <f>[2]D!$AF14</f>
        <v/>
      </c>
      <c r="F15" s="187" t="str">
        <f>[2]E!$AF14</f>
        <v>Eslovaquia</v>
      </c>
      <c r="G15" s="187" t="str">
        <f>[2]F!$AF14</f>
        <v>Francia</v>
      </c>
      <c r="H15" s="188">
        <f>IF([2]A!AO14=3,[2]A!$AK14,IF([2]A!AP14=3,[2]A!$AL14,IF([2]A!AQ14=3,[2]A!$AM14,IF([2]A!AR14=3,[2]A!$AN14,"error"))))</f>
        <v>3.5030000000000001</v>
      </c>
      <c r="I15" s="188">
        <f>IF([2]B!AO14=3,[2]B!$AK14,IF([2]B!AP14=3,[2]B!$AL14,IF([2]B!AQ14=3,[2]B!$AM14,IF([2]B!AR14=3,[2]B!$AN14,"error"))))</f>
        <v>4.5030999999999999</v>
      </c>
      <c r="J15" s="188">
        <f>IF([2]C!AO14=3,[2]C!$AK14,IF([2]C!AP14=3,[2]C!$AL14,IF([2]C!AQ14=3,[2]C!$AM14,IF([2]C!AR14=3,[2]C!$AN14,"error"))))</f>
        <v>2.4930000000000003</v>
      </c>
      <c r="K15" s="188">
        <f>IF([2]D!AO14=3,[2]D!$AK14,IF([2]D!AP14=3,[2]D!$AL14,IF([2]D!AQ14=3,[2]D!$AM14,IF([2]D!AR14=3,[2]D!$AN14,"error"))))</f>
        <v>1.4829999999999999</v>
      </c>
      <c r="L15" s="188">
        <f>IF([2]E!AO14=3,[2]E!$AK14,IF([2]E!AP14=3,[2]E!$AL14,IF([2]E!AQ14=3,[2]E!$AM14,IF([2]E!AR14=3,[2]E!$AN14,"error"))))</f>
        <v>3.4740000000000002</v>
      </c>
      <c r="M15" s="188">
        <f>IF([2]F!AO14=3,[2]F!$AK14,IF([2]F!AP14=3,[2]F!$AL14,IF([2]F!AQ14=3,[2]F!$AM14,IF([2]F!AR14=3,[2]F!$AN14,"error"))))</f>
        <v>3.484</v>
      </c>
      <c r="N15" s="188">
        <f t="shared" si="9"/>
        <v>2</v>
      </c>
      <c r="O15" s="188">
        <f t="shared" si="10"/>
        <v>1</v>
      </c>
      <c r="P15" s="188">
        <f t="shared" si="4"/>
        <v>5</v>
      </c>
      <c r="Q15" s="188">
        <f t="shared" si="5"/>
        <v>6</v>
      </c>
      <c r="R15" s="188">
        <f t="shared" si="6"/>
        <v>4</v>
      </c>
      <c r="S15" s="192">
        <f t="shared" si="7"/>
        <v>3</v>
      </c>
      <c r="T15" s="170">
        <f t="shared" si="0"/>
        <v>21</v>
      </c>
      <c r="U15" s="170">
        <f t="shared" si="8"/>
        <v>1</v>
      </c>
      <c r="V15" s="170">
        <f t="shared" si="1"/>
        <v>1</v>
      </c>
      <c r="W15" s="170">
        <f t="shared" si="2"/>
        <v>1</v>
      </c>
      <c r="X15" s="170">
        <f t="shared" si="3"/>
        <v>1</v>
      </c>
    </row>
    <row r="16" spans="1:24">
      <c r="A16" s="190" t="str">
        <f>[2]Participantes!B12</f>
        <v>Sandra Badilla</v>
      </c>
      <c r="B16" s="187" t="str">
        <f>[2]A!AF15</f>
        <v>Suiza</v>
      </c>
      <c r="C16" s="187" t="str">
        <f>[2]B!AF15</f>
        <v>Dinamarca</v>
      </c>
      <c r="D16" s="187" t="str">
        <f>[2]C!$AF15</f>
        <v>Austria</v>
      </c>
      <c r="E16" s="187" t="str">
        <f>[2]D!$AF15</f>
        <v/>
      </c>
      <c r="F16" s="187" t="str">
        <f>[2]E!$AF15</f>
        <v/>
      </c>
      <c r="G16" s="187" t="str">
        <f>[2]F!$AF15</f>
        <v>Portugal</v>
      </c>
      <c r="H16" s="188">
        <f>IF([2]A!AO15=3,[2]A!$AK15,IF([2]A!AP15=3,[2]A!$AL15,IF([2]A!AQ15=3,[2]A!$AM15,IF([2]A!AR15=3,[2]A!$AN15,"error"))))</f>
        <v>3.4931000000000005</v>
      </c>
      <c r="I16" s="188">
        <f>IF([2]B!AO15=3,[2]B!$AK15,IF([2]B!AP15=3,[2]B!$AL15,IF([2]B!AQ15=3,[2]B!$AM15,IF([2]B!AR15=3,[2]B!$AN15,"error"))))</f>
        <v>3.4811000000000001</v>
      </c>
      <c r="J16" s="188">
        <f>IF([2]C!AO15=3,[2]C!$AK15,IF([2]C!AP15=3,[2]C!$AL15,IF([2]C!AQ15=3,[2]C!$AM15,IF([2]C!AR15=3,[2]C!$AN15,"error"))))</f>
        <v>3.4809999999999999</v>
      </c>
      <c r="K16" s="188">
        <f>IF([2]D!AO15=3,[2]D!$AK15,IF([2]D!AP15=3,[2]D!$AL15,IF([2]D!AQ15=3,[2]D!$AM15,IF([2]D!AR15=3,[2]D!$AN15,"error"))))</f>
        <v>2.4909999999999997</v>
      </c>
      <c r="L16" s="188">
        <f>IF([2]E!AO15=3,[2]E!$AK15,IF([2]E!AP15=3,[2]E!$AL15,IF([2]E!AQ15=3,[2]E!$AM15,IF([2]E!AR15=3,[2]E!$AN15,"error"))))</f>
        <v>3.472</v>
      </c>
      <c r="M16" s="188">
        <f>IF([2]F!AO15=3,[2]F!$AK15,IF([2]F!AP15=3,[2]F!$AL15,IF([2]F!AQ15=3,[2]F!$AM15,IF([2]F!AR15=3,[2]F!$AN15,"error"))))</f>
        <v>4.5030000000000001</v>
      </c>
      <c r="N16" s="188">
        <f t="shared" si="9"/>
        <v>2</v>
      </c>
      <c r="O16" s="188">
        <f t="shared" si="10"/>
        <v>3</v>
      </c>
      <c r="P16" s="188">
        <f t="shared" si="4"/>
        <v>4</v>
      </c>
      <c r="Q16" s="188">
        <f t="shared" si="5"/>
        <v>6</v>
      </c>
      <c r="R16" s="188">
        <f t="shared" si="6"/>
        <v>5</v>
      </c>
      <c r="S16" s="192">
        <f t="shared" si="7"/>
        <v>1</v>
      </c>
      <c r="T16" s="170">
        <f t="shared" si="0"/>
        <v>21</v>
      </c>
      <c r="U16" s="170">
        <f t="shared" si="8"/>
        <v>1</v>
      </c>
      <c r="V16" s="170">
        <f t="shared" si="1"/>
        <v>1</v>
      </c>
      <c r="W16" s="170">
        <f t="shared" si="2"/>
        <v>1</v>
      </c>
      <c r="X16" s="170">
        <f t="shared" si="3"/>
        <v>1</v>
      </c>
    </row>
    <row r="17" spans="1:24">
      <c r="A17" s="190" t="str">
        <f>[2]Participantes!B13</f>
        <v>Samantha Montero 1</v>
      </c>
      <c r="B17" s="187" t="str">
        <f>[2]A!AF16</f>
        <v>Gales</v>
      </c>
      <c r="C17" s="187" t="str">
        <f>[2]B!AF16</f>
        <v/>
      </c>
      <c r="D17" s="187" t="str">
        <f>[2]C!$AF16</f>
        <v>Ucrania</v>
      </c>
      <c r="E17" s="187" t="str">
        <f>[2]D!$AF16</f>
        <v>Rep.Checa</v>
      </c>
      <c r="F17" s="187" t="str">
        <f>[2]E!$AF16</f>
        <v/>
      </c>
      <c r="G17" s="187" t="str">
        <f>[2]F!$AF16</f>
        <v>Alemania</v>
      </c>
      <c r="H17" s="188">
        <f>IF([2]A!AO16=3,[2]A!$AK16,IF([2]A!AP16=3,[2]A!$AL16,IF([2]A!AQ16=3,[2]A!$AM16,IF([2]A!AR16=3,[2]A!$AN16,"error"))))</f>
        <v>3.4851000000000001</v>
      </c>
      <c r="I17" s="188">
        <f>IF([2]B!AO16=3,[2]B!$AK16,IF([2]B!AP16=3,[2]B!$AL16,IF([2]B!AQ16=3,[2]B!$AM16,IF([2]B!AR16=3,[2]B!$AN16,"error"))))</f>
        <v>1.4749999999999999</v>
      </c>
      <c r="J17" s="188">
        <f>IF([2]C!AO16=3,[2]C!$AK16,IF([2]C!AP16=3,[2]C!$AL16,IF([2]C!AQ16=3,[2]C!$AM16,IF([2]C!AR16=3,[2]C!$AN16,"error"))))</f>
        <v>4.5049999999999999</v>
      </c>
      <c r="K17" s="188">
        <f>IF([2]D!AO16=3,[2]D!$AK16,IF([2]D!AP16=3,[2]D!$AL16,IF([2]D!AQ16=3,[2]D!$AM16,IF([2]D!AR16=3,[2]D!$AN16,"error"))))</f>
        <v>3.4849999999999999</v>
      </c>
      <c r="L17" s="188">
        <f>IF([2]E!AO16=3,[2]E!$AK16,IF([2]E!AP16=3,[2]E!$AL16,IF([2]E!AQ16=3,[2]E!$AM16,IF([2]E!AR16=3,[2]E!$AN16,"error"))))</f>
        <v>1.484</v>
      </c>
      <c r="M17" s="188">
        <f>IF([2]F!AO16=3,[2]F!$AK16,IF([2]F!AP16=3,[2]F!$AL16,IF([2]F!AQ16=3,[2]F!$AM16,IF([2]F!AR16=3,[2]F!$AN16,"error"))))</f>
        <v>3.5070000000000001</v>
      </c>
      <c r="N17" s="188">
        <f t="shared" si="9"/>
        <v>3</v>
      </c>
      <c r="O17" s="188">
        <f t="shared" si="10"/>
        <v>6</v>
      </c>
      <c r="P17" s="188">
        <f t="shared" si="4"/>
        <v>1</v>
      </c>
      <c r="Q17" s="188">
        <f t="shared" si="5"/>
        <v>4</v>
      </c>
      <c r="R17" s="188">
        <f t="shared" si="6"/>
        <v>5</v>
      </c>
      <c r="S17" s="192">
        <f t="shared" si="7"/>
        <v>2</v>
      </c>
      <c r="T17" s="170">
        <f t="shared" si="0"/>
        <v>21</v>
      </c>
      <c r="U17" s="170">
        <f t="shared" si="8"/>
        <v>1</v>
      </c>
      <c r="V17" s="170">
        <f t="shared" si="1"/>
        <v>1</v>
      </c>
      <c r="W17" s="170">
        <f t="shared" si="2"/>
        <v>1</v>
      </c>
      <c r="X17" s="170">
        <f t="shared" si="3"/>
        <v>1</v>
      </c>
    </row>
    <row r="18" spans="1:24">
      <c r="A18" s="190" t="str">
        <f>[2]Participantes!B14</f>
        <v>Samantha Mont. 2 (Jairo)</v>
      </c>
      <c r="B18" s="187" t="str">
        <f>[2]A!AF17</f>
        <v>Suiza</v>
      </c>
      <c r="C18" s="187" t="str">
        <f>[2]B!AF17</f>
        <v>Rusia</v>
      </c>
      <c r="D18" s="187" t="str">
        <f>[2]C!$AF17</f>
        <v/>
      </c>
      <c r="E18" s="187" t="str">
        <f>[2]D!$AF17</f>
        <v>Rep.Checa</v>
      </c>
      <c r="F18" s="187" t="str">
        <f>[2]E!$AF17</f>
        <v/>
      </c>
      <c r="G18" s="187" t="str">
        <f>[2]F!$AF17</f>
        <v>Alemania</v>
      </c>
      <c r="H18" s="188">
        <f>IF([2]A!AO17=3,[2]A!$AK17,IF([2]A!AP17=3,[2]A!$AL17,IF([2]A!AQ17=3,[2]A!$AM17,IF([2]A!AR17=3,[2]A!$AN17,"error"))))</f>
        <v>3.5041000000000002</v>
      </c>
      <c r="I18" s="188">
        <f>IF([2]B!AO17=3,[2]B!$AK17,IF([2]B!AP17=3,[2]B!$AL17,IF([2]B!AQ17=3,[2]B!$AM17,IF([2]B!AR17=3,[2]B!$AN17,"error"))))</f>
        <v>4.4961000000000002</v>
      </c>
      <c r="J18" s="188">
        <f>IF([2]C!AO17=3,[2]C!$AK17,IF([2]C!AP17=3,[2]C!$AL17,IF([2]C!AQ17=3,[2]C!$AM17,IF([2]C!AR17=3,[2]C!$AN17,"error"))))</f>
        <v>2.4830000000000001</v>
      </c>
      <c r="K18" s="188">
        <f>IF([2]D!AO17=3,[2]D!$AK17,IF([2]D!AP17=3,[2]D!$AL17,IF([2]D!AQ17=3,[2]D!$AM17,IF([2]D!AR17=3,[2]D!$AN17,"error"))))</f>
        <v>3.464</v>
      </c>
      <c r="L18" s="188">
        <f>IF([2]E!AO17=3,[2]E!$AK17,IF([2]E!AP17=3,[2]E!$AL17,IF([2]E!AQ17=3,[2]E!$AM17,IF([2]E!AR17=3,[2]E!$AN17,"error"))))</f>
        <v>2.4819999999999998</v>
      </c>
      <c r="M18" s="188">
        <f>IF([2]F!AO17=3,[2]F!$AK17,IF([2]F!AP17=3,[2]F!$AL17,IF([2]F!AQ17=3,[2]F!$AM17,IF([2]F!AR17=3,[2]F!$AN17,"error"))))</f>
        <v>4.516</v>
      </c>
      <c r="N18" s="188">
        <f t="shared" si="9"/>
        <v>3</v>
      </c>
      <c r="O18" s="188">
        <f t="shared" si="10"/>
        <v>2</v>
      </c>
      <c r="P18" s="188">
        <f t="shared" si="4"/>
        <v>5</v>
      </c>
      <c r="Q18" s="188">
        <f t="shared" si="5"/>
        <v>4</v>
      </c>
      <c r="R18" s="188">
        <f t="shared" si="6"/>
        <v>6</v>
      </c>
      <c r="S18" s="192">
        <f t="shared" si="7"/>
        <v>1</v>
      </c>
      <c r="T18" s="170">
        <f t="shared" si="0"/>
        <v>21</v>
      </c>
      <c r="U18" s="170">
        <f t="shared" si="8"/>
        <v>1</v>
      </c>
      <c r="V18" s="170">
        <f t="shared" si="1"/>
        <v>1</v>
      </c>
      <c r="W18" s="170">
        <f t="shared" si="2"/>
        <v>1</v>
      </c>
      <c r="X18" s="170">
        <f t="shared" si="3"/>
        <v>1</v>
      </c>
    </row>
    <row r="19" spans="1:24">
      <c r="A19" s="190" t="str">
        <f>[2]Participantes!B15</f>
        <v>Samantha Mont. 3(Jafet)</v>
      </c>
      <c r="B19" s="187" t="str">
        <f>[2]A!AF18</f>
        <v>Suiza</v>
      </c>
      <c r="C19" s="187" t="str">
        <f>[2]B!AF18</f>
        <v>Rusia</v>
      </c>
      <c r="D19" s="187" t="str">
        <f>[2]C!$AF18</f>
        <v>Austria</v>
      </c>
      <c r="E19" s="187" t="str">
        <f>[2]D!$AF18</f>
        <v/>
      </c>
      <c r="F19" s="187" t="str">
        <f>[2]E!$AF18</f>
        <v/>
      </c>
      <c r="G19" s="187" t="str">
        <f>[2]F!$AF18</f>
        <v>Alemania</v>
      </c>
      <c r="H19" s="188">
        <f>IF([2]A!AO18=3,[2]A!$AK18,IF([2]A!AP18=3,[2]A!$AL18,IF([2]A!AQ18=3,[2]A!$AM18,IF([2]A!AR18=3,[2]A!$AN18,"error"))))</f>
        <v>4.5030999999999999</v>
      </c>
      <c r="I19" s="188">
        <f>IF([2]B!AO18=3,[2]B!$AK18,IF([2]B!AP18=3,[2]B!$AL18,IF([2]B!AQ18=3,[2]B!$AM18,IF([2]B!AR18=3,[2]B!$AN18,"error"))))</f>
        <v>3.4841000000000002</v>
      </c>
      <c r="J19" s="188">
        <f>IF([2]C!AO18=3,[2]C!$AK18,IF([2]C!AP18=3,[2]C!$AL18,IF([2]C!AQ18=3,[2]C!$AM18,IF([2]C!AR18=3,[2]C!$AN18,"error"))))</f>
        <v>3.492</v>
      </c>
      <c r="K19" s="188">
        <f>IF([2]D!AO18=3,[2]D!$AK18,IF([2]D!AP18=3,[2]D!$AL18,IF([2]D!AQ18=3,[2]D!$AM18,IF([2]D!AR18=3,[2]D!$AN18,"error"))))</f>
        <v>1.4729999999999999</v>
      </c>
      <c r="L19" s="188">
        <f>IF([2]E!AO18=3,[2]E!$AK18,IF([2]E!AP18=3,[2]E!$AL18,IF([2]E!AQ18=3,[2]E!$AM18,IF([2]E!AR18=3,[2]E!$AN18,"error"))))</f>
        <v>2.4939999999999998</v>
      </c>
      <c r="M19" s="188">
        <f>IF([2]F!AO18=3,[2]F!$AK18,IF([2]F!AP18=3,[2]F!$AL18,IF([2]F!AQ18=3,[2]F!$AM18,IF([2]F!AR18=3,[2]F!$AN18,"error"))))</f>
        <v>3.5059999999999998</v>
      </c>
      <c r="N19" s="188">
        <f t="shared" si="9"/>
        <v>1</v>
      </c>
      <c r="O19" s="188">
        <f t="shared" si="10"/>
        <v>4</v>
      </c>
      <c r="P19" s="188">
        <f t="shared" si="4"/>
        <v>3</v>
      </c>
      <c r="Q19" s="188">
        <f t="shared" si="5"/>
        <v>6</v>
      </c>
      <c r="R19" s="188">
        <f t="shared" si="6"/>
        <v>5</v>
      </c>
      <c r="S19" s="192">
        <f t="shared" si="7"/>
        <v>2</v>
      </c>
      <c r="T19" s="170">
        <f t="shared" si="0"/>
        <v>21</v>
      </c>
      <c r="U19" s="170">
        <f t="shared" si="8"/>
        <v>1</v>
      </c>
      <c r="V19" s="170">
        <f t="shared" si="1"/>
        <v>1</v>
      </c>
      <c r="W19" s="170">
        <f t="shared" si="2"/>
        <v>1</v>
      </c>
      <c r="X19" s="170">
        <f t="shared" si="3"/>
        <v>1</v>
      </c>
    </row>
    <row r="20" spans="1:24">
      <c r="A20" s="190" t="str">
        <f>[2]Participantes!B16</f>
        <v>Mileny Acosta</v>
      </c>
      <c r="B20" s="187" t="str">
        <f>[2]A!AF19</f>
        <v>Suiza</v>
      </c>
      <c r="C20" s="187" t="str">
        <f>[2]B!AF19</f>
        <v>Dinamarca</v>
      </c>
      <c r="D20" s="187" t="str">
        <f>[2]C!$AF19</f>
        <v>Macedonia</v>
      </c>
      <c r="E20" s="187" t="str">
        <f>[2]D!$AF19</f>
        <v/>
      </c>
      <c r="F20" s="187" t="str">
        <f>[2]E!$AF19</f>
        <v/>
      </c>
      <c r="G20" s="187" t="str">
        <f>[2]F!$AF19</f>
        <v>Portugal</v>
      </c>
      <c r="H20" s="188">
        <f>IF([2]A!AO19=3,[2]A!$AK19,IF([2]A!AP19=3,[2]A!$AL19,IF([2]A!AQ19=3,[2]A!$AM19,IF([2]A!AR19=3,[2]A!$AN19,"error"))))</f>
        <v>3.4821</v>
      </c>
      <c r="I20" s="188">
        <f>IF([2]B!AO19=3,[2]B!$AK19,IF([2]B!AP19=3,[2]B!$AL19,IF([2]B!AQ19=3,[2]B!$AM19,IF([2]B!AR19=3,[2]B!$AN19,"error"))))</f>
        <v>3.4831000000000003</v>
      </c>
      <c r="J20" s="188">
        <f>IF([2]C!AO19=3,[2]C!$AK19,IF([2]C!AP19=3,[2]C!$AL19,IF([2]C!AQ19=3,[2]C!$AM19,IF([2]C!AR19=3,[2]C!$AN19,"error"))))</f>
        <v>3.4819999999999998</v>
      </c>
      <c r="K20" s="188">
        <f>IF([2]D!AO19=3,[2]D!$AK19,IF([2]D!AP19=3,[2]D!$AL19,IF([2]D!AQ19=3,[2]D!$AM19,IF([2]D!AR19=3,[2]D!$AN19,"error"))))</f>
        <v>3.4710000000000001</v>
      </c>
      <c r="L20" s="188">
        <f>IF([2]E!AO19=3,[2]E!$AK19,IF([2]E!AP19=3,[2]E!$AL19,IF([2]E!AQ19=3,[2]E!$AM19,IF([2]E!AR19=3,[2]E!$AN19,"error"))))</f>
        <v>1.47</v>
      </c>
      <c r="M20" s="188">
        <f>IF([2]F!AO19=3,[2]F!$AK19,IF([2]F!AP19=3,[2]F!$AL19,IF([2]F!AQ19=3,[2]F!$AM19,IF([2]F!AR19=3,[2]F!$AN19,"error"))))</f>
        <v>3.5030000000000001</v>
      </c>
      <c r="N20" s="188">
        <f t="shared" si="9"/>
        <v>3</v>
      </c>
      <c r="O20" s="188">
        <f t="shared" si="10"/>
        <v>2</v>
      </c>
      <c r="P20" s="188">
        <f t="shared" si="4"/>
        <v>4</v>
      </c>
      <c r="Q20" s="188">
        <f t="shared" si="5"/>
        <v>5</v>
      </c>
      <c r="R20" s="188">
        <f t="shared" si="6"/>
        <v>6</v>
      </c>
      <c r="S20" s="192">
        <f t="shared" si="7"/>
        <v>1</v>
      </c>
      <c r="T20" s="170">
        <f t="shared" si="0"/>
        <v>20</v>
      </c>
      <c r="U20" s="170">
        <f t="shared" si="8"/>
        <v>1</v>
      </c>
      <c r="V20" s="170">
        <f t="shared" si="1"/>
        <v>1</v>
      </c>
      <c r="W20" s="170">
        <f t="shared" si="2"/>
        <v>2</v>
      </c>
      <c r="X20" s="170">
        <f t="shared" si="3"/>
        <v>0</v>
      </c>
    </row>
    <row r="21" spans="1:24">
      <c r="A21" s="190" t="str">
        <f>[2]Participantes!B17</f>
        <v>Mileny Acosta(CF)</v>
      </c>
      <c r="B21" s="187" t="str">
        <f>[2]A!AF20</f>
        <v/>
      </c>
      <c r="C21" s="187" t="str">
        <f>[2]B!AF20</f>
        <v>Rusia</v>
      </c>
      <c r="D21" s="187" t="str">
        <f>[2]C!$AF20</f>
        <v/>
      </c>
      <c r="E21" s="187" t="str">
        <f>[2]D!$AF20</f>
        <v>Rep.Checa</v>
      </c>
      <c r="F21" s="187" t="str">
        <f>[2]E!$AF20</f>
        <v>Eslovaquia</v>
      </c>
      <c r="G21" s="187" t="str">
        <f>[2]F!$AF20</f>
        <v>Portugal</v>
      </c>
      <c r="H21" s="188">
        <f>IF([2]A!AO20=3,[2]A!$AK20,IF([2]A!AP20=3,[2]A!$AL20,IF([2]A!AQ20=3,[2]A!$AM20,IF([2]A!AR20=3,[2]A!$AN20,"error"))))</f>
        <v>2.4809999999999999</v>
      </c>
      <c r="I21" s="188">
        <f>IF([2]B!AO20=3,[2]B!$AK20,IF([2]B!AP20=3,[2]B!$AL20,IF([2]B!AQ20=3,[2]B!$AM20,IF([2]B!AR20=3,[2]B!$AN20,"error"))))</f>
        <v>4.4831000000000003</v>
      </c>
      <c r="J21" s="188">
        <f>IF([2]C!AO20=3,[2]C!$AK20,IF([2]C!AP20=3,[2]C!$AL20,IF([2]C!AQ20=3,[2]C!$AM20,IF([2]C!AR20=3,[2]C!$AN20,"error"))))</f>
        <v>2.4819999999999998</v>
      </c>
      <c r="K21" s="188">
        <f>IF([2]D!AO20=3,[2]D!$AK20,IF([2]D!AP20=3,[2]D!$AL20,IF([2]D!AQ20=3,[2]D!$AM20,IF([2]D!AR20=3,[2]D!$AN20,"error"))))</f>
        <v>3.4830000000000001</v>
      </c>
      <c r="L21" s="188">
        <f>IF([2]E!AO20=3,[2]E!$AK20,IF([2]E!AP20=3,[2]E!$AL20,IF([2]E!AQ20=3,[2]E!$AM20,IF([2]E!AR20=3,[2]E!$AN20,"error"))))</f>
        <v>3.4830000000000001</v>
      </c>
      <c r="M21" s="188">
        <f>IF([2]F!AO20=3,[2]F!$AK20,IF([2]F!AP20=3,[2]F!$AL20,IF([2]F!AQ20=3,[2]F!$AM20,IF([2]F!AR20=3,[2]F!$AN20,"error"))))</f>
        <v>4.5139999999999993</v>
      </c>
      <c r="N21" s="188">
        <f t="shared" si="9"/>
        <v>6</v>
      </c>
      <c r="O21" s="188">
        <f t="shared" si="10"/>
        <v>2</v>
      </c>
      <c r="P21" s="188">
        <f t="shared" si="4"/>
        <v>5</v>
      </c>
      <c r="Q21" s="188">
        <f t="shared" si="5"/>
        <v>3</v>
      </c>
      <c r="R21" s="188">
        <f t="shared" si="6"/>
        <v>3</v>
      </c>
      <c r="S21" s="192">
        <f t="shared" si="7"/>
        <v>1</v>
      </c>
      <c r="T21" s="170">
        <f t="shared" si="0"/>
        <v>21</v>
      </c>
      <c r="U21" s="170">
        <f t="shared" si="8"/>
        <v>1</v>
      </c>
      <c r="V21" s="170">
        <f t="shared" si="1"/>
        <v>1</v>
      </c>
      <c r="W21" s="170">
        <f t="shared" si="2"/>
        <v>1</v>
      </c>
      <c r="X21" s="170">
        <f t="shared" si="3"/>
        <v>1</v>
      </c>
    </row>
    <row r="22" spans="1:24">
      <c r="A22" s="190" t="str">
        <f>[2]Participantes!B18</f>
        <v>Juan Rojas</v>
      </c>
      <c r="B22" s="187" t="str">
        <f>[2]A!AF21</f>
        <v>Gales</v>
      </c>
      <c r="C22" s="187" t="str">
        <f>[2]B!AF21</f>
        <v>Dinamarca</v>
      </c>
      <c r="D22" s="187" t="str">
        <f>[2]C!$AF21</f>
        <v>Ucrania</v>
      </c>
      <c r="E22" s="187" t="str">
        <f>[2]D!$AF21</f>
        <v/>
      </c>
      <c r="F22" s="187" t="str">
        <f>[2]E!$AF21</f>
        <v/>
      </c>
      <c r="G22" s="187" t="str">
        <f>[2]F!$AF21</f>
        <v>Portugal</v>
      </c>
      <c r="H22" s="188">
        <f>IF([2]A!AO21=3,[2]A!$AK21,IF([2]A!AP21=3,[2]A!$AL21,IF([2]A!AQ21=3,[2]A!$AM21,IF([2]A!AR21=3,[2]A!$AN21,"error"))))</f>
        <v>2.4819999999999998</v>
      </c>
      <c r="I22" s="188">
        <f>IF([2]B!AO21=3,[2]B!$AK21,IF([2]B!AP21=3,[2]B!$AL21,IF([2]B!AQ21=3,[2]B!$AM21,IF([2]B!AR21=3,[2]B!$AN21,"error"))))</f>
        <v>4.5040999999999993</v>
      </c>
      <c r="J22" s="188">
        <f>IF([2]C!AO21=3,[2]C!$AK21,IF([2]C!AP21=3,[2]C!$AL21,IF([2]C!AQ21=3,[2]C!$AM21,IF([2]C!AR21=3,[2]C!$AN21,"error"))))</f>
        <v>3.484</v>
      </c>
      <c r="K22" s="188">
        <f>IF([2]D!AO21=3,[2]D!$AK21,IF([2]D!AP21=3,[2]D!$AL21,IF([2]D!AQ21=3,[2]D!$AM21,IF([2]D!AR21=3,[2]D!$AN21,"error"))))</f>
        <v>1.4809999999999999</v>
      </c>
      <c r="L22" s="188">
        <f>IF([2]E!AO21=3,[2]E!$AK21,IF([2]E!AP21=3,[2]E!$AL21,IF([2]E!AQ21=3,[2]E!$AM21,IF([2]E!AR21=3,[2]E!$AN21,"error"))))</f>
        <v>1.4729999999999999</v>
      </c>
      <c r="M22" s="188">
        <f>IF([2]F!AO21=3,[2]F!$AK21,IF([2]F!AP21=3,[2]F!$AL21,IF([2]F!AQ21=3,[2]F!$AM21,IF([2]F!AR21=3,[2]F!$AN21,"error"))))</f>
        <v>4.5049999999999999</v>
      </c>
      <c r="N22" s="188">
        <f t="shared" si="9"/>
        <v>4</v>
      </c>
      <c r="O22" s="188">
        <f t="shared" si="10"/>
        <v>2</v>
      </c>
      <c r="P22" s="188">
        <f t="shared" si="4"/>
        <v>3</v>
      </c>
      <c r="Q22" s="188">
        <f t="shared" si="5"/>
        <v>5</v>
      </c>
      <c r="R22" s="188">
        <f t="shared" si="6"/>
        <v>6</v>
      </c>
      <c r="S22" s="192">
        <f t="shared" si="7"/>
        <v>1</v>
      </c>
      <c r="T22" s="170">
        <f t="shared" si="0"/>
        <v>21</v>
      </c>
      <c r="U22" s="170">
        <f t="shared" si="8"/>
        <v>1</v>
      </c>
      <c r="V22" s="170">
        <f t="shared" si="1"/>
        <v>1</v>
      </c>
      <c r="W22" s="170">
        <f t="shared" si="2"/>
        <v>1</v>
      </c>
      <c r="X22" s="170">
        <f t="shared" si="3"/>
        <v>1</v>
      </c>
    </row>
    <row r="23" spans="1:24">
      <c r="A23" s="190" t="str">
        <f>[2]Participantes!B19</f>
        <v>Bilis Cedeño</v>
      </c>
      <c r="B23" s="187" t="str">
        <f>[2]A!AF22</f>
        <v>Gales</v>
      </c>
      <c r="C23" s="187" t="str">
        <f>[2]B!AF22</f>
        <v>Rusia</v>
      </c>
      <c r="D23" s="187" t="str">
        <f>[2]C!$AF22</f>
        <v>Ucrania</v>
      </c>
      <c r="E23" s="187" t="str">
        <f>[2]D!$AF22</f>
        <v/>
      </c>
      <c r="F23" s="187" t="str">
        <f>[2]E!$AF22</f>
        <v/>
      </c>
      <c r="G23" s="187" t="str">
        <f>[2]F!$AF22</f>
        <v>Portugal</v>
      </c>
      <c r="H23" s="188">
        <f>IF([2]A!AO22=3,[2]A!$AK22,IF([2]A!AP22=3,[2]A!$AL22,IF([2]A!AQ22=3,[2]A!$AM22,IF([2]A!AR22=3,[2]A!$AN22,"error"))))</f>
        <v>4.5030999999999999</v>
      </c>
      <c r="I23" s="188">
        <f>IF([2]B!AO22=3,[2]B!$AK22,IF([2]B!AP22=3,[2]B!$AL22,IF([2]B!AQ22=3,[2]B!$AM22,IF([2]B!AR22=3,[2]B!$AN22,"error"))))</f>
        <v>3.4941000000000004</v>
      </c>
      <c r="J23" s="188">
        <f>IF([2]C!AO22=3,[2]C!$AK22,IF([2]C!AP22=3,[2]C!$AL22,IF([2]C!AQ22=3,[2]C!$AM22,IF([2]C!AR22=3,[2]C!$AN22,"error"))))</f>
        <v>3.4930000000000003</v>
      </c>
      <c r="K23" s="188">
        <f>IF([2]D!AO22=3,[2]D!$AK22,IF([2]D!AP22=3,[2]D!$AL22,IF([2]D!AQ22=3,[2]D!$AM22,IF([2]D!AR22=3,[2]D!$AN22,"error"))))</f>
        <v>3.4811000000000001</v>
      </c>
      <c r="L23" s="188">
        <f>IF([2]E!AO22=3,[2]E!$AK22,IF([2]E!AP22=3,[2]E!$AL22,IF([2]E!AQ22=3,[2]E!$AM22,IF([2]E!AR22=3,[2]E!$AN22,"error"))))</f>
        <v>2.4930000000000003</v>
      </c>
      <c r="M23" s="188">
        <f>IF([2]F!AO22=3,[2]F!$AK22,IF([2]F!AP22=3,[2]F!$AL22,IF([2]F!AQ22=3,[2]F!$AM22,IF([2]F!AR22=3,[2]F!$AN22,"error"))))</f>
        <v>4.5139999999999993</v>
      </c>
      <c r="N23" s="188">
        <f t="shared" si="9"/>
        <v>2</v>
      </c>
      <c r="O23" s="188">
        <f t="shared" si="10"/>
        <v>3</v>
      </c>
      <c r="P23" s="188">
        <f t="shared" si="4"/>
        <v>4</v>
      </c>
      <c r="Q23" s="188">
        <f t="shared" si="5"/>
        <v>5</v>
      </c>
      <c r="R23" s="188">
        <f t="shared" si="6"/>
        <v>6</v>
      </c>
      <c r="S23" s="192">
        <f t="shared" si="7"/>
        <v>1</v>
      </c>
      <c r="T23" s="170">
        <f t="shared" si="0"/>
        <v>21</v>
      </c>
      <c r="U23" s="170">
        <f t="shared" si="8"/>
        <v>1</v>
      </c>
      <c r="V23" s="170">
        <f t="shared" si="1"/>
        <v>1</v>
      </c>
      <c r="W23" s="170">
        <f t="shared" si="2"/>
        <v>1</v>
      </c>
      <c r="X23" s="170">
        <f t="shared" si="3"/>
        <v>1</v>
      </c>
    </row>
    <row r="24" spans="1:24">
      <c r="A24" s="190" t="str">
        <f>[2]Participantes!B20</f>
        <v>Alfredo Quintero 1</v>
      </c>
      <c r="B24" s="187" t="str">
        <f>[2]A!AF23</f>
        <v>Suiza</v>
      </c>
      <c r="C24" s="187" t="str">
        <f>[2]B!AF23</f>
        <v>Rusia</v>
      </c>
      <c r="D24" s="187" t="str">
        <f>[2]C!$AF23</f>
        <v/>
      </c>
      <c r="E24" s="187" t="str">
        <f>[2]D!$AF23</f>
        <v>Rep.Checa</v>
      </c>
      <c r="F24" s="187" t="str">
        <f>[2]E!$AF23</f>
        <v>Eslovaquia</v>
      </c>
      <c r="G24" s="187" t="str">
        <f>[2]F!$AF23</f>
        <v/>
      </c>
      <c r="H24" s="188">
        <f>IF([2]A!AO23=3,[2]A!$AK23,IF([2]A!AP23=3,[2]A!$AL23,IF([2]A!AQ23=3,[2]A!$AM23,IF([2]A!AR23=3,[2]A!$AN23,"error"))))</f>
        <v>3.4941000000000004</v>
      </c>
      <c r="I24" s="188">
        <f>IF([2]B!AO23=3,[2]B!$AK23,IF([2]B!AP23=3,[2]B!$AL23,IF([2]B!AQ23=3,[2]B!$AM23,IF([2]B!AR23=3,[2]B!$AN23,"error"))))</f>
        <v>3.5141</v>
      </c>
      <c r="J24" s="188">
        <f>IF([2]C!AO23=3,[2]C!$AK23,IF([2]C!AP23=3,[2]C!$AL23,IF([2]C!AQ23=3,[2]C!$AM23,IF([2]C!AR23=3,[2]C!$AN23,"error"))))</f>
        <v>1.4729999999999999</v>
      </c>
      <c r="K24" s="188">
        <f>IF([2]D!AO23=3,[2]D!$AK23,IF([2]D!AP23=3,[2]D!$AL23,IF([2]D!AQ23=3,[2]D!$AM23,IF([2]D!AR23=3,[2]D!$AN23,"error"))))</f>
        <v>3.5030000000000001</v>
      </c>
      <c r="L24" s="188">
        <f>IF([2]E!AO23=3,[2]E!$AK23,IF([2]E!AP23=3,[2]E!$AL23,IF([2]E!AQ23=3,[2]E!$AM23,IF([2]E!AR23=3,[2]E!$AN23,"error"))))</f>
        <v>3.492</v>
      </c>
      <c r="M24" s="188">
        <f>IF([2]F!AO23=3,[2]F!$AK23,IF([2]F!AP23=3,[2]F!$AL23,IF([2]F!AQ23=3,[2]F!$AM23,IF([2]F!AR23=3,[2]F!$AN23,"error"))))</f>
        <v>3.484</v>
      </c>
      <c r="N24" s="188">
        <f t="shared" si="9"/>
        <v>3</v>
      </c>
      <c r="O24" s="188">
        <f t="shared" si="10"/>
        <v>1</v>
      </c>
      <c r="P24" s="188">
        <f t="shared" si="4"/>
        <v>6</v>
      </c>
      <c r="Q24" s="188">
        <f t="shared" si="5"/>
        <v>2</v>
      </c>
      <c r="R24" s="188">
        <f t="shared" si="6"/>
        <v>4</v>
      </c>
      <c r="S24" s="192">
        <f t="shared" si="7"/>
        <v>5</v>
      </c>
      <c r="T24" s="170">
        <f t="shared" si="0"/>
        <v>21</v>
      </c>
      <c r="U24" s="170">
        <f t="shared" si="8"/>
        <v>1</v>
      </c>
      <c r="V24" s="170">
        <f t="shared" si="1"/>
        <v>1</v>
      </c>
      <c r="W24" s="170">
        <f t="shared" si="2"/>
        <v>1</v>
      </c>
      <c r="X24" s="170">
        <f t="shared" si="3"/>
        <v>1</v>
      </c>
    </row>
    <row r="25" spans="1:24">
      <c r="A25" s="190" t="str">
        <f>[2]Participantes!B21</f>
        <v>Alfredo Quintero 2</v>
      </c>
      <c r="B25" s="187" t="str">
        <f>[2]A!AF24</f>
        <v/>
      </c>
      <c r="C25" s="187" t="str">
        <f>[2]B!AF24</f>
        <v>Rusia</v>
      </c>
      <c r="D25" s="187" t="str">
        <f>[2]C!$AF24</f>
        <v>Austria</v>
      </c>
      <c r="E25" s="187" t="str">
        <f>[2]D!$AF24</f>
        <v>Croacia</v>
      </c>
      <c r="F25" s="187" t="str">
        <f>[2]E!$AF24</f>
        <v/>
      </c>
      <c r="G25" s="187" t="str">
        <f>[2]F!$AF24</f>
        <v>Portugal</v>
      </c>
      <c r="H25" s="188">
        <f>IF([2]A!AO24=3,[2]A!$AK24,IF([2]A!AP24=3,[2]A!$AL24,IF([2]A!AQ24=3,[2]A!$AM24,IF([2]A!AR24=3,[2]A!$AN24,"error"))))</f>
        <v>1.482</v>
      </c>
      <c r="I25" s="188">
        <f>IF([2]B!AO24=3,[2]B!$AK24,IF([2]B!AP24=3,[2]B!$AL24,IF([2]B!AQ24=3,[2]B!$AM24,IF([2]B!AR24=3,[2]B!$AN24,"error"))))</f>
        <v>3.4931000000000005</v>
      </c>
      <c r="J25" s="188">
        <f>IF([2]C!AO24=3,[2]C!$AK24,IF([2]C!AP24=3,[2]C!$AL24,IF([2]C!AQ24=3,[2]C!$AM24,IF([2]C!AR24=3,[2]C!$AN24,"error"))))</f>
        <v>4.5030000000000001</v>
      </c>
      <c r="K25" s="188">
        <f>IF([2]D!AO24=3,[2]D!$AK24,IF([2]D!AP24=3,[2]D!$AL24,IF([2]D!AQ24=3,[2]D!$AM24,IF([2]D!AR24=3,[2]D!$AN24,"error"))))</f>
        <v>4.5149999999999997</v>
      </c>
      <c r="L25" s="188">
        <f>IF([2]E!AO24=3,[2]E!$AK24,IF([2]E!AP24=3,[2]E!$AL24,IF([2]E!AQ24=3,[2]E!$AM24,IF([2]E!AR24=3,[2]E!$AN24,"error"))))</f>
        <v>2.492</v>
      </c>
      <c r="M25" s="188">
        <f>IF([2]F!AO24=3,[2]F!$AK24,IF([2]F!AP24=3,[2]F!$AL24,IF([2]F!AQ24=3,[2]F!$AM24,IF([2]F!AR24=3,[2]F!$AN24,"error"))))</f>
        <v>4.5039999999999996</v>
      </c>
      <c r="N25" s="188">
        <f t="shared" si="9"/>
        <v>6</v>
      </c>
      <c r="O25" s="188">
        <f t="shared" si="10"/>
        <v>4</v>
      </c>
      <c r="P25" s="188">
        <f t="shared" si="4"/>
        <v>3</v>
      </c>
      <c r="Q25" s="188">
        <f t="shared" si="5"/>
        <v>1</v>
      </c>
      <c r="R25" s="188">
        <f t="shared" si="6"/>
        <v>5</v>
      </c>
      <c r="S25" s="192">
        <f t="shared" si="7"/>
        <v>2</v>
      </c>
      <c r="T25" s="170">
        <f t="shared" si="0"/>
        <v>21</v>
      </c>
      <c r="U25" s="170">
        <f t="shared" si="8"/>
        <v>1</v>
      </c>
      <c r="V25" s="170">
        <f t="shared" si="1"/>
        <v>1</v>
      </c>
      <c r="W25" s="170">
        <f t="shared" si="2"/>
        <v>1</v>
      </c>
      <c r="X25" s="170">
        <f t="shared" si="3"/>
        <v>1</v>
      </c>
    </row>
    <row r="26" spans="1:24">
      <c r="A26" s="190" t="str">
        <f>[2]Participantes!B22</f>
        <v>Antonio Barahona</v>
      </c>
      <c r="B26" s="187" t="str">
        <f>[2]A!AF25</f>
        <v/>
      </c>
      <c r="C26" s="187" t="str">
        <f>[2]B!AF25</f>
        <v/>
      </c>
      <c r="D26" s="187" t="str">
        <f>[2]C!$AF25</f>
        <v>Macedonia</v>
      </c>
      <c r="E26" s="187" t="str">
        <f>[2]D!$AF25</f>
        <v>Escocia</v>
      </c>
      <c r="F26" s="187" t="str">
        <f>[2]E!$AF25</f>
        <v>Eslovaquia</v>
      </c>
      <c r="G26" s="187" t="str">
        <f>[2]F!$AF25</f>
        <v>Francia</v>
      </c>
      <c r="H26" s="188">
        <f>IF([2]A!AO25=3,[2]A!$AK25,IF([2]A!AP25=3,[2]A!$AL25,IF([2]A!AQ25=3,[2]A!$AM25,IF([2]A!AR25=3,[2]A!$AN25,"error"))))</f>
        <v>1.482</v>
      </c>
      <c r="I26" s="188">
        <f>IF([2]B!AO25=3,[2]B!$AK25,IF([2]B!AP25=3,[2]B!$AL25,IF([2]B!AQ25=3,[2]B!$AM25,IF([2]B!AR25=3,[2]B!$AN25,"error"))))</f>
        <v>2.4909999999999997</v>
      </c>
      <c r="J26" s="188">
        <f>IF([2]C!AO25=3,[2]C!$AK25,IF([2]C!AP25=3,[2]C!$AL25,IF([2]C!AQ25=3,[2]C!$AM25,IF([2]C!AR25=3,[2]C!$AN25,"error"))))</f>
        <v>2.492</v>
      </c>
      <c r="K26" s="188">
        <f>IF([2]D!AO25=3,[2]D!$AK25,IF([2]D!AP25=3,[2]D!$AL25,IF([2]D!AQ25=3,[2]D!$AM25,IF([2]D!AR25=3,[2]D!$AN25,"error"))))</f>
        <v>3.4821</v>
      </c>
      <c r="L26" s="188">
        <f>IF([2]E!AO25=3,[2]E!$AK25,IF([2]E!AP25=3,[2]E!$AL25,IF([2]E!AQ25=3,[2]E!$AM25,IF([2]E!AR25=3,[2]E!$AN25,"error"))))</f>
        <v>3.4940000000000002</v>
      </c>
      <c r="M26" s="188">
        <f>IF([2]F!AO25=3,[2]F!$AK25,IF([2]F!AP25=3,[2]F!$AL25,IF([2]F!AQ25=3,[2]F!$AM25,IF([2]F!AR25=3,[2]F!$AN25,"error"))))</f>
        <v>4.5139999999999993</v>
      </c>
      <c r="N26" s="188">
        <f t="shared" si="9"/>
        <v>6</v>
      </c>
      <c r="O26" s="188">
        <f t="shared" si="10"/>
        <v>5</v>
      </c>
      <c r="P26" s="188">
        <f t="shared" si="4"/>
        <v>4</v>
      </c>
      <c r="Q26" s="188">
        <f t="shared" si="5"/>
        <v>3</v>
      </c>
      <c r="R26" s="188">
        <f t="shared" si="6"/>
        <v>2</v>
      </c>
      <c r="S26" s="192">
        <f t="shared" si="7"/>
        <v>1</v>
      </c>
      <c r="T26" s="170">
        <f t="shared" si="0"/>
        <v>21</v>
      </c>
      <c r="U26" s="170">
        <f t="shared" si="8"/>
        <v>1</v>
      </c>
      <c r="V26" s="170">
        <f t="shared" si="1"/>
        <v>1</v>
      </c>
      <c r="W26" s="170">
        <f t="shared" si="2"/>
        <v>1</v>
      </c>
      <c r="X26" s="170">
        <f t="shared" si="3"/>
        <v>1</v>
      </c>
    </row>
    <row r="27" spans="1:24">
      <c r="A27" s="190" t="str">
        <f>[2]Participantes!B23</f>
        <v>Jose Caballero 1</v>
      </c>
      <c r="B27" s="187" t="str">
        <f>[2]A!AF26</f>
        <v>Gales</v>
      </c>
      <c r="C27" s="187" t="str">
        <f>[2]B!AF26</f>
        <v/>
      </c>
      <c r="D27" s="187" t="str">
        <f>[2]C!$AF26</f>
        <v/>
      </c>
      <c r="E27" s="187" t="str">
        <f>[2]D!$AF26</f>
        <v>Rep.Checa</v>
      </c>
      <c r="F27" s="187" t="str">
        <f>[2]E!$AF26</f>
        <v>Polonia</v>
      </c>
      <c r="G27" s="187" t="str">
        <f>[2]F!$AF26</f>
        <v>Portugal</v>
      </c>
      <c r="H27" s="188">
        <f>IF([2]A!AO26=3,[2]A!$AK26,IF([2]A!AP26=3,[2]A!$AL26,IF([2]A!AQ26=3,[2]A!$AM26,IF([2]A!AR26=3,[2]A!$AN26,"error"))))</f>
        <v>4.5250999999999992</v>
      </c>
      <c r="I27" s="188">
        <f>IF([2]B!AO26=3,[2]B!$AK26,IF([2]B!AP26=3,[2]B!$AL26,IF([2]B!AQ26=3,[2]B!$AM26,IF([2]B!AR26=3,[2]B!$AN26,"error"))))</f>
        <v>3.5051000000000001</v>
      </c>
      <c r="J27" s="188">
        <f>IF([2]C!AO26=3,[2]C!$AK26,IF([2]C!AP26=3,[2]C!$AL26,IF([2]C!AQ26=3,[2]C!$AM26,IF([2]C!AR26=3,[2]C!$AN26,"error"))))</f>
        <v>3.4750000000000001</v>
      </c>
      <c r="K27" s="188">
        <f>IF([2]D!AO26=3,[2]D!$AK26,IF([2]D!AP26=3,[2]D!$AL26,IF([2]D!AQ26=3,[2]D!$AM26,IF([2]D!AR26=3,[2]D!$AN26,"error"))))</f>
        <v>4.516</v>
      </c>
      <c r="L27" s="188">
        <f>IF([2]E!AO26=3,[2]E!$AK26,IF([2]E!AP26=3,[2]E!$AL26,IF([2]E!AQ26=3,[2]E!$AM26,IF([2]E!AR26=3,[2]E!$AN26,"error"))))</f>
        <v>3.5149999999999997</v>
      </c>
      <c r="M27" s="188">
        <f>IF([2]F!AO26=3,[2]F!$AK26,IF([2]F!AP26=3,[2]F!$AL26,IF([2]F!AQ26=3,[2]F!$AM26,IF([2]F!AR26=3,[2]F!$AN26,"error"))))</f>
        <v>4.5169999999999995</v>
      </c>
      <c r="N27" s="188">
        <f t="shared" si="9"/>
        <v>1</v>
      </c>
      <c r="O27" s="188">
        <f t="shared" si="10"/>
        <v>5</v>
      </c>
      <c r="P27" s="188">
        <f t="shared" si="4"/>
        <v>6</v>
      </c>
      <c r="Q27" s="188">
        <f t="shared" si="5"/>
        <v>3</v>
      </c>
      <c r="R27" s="188">
        <f t="shared" si="6"/>
        <v>4</v>
      </c>
      <c r="S27" s="192">
        <f t="shared" si="7"/>
        <v>2</v>
      </c>
      <c r="T27" s="170">
        <f t="shared" si="0"/>
        <v>21</v>
      </c>
      <c r="U27" s="170">
        <f t="shared" si="8"/>
        <v>1</v>
      </c>
      <c r="V27" s="170">
        <f t="shared" si="1"/>
        <v>1</v>
      </c>
      <c r="W27" s="170">
        <f t="shared" si="2"/>
        <v>1</v>
      </c>
      <c r="X27" s="170">
        <f t="shared" si="3"/>
        <v>1</v>
      </c>
    </row>
    <row r="28" spans="1:24">
      <c r="A28" s="197" t="str">
        <f>[2]Participantes!B24</f>
        <v>Jose Caballero 2(Betito)</v>
      </c>
      <c r="B28" s="198" t="str">
        <f>[2]A!AF27</f>
        <v>Turquía</v>
      </c>
      <c r="C28" s="198" t="str">
        <f>[2]B!AF27</f>
        <v/>
      </c>
      <c r="D28" s="198" t="str">
        <f>[2]C!$AF27</f>
        <v>Austria</v>
      </c>
      <c r="E28" s="198" t="str">
        <f>[2]D!$AF27</f>
        <v>Rep.Checa</v>
      </c>
      <c r="F28" s="198" t="str">
        <f>[2]E!$AF27</f>
        <v>Suecia</v>
      </c>
      <c r="G28" s="198" t="str">
        <f>[2]F!$AF27</f>
        <v/>
      </c>
      <c r="H28" s="199">
        <f>IF([2]A!AO27=3,[2]A!$AK27,IF([2]A!AP27=3,[2]A!$AL27,IF([2]A!AQ27=3,[2]A!$AM27,IF([2]A!AR27=3,[2]A!$AN27,"error"))))</f>
        <v>3.5041000000000002</v>
      </c>
      <c r="I28" s="199">
        <f>IF([2]B!AO27=3,[2]B!$AK27,IF([2]B!AP27=3,[2]B!$AL27,IF([2]B!AQ27=3,[2]B!$AM27,IF([2]B!AR27=3,[2]B!$AN27,"error"))))</f>
        <v>3.4831000000000003</v>
      </c>
      <c r="J28" s="199">
        <f>IF([2]C!AO27=3,[2]C!$AK27,IF([2]C!AP27=3,[2]C!$AL27,IF([2]C!AQ27=3,[2]C!$AM27,IF([2]C!AR27=3,[2]C!$AN27,"error"))))</f>
        <v>4.5030000000000001</v>
      </c>
      <c r="K28" s="199">
        <f>IF([2]D!AO27=3,[2]D!$AK27,IF([2]D!AP27=3,[2]D!$AL27,IF([2]D!AQ27=3,[2]D!$AM27,IF([2]D!AR27=3,[2]D!$AN27,"error"))))</f>
        <v>3.4930000000000003</v>
      </c>
      <c r="L28" s="199">
        <f>IF([2]E!AO27=3,[2]E!$AK27,IF([2]E!AP27=3,[2]E!$AL27,IF([2]E!AQ27=3,[2]E!$AM27,IF([2]E!AR27=3,[2]E!$AN27,"error"))))</f>
        <v>3.492</v>
      </c>
      <c r="M28" s="199">
        <f>IF([2]F!AO27=3,[2]F!$AK27,IF([2]F!AP27=3,[2]F!$AL27,IF([2]F!AQ27=3,[2]F!$AM27,IF([2]F!AR27=3,[2]F!$AN27,"error"))))</f>
        <v>3.4750000000000001</v>
      </c>
      <c r="N28" s="199">
        <f t="shared" si="9"/>
        <v>2</v>
      </c>
      <c r="O28" s="199">
        <f t="shared" si="10"/>
        <v>5</v>
      </c>
      <c r="P28" s="199">
        <f t="shared" si="4"/>
        <v>1</v>
      </c>
      <c r="Q28" s="199">
        <f t="shared" si="5"/>
        <v>3</v>
      </c>
      <c r="R28" s="199">
        <f t="shared" si="6"/>
        <v>4</v>
      </c>
      <c r="S28" s="200">
        <f t="shared" si="7"/>
        <v>6</v>
      </c>
    </row>
  </sheetData>
  <mergeCells count="3">
    <mergeCell ref="B2:G2"/>
    <mergeCell ref="H2:M2"/>
    <mergeCell ref="N2:S2"/>
  </mergeCells>
  <pageMargins left="0.7" right="0.7" top="0.75" bottom="0.75" header="0.3" footer="0.3"/>
  <pageSetup paperSize="5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2"/>
  <sheetViews>
    <sheetView tabSelected="1" zoomScale="90" zoomScaleNormal="90" workbookViewId="0">
      <selection sqref="A1:I24"/>
    </sheetView>
  </sheetViews>
  <sheetFormatPr baseColWidth="10" defaultRowHeight="15"/>
  <cols>
    <col min="1" max="1" width="11.42578125" style="119"/>
    <col min="2" max="2" width="13" style="119" customWidth="1"/>
    <col min="3" max="3" width="22.42578125" style="113" customWidth="1"/>
    <col min="4" max="4" width="14.140625" style="113" customWidth="1"/>
    <col min="5" max="5" width="13.85546875" style="113" customWidth="1"/>
    <col min="6" max="6" width="16.5703125" style="113" customWidth="1"/>
    <col min="7" max="7" width="16" style="113" customWidth="1"/>
    <col min="8" max="8" width="17.140625" style="119" customWidth="1"/>
    <col min="9" max="61" width="11.42578125" style="113"/>
    <col min="62" max="62" width="19.85546875" style="119" customWidth="1"/>
    <col min="63" max="16384" width="11.42578125" style="113"/>
  </cols>
  <sheetData>
    <row r="1" spans="1:62" ht="36" customHeight="1" thickBot="1">
      <c r="A1" s="152" t="s">
        <v>390</v>
      </c>
      <c r="B1" s="153" t="s">
        <v>407</v>
      </c>
      <c r="C1" s="152" t="s">
        <v>391</v>
      </c>
      <c r="D1" s="152" t="s">
        <v>427</v>
      </c>
      <c r="E1" s="152" t="s">
        <v>430</v>
      </c>
      <c r="F1" s="152" t="s">
        <v>428</v>
      </c>
      <c r="G1" s="152" t="s">
        <v>429</v>
      </c>
      <c r="H1" s="153" t="s">
        <v>408</v>
      </c>
      <c r="I1" s="152" t="s">
        <v>436</v>
      </c>
      <c r="BJ1" s="136" t="s">
        <v>409</v>
      </c>
    </row>
    <row r="2" spans="1:62" ht="15.75" thickTop="1">
      <c r="A2" s="121">
        <f>Participantes!A12</f>
        <v>11</v>
      </c>
      <c r="B2" s="131">
        <f>IF(ROW()=2,1,IF(H2=H1,B1,B1+1))</f>
        <v>1</v>
      </c>
      <c r="C2" s="155" t="str">
        <f>Participantes!B12</f>
        <v>Sandra Badilla</v>
      </c>
      <c r="D2" s="151">
        <f>+A!Z15+B!Z15+'C'!Z15+D!Z15+E!Z15+F!Z15+(1)*0</f>
        <v>34</v>
      </c>
      <c r="E2" s="151">
        <f>A!AB15+B!AB15+'C'!AB15+D!AB15+(E!AB15+F!AB15)*0</f>
        <v>24</v>
      </c>
      <c r="F2" s="151">
        <f>A!AD15+B!AD15+'C'!AD15+D!AD15+(E!AD15+F!AD15)*0</f>
        <v>12</v>
      </c>
      <c r="G2" s="151">
        <f>A!AF15+B!AF15+'C'!AF15+D!AF15+(E!AF15+F!AF15)*0</f>
        <v>6</v>
      </c>
      <c r="H2" s="137">
        <f>D2+E2+F2+G2</f>
        <v>76</v>
      </c>
      <c r="I2" s="151">
        <f>$H$2-H2</f>
        <v>0</v>
      </c>
      <c r="BJ2" s="138" t="e">
        <f>B!Z12+A!Z12+'C'!Z12+D!Z12+E!Z12+F!Z12+#REF!+#REF!</f>
        <v>#REF!</v>
      </c>
    </row>
    <row r="3" spans="1:62">
      <c r="A3" s="121">
        <f>Participantes!A7</f>
        <v>6</v>
      </c>
      <c r="B3" s="131">
        <f>IF(ROW()=2,1,IF(H3=H2,B2,B2+1))</f>
        <v>2</v>
      </c>
      <c r="C3" s="155" t="str">
        <f>Participantes!B7</f>
        <v>July Batista</v>
      </c>
      <c r="D3" s="151">
        <f>+A!Z10+B!Z10+'C'!Z10+D!Z10+E!Z10+F!Z10+(1)*0</f>
        <v>29</v>
      </c>
      <c r="E3" s="151">
        <f>A!AB10+B!AB10+'C'!AB10+D!AB10+(E!AB10+F!AB10)*0</f>
        <v>18</v>
      </c>
      <c r="F3" s="151">
        <f>A!AD10+B!AD10+'C'!AD10+D!AD10+(E!AD10+F!AD10)*0</f>
        <v>15</v>
      </c>
      <c r="G3" s="151">
        <f>A!AF10+B!AF10+'C'!AF10+D!AF10+(E!AF10+F!AF10)*0</f>
        <v>6</v>
      </c>
      <c r="H3" s="137">
        <f>D3+E3+F3+G3</f>
        <v>68</v>
      </c>
      <c r="I3" s="151"/>
      <c r="BJ3" s="138" t="e">
        <f>B!#REF!+A!#REF!+'C'!#REF!+D!#REF!+E!#REF!+F!#REF!+#REF!+#REF!</f>
        <v>#REF!</v>
      </c>
    </row>
    <row r="4" spans="1:62">
      <c r="A4" s="121">
        <f>Participantes!A9</f>
        <v>8</v>
      </c>
      <c r="B4" s="131">
        <f>IF(ROW()=2,1,IF(H4=H3,B3,B3+1))</f>
        <v>2</v>
      </c>
      <c r="C4" s="155" t="str">
        <f>Participantes!B9</f>
        <v>Oliver Amaya</v>
      </c>
      <c r="D4" s="151">
        <f>+A!Z12+B!Z12+'C'!Z12+D!Z12+E!Z12+F!Z12+(1)*0</f>
        <v>29</v>
      </c>
      <c r="E4" s="151">
        <f>A!AB12+B!AB12+'C'!AB12+D!AB12+(E!AB12+F!AB12)*0</f>
        <v>21</v>
      </c>
      <c r="F4" s="151">
        <f>A!AD12+B!AD12+'C'!AD12+D!AD12+(E!AD12+F!AD12)*0</f>
        <v>12</v>
      </c>
      <c r="G4" s="151">
        <f>A!AF12+B!AF12+'C'!AF12+D!AF12+(E!AF12+F!AF12)*0</f>
        <v>6</v>
      </c>
      <c r="H4" s="137">
        <f>D4+E4+F4+G4</f>
        <v>68</v>
      </c>
      <c r="I4" s="151">
        <f>$H$2-H4</f>
        <v>8</v>
      </c>
      <c r="BJ4" s="138" t="e">
        <f>B!Z23+A!Z23+'C'!Z23+D!Z23+E!Z23+F!Z23+#REF!+#REF!</f>
        <v>#REF!</v>
      </c>
    </row>
    <row r="5" spans="1:62">
      <c r="A5" s="121">
        <f>Participantes!A19</f>
        <v>18</v>
      </c>
      <c r="B5" s="131">
        <f>IF(ROW()=2,1,IF(H5=H4,B4,B4+1))</f>
        <v>3</v>
      </c>
      <c r="C5" s="155" t="str">
        <f>Participantes!B19</f>
        <v>Bilis Cedeño</v>
      </c>
      <c r="D5" s="151">
        <f>+A!Z22+B!Z22+'C'!Z22+D!Z22+E!Z22+F!Z22+(1)*0</f>
        <v>28</v>
      </c>
      <c r="E5" s="151">
        <f>A!AB22+B!AB22+'C'!AB22+D!AB22+(E!AB22+F!AB22)*0</f>
        <v>24</v>
      </c>
      <c r="F5" s="151">
        <f>A!AD22+B!AD22+'C'!AD22+D!AD22+(E!AD22+F!AD22)*0</f>
        <v>12</v>
      </c>
      <c r="G5" s="151">
        <f>A!AF22+B!AF22+'C'!AF22+D!AF22+(E!AF22+F!AF22)*0</f>
        <v>3</v>
      </c>
      <c r="H5" s="137">
        <f>D5+E5+F5+G5</f>
        <v>67</v>
      </c>
      <c r="I5" s="151">
        <f>$H$2-H5</f>
        <v>9</v>
      </c>
      <c r="BJ5" s="138" t="e">
        <f>B!Z17+A!Z17+'C'!Z17+D!Z17+E!Z17+F!Z17+#REF!+#REF!</f>
        <v>#REF!</v>
      </c>
    </row>
    <row r="6" spans="1:62">
      <c r="A6" s="121">
        <f>Participantes!A10</f>
        <v>9</v>
      </c>
      <c r="B6" s="131">
        <f>IF(ROW()=2,1,IF(H6=H5,B5,B5+1))</f>
        <v>3</v>
      </c>
      <c r="C6" s="155" t="str">
        <f>Participantes!B10</f>
        <v>Radames Guerrero</v>
      </c>
      <c r="D6" s="151">
        <f>+A!Z13+B!Z13+'C'!Z13+D!Z13+E!Z13+F!Z13+(1)*0</f>
        <v>31</v>
      </c>
      <c r="E6" s="151">
        <f>A!AB13+B!AB13+'C'!AB13+D!AB13+(E!AB13+F!AB13)*0</f>
        <v>24</v>
      </c>
      <c r="F6" s="151">
        <f>A!AD13+B!AD13+'C'!AD13+D!AD13+(E!AD13+F!AD13)*0</f>
        <v>12</v>
      </c>
      <c r="G6" s="151">
        <f>A!AF13+B!AF13+'C'!AF13+D!AF13+(E!AF13+F!AF13)*0</f>
        <v>0</v>
      </c>
      <c r="H6" s="137">
        <f>D6+E6+F6+G6</f>
        <v>67</v>
      </c>
      <c r="I6" s="151">
        <f>$H$2-H6</f>
        <v>9</v>
      </c>
      <c r="BJ6" s="138" t="e">
        <f>B!Z26+A!Z26+'C'!Z26+D!Z26+E!Z26+F!Z26+#REF!+#REF!</f>
        <v>#REF!</v>
      </c>
    </row>
    <row r="7" spans="1:62">
      <c r="A7" s="121">
        <f>Participantes!A13</f>
        <v>12</v>
      </c>
      <c r="B7" s="131">
        <f>IF(ROW()=2,1,IF(H7=H6,B6,B6+1))</f>
        <v>4</v>
      </c>
      <c r="C7" s="155" t="str">
        <f>Participantes!B13</f>
        <v>Samantha Montero 1</v>
      </c>
      <c r="D7" s="151">
        <f>+A!Z16+B!Z16+'C'!Z16+D!Z16+E!Z16+F!Z16+(1)*0</f>
        <v>23</v>
      </c>
      <c r="E7" s="151">
        <f>A!AB16+B!AB16+'C'!AB16+D!AB16+(E!AB16+F!AB16)*0</f>
        <v>24</v>
      </c>
      <c r="F7" s="151">
        <f>A!AD16+B!AD16+'C'!AD16+D!AD16+(E!AD16+F!AD16)*0</f>
        <v>12</v>
      </c>
      <c r="G7" s="151">
        <f>A!AF16+B!AF16+'C'!AF16+D!AF16+(E!AF16+F!AF16)*0</f>
        <v>6</v>
      </c>
      <c r="H7" s="137">
        <f>D7+E7+F7+G7</f>
        <v>65</v>
      </c>
      <c r="I7" s="151">
        <f>$H$2-H7</f>
        <v>11</v>
      </c>
      <c r="BJ7" s="138" t="e">
        <f>B!Z16+A!Z16+'C'!Z16+D!Z16+E!Z16+F!Z16+#REF!+#REF!</f>
        <v>#REF!</v>
      </c>
    </row>
    <row r="8" spans="1:62">
      <c r="A8" s="121">
        <f>Participantes!A20</f>
        <v>19</v>
      </c>
      <c r="B8" s="131">
        <f>IF(ROW()=2,1,IF(H8=H7,B7,B7+1))</f>
        <v>5</v>
      </c>
      <c r="C8" s="155" t="str">
        <f>Participantes!B20</f>
        <v>Alfredo Quintero 1</v>
      </c>
      <c r="D8" s="151">
        <f>+A!Z23+B!Z23+'C'!Z23+D!Z23+E!Z23+F!Z23+(1)*0</f>
        <v>28</v>
      </c>
      <c r="E8" s="151">
        <f>A!AB23+B!AB23+'C'!AB23+D!AB23+(E!AB23+F!AB23)*0</f>
        <v>24</v>
      </c>
      <c r="F8" s="151">
        <f>A!AD23+B!AD23+'C'!AD23+D!AD23+(E!AD23+F!AD23)*0</f>
        <v>6</v>
      </c>
      <c r="G8" s="151">
        <f>A!AF23+B!AF23+'C'!AF23+D!AF23+(E!AF23+F!AF23)*0</f>
        <v>3</v>
      </c>
      <c r="H8" s="137">
        <f>D8+E8+F8+G8</f>
        <v>61</v>
      </c>
      <c r="I8" s="151">
        <f>$H$2-H8</f>
        <v>15</v>
      </c>
      <c r="BJ8" s="138" t="e">
        <f>B!Z20+A!Z20+'C'!Z20+D!Z20+E!Z20+F!Z20+#REF!+#REF!</f>
        <v>#REF!</v>
      </c>
    </row>
    <row r="9" spans="1:62">
      <c r="A9" s="121">
        <f>Participantes!A4</f>
        <v>3</v>
      </c>
      <c r="B9" s="131">
        <f>IF(ROW()=2,1,IF(H9=H8,B8,B8+1))</f>
        <v>6</v>
      </c>
      <c r="C9" s="155" t="str">
        <f>Participantes!B4</f>
        <v>Andres Corcho</v>
      </c>
      <c r="D9" s="151">
        <f>+A!Z7+B!Z7+'C'!Z7+D!Z7+E!Z7+F!Z7+(1)*0</f>
        <v>23</v>
      </c>
      <c r="E9" s="151">
        <f>A!AB7+B!AB7+'C'!AB7+D!AB7+(E!AB7+F!AB7)*0</f>
        <v>24</v>
      </c>
      <c r="F9" s="151">
        <f>A!AD7+B!AD7+'C'!AD7+D!AD7+(E!AD7+F!AD7)*0</f>
        <v>12</v>
      </c>
      <c r="G9" s="151">
        <f>A!AF7+B!AF7+'C'!AF7+D!AF7+(E!AF7+F!AF7)*0</f>
        <v>0</v>
      </c>
      <c r="H9" s="137">
        <f>D9+E9+F9+G9</f>
        <v>59</v>
      </c>
      <c r="I9" s="151">
        <f>$H$2-H9</f>
        <v>17</v>
      </c>
      <c r="BJ9" s="138" t="e">
        <f>B!#REF!+A!#REF!+'C'!#REF!+D!#REF!+E!#REF!+F!#REF!+#REF!+#REF!</f>
        <v>#REF!</v>
      </c>
    </row>
    <row r="10" spans="1:62">
      <c r="A10" s="121">
        <f>Participantes!A21</f>
        <v>20</v>
      </c>
      <c r="B10" s="131">
        <f>IF(ROW()=2,1,IF(H10=H9,B9,B9+1))</f>
        <v>6</v>
      </c>
      <c r="C10" s="155" t="str">
        <f>Participantes!B21</f>
        <v>Alfredo Quintero 2</v>
      </c>
      <c r="D10" s="151">
        <f>+A!Z24+B!Z24+'C'!Z24+D!Z24+E!Z24+F!Z24+(1)*0</f>
        <v>26</v>
      </c>
      <c r="E10" s="151">
        <f>A!AB24+B!AB24+'C'!AB24+D!AB24+(E!AB24+F!AB24)*0</f>
        <v>21</v>
      </c>
      <c r="F10" s="151">
        <f>A!AD24+B!AD24+'C'!AD24+D!AD24+(E!AD24+F!AD24)*0</f>
        <v>9</v>
      </c>
      <c r="G10" s="151">
        <f>A!AF24+B!AF24+'C'!AF24+D!AF24+(E!AF24+F!AF24)*0</f>
        <v>3</v>
      </c>
      <c r="H10" s="137">
        <f>D10+E10+F10+G10</f>
        <v>59</v>
      </c>
      <c r="I10" s="151">
        <f>$H$2-H10</f>
        <v>17</v>
      </c>
      <c r="BJ10" s="138" t="e">
        <f>B!Z25+A!Z25+'C'!Z25+D!Z25+E!Z25+F!Z25+#REF!+#REF!</f>
        <v>#REF!</v>
      </c>
    </row>
    <row r="11" spans="1:62">
      <c r="A11" s="121">
        <f>Participantes!A17</f>
        <v>16</v>
      </c>
      <c r="B11" s="131">
        <f>IF(ROW()=2,1,IF(H11=H10,B10,B10+1))</f>
        <v>7</v>
      </c>
      <c r="C11" s="155" t="str">
        <f>Participantes!B17</f>
        <v>Mileny Acosta(CF)</v>
      </c>
      <c r="D11" s="151">
        <f>+A!Z20+B!Z20+'C'!Z20+D!Z20+E!Z20+F!Z20+(1)*0</f>
        <v>20</v>
      </c>
      <c r="E11" s="151">
        <f>A!AB20+B!AB20+'C'!AB20+D!AB20+(E!AB20+F!AB20)*0</f>
        <v>12</v>
      </c>
      <c r="F11" s="151">
        <f>A!AD20+B!AD20+'C'!AD20+D!AD20+(E!AD20+F!AD20)*0</f>
        <v>21</v>
      </c>
      <c r="G11" s="151">
        <f>A!AF20+B!AF20+'C'!AF20+D!AF20+(E!AF20+F!AF20)*0</f>
        <v>3</v>
      </c>
      <c r="H11" s="137">
        <f>D11+E11+F11+G11</f>
        <v>56</v>
      </c>
      <c r="I11" s="151">
        <f>$H$2-H11</f>
        <v>20</v>
      </c>
      <c r="BJ11" s="138" t="e">
        <f>B!Z15+A!Z15+'C'!Z15+D!Z15+E!Z15+F!Z15+#REF!+#REF!</f>
        <v>#REF!</v>
      </c>
    </row>
    <row r="12" spans="1:62">
      <c r="A12" s="121">
        <f>Participantes!A18</f>
        <v>17</v>
      </c>
      <c r="B12" s="131">
        <f>IF(ROW()=2,1,IF(H12=H11,B11,B11+1))</f>
        <v>7</v>
      </c>
      <c r="C12" s="155" t="str">
        <f>Participantes!B18</f>
        <v>Juan Rojas</v>
      </c>
      <c r="D12" s="151">
        <f>+A!Z21+B!Z21+'C'!Z21+D!Z21+E!Z21+F!Z21+(1)*0</f>
        <v>23</v>
      </c>
      <c r="E12" s="151">
        <f>A!AB21+B!AB21+'C'!AB21+D!AB21+(E!AB21+F!AB21)*0</f>
        <v>18</v>
      </c>
      <c r="F12" s="151">
        <f>A!AD21+B!AD21+'C'!AD21+D!AD21+(E!AD21+F!AD21)*0</f>
        <v>9</v>
      </c>
      <c r="G12" s="151">
        <f>A!AF21+B!AF21+'C'!AF21+D!AF21+(E!AF21+F!AF21)*0</f>
        <v>6</v>
      </c>
      <c r="H12" s="137">
        <f>D12+E12+F12+G12</f>
        <v>56</v>
      </c>
      <c r="I12" s="151">
        <f>$H$2-H12</f>
        <v>20</v>
      </c>
      <c r="BJ12" s="138" t="e">
        <f>B!Z22+A!Z22+'C'!Z22+D!Z22+E!Z22+F!Z22+#REF!+#REF!</f>
        <v>#REF!</v>
      </c>
    </row>
    <row r="13" spans="1:62">
      <c r="A13" s="121">
        <f>Participantes!A14</f>
        <v>13</v>
      </c>
      <c r="B13" s="131">
        <f>IF(ROW()=2,1,IF(H13=H12,B12,B12+1))</f>
        <v>7</v>
      </c>
      <c r="C13" s="155" t="str">
        <f>Participantes!B14</f>
        <v>Samantha Mont. 2 (Jairo)</v>
      </c>
      <c r="D13" s="151">
        <f>+A!Z17+B!Z17+'C'!Z17+D!Z17+E!Z17+F!Z17+(1)*0</f>
        <v>17</v>
      </c>
      <c r="E13" s="151">
        <f>A!AB17+B!AB17+'C'!AB17+D!AB17+(E!AB17+F!AB17)*0</f>
        <v>24</v>
      </c>
      <c r="F13" s="151">
        <f>A!AD17+B!AD17+'C'!AD17+D!AD17+(E!AD17+F!AD17)*0</f>
        <v>12</v>
      </c>
      <c r="G13" s="151">
        <f>A!AF17+B!AF17+'C'!AF17+D!AF17+(E!AF17+F!AF17)*0</f>
        <v>3</v>
      </c>
      <c r="H13" s="137">
        <f>D13+E13+F13+G13</f>
        <v>56</v>
      </c>
      <c r="I13" s="151">
        <f>$H$2-H13</f>
        <v>20</v>
      </c>
      <c r="BJ13" s="138" t="e">
        <f>B!Z14+A!Z14+'C'!Z14+D!Z14+E!Z14+F!Z14+#REF!+#REF!</f>
        <v>#REF!</v>
      </c>
    </row>
    <row r="14" spans="1:62">
      <c r="A14" s="121">
        <f>Participantes!A15</f>
        <v>14</v>
      </c>
      <c r="B14" s="131">
        <f>IF(ROW()=2,1,IF(H14=H13,B13,B13+1))</f>
        <v>8</v>
      </c>
      <c r="C14" s="155" t="str">
        <f>Participantes!B15</f>
        <v>Samantha Mont. 3(Jafet)</v>
      </c>
      <c r="D14" s="151">
        <f>+A!Z18+B!Z18+'C'!Z18+D!Z18+E!Z18+F!Z18+(1)*0</f>
        <v>24</v>
      </c>
      <c r="E14" s="151">
        <f>A!AB18+B!AB18+'C'!AB18+D!AB18+(E!AB18+F!AB18)*0</f>
        <v>18</v>
      </c>
      <c r="F14" s="151">
        <f>A!AD18+B!AD18+'C'!AD18+D!AD18+(E!AD18+F!AD18)*0</f>
        <v>9</v>
      </c>
      <c r="G14" s="151">
        <f>A!AF18+B!AF18+'C'!AF18+D!AF18+(E!AF18+F!AF18)*0</f>
        <v>3</v>
      </c>
      <c r="H14" s="137">
        <f>D14+E14+F14+G14</f>
        <v>54</v>
      </c>
      <c r="I14" s="151">
        <f>$H$2-H14</f>
        <v>22</v>
      </c>
      <c r="BJ14" s="138" t="e">
        <f>B!#REF!+A!#REF!+'C'!#REF!+D!#REF!+E!#REF!+F!#REF!+#REF!+#REF!</f>
        <v>#REF!</v>
      </c>
    </row>
    <row r="15" spans="1:62">
      <c r="A15" s="121">
        <f>Participantes!A11</f>
        <v>10</v>
      </c>
      <c r="B15" s="131">
        <f>IF(ROW()=2,1,IF(H15=H14,B14,B14+1))</f>
        <v>8</v>
      </c>
      <c r="C15" s="155" t="str">
        <f>Participantes!B11</f>
        <v>Effie Latouche</v>
      </c>
      <c r="D15" s="151">
        <f>+A!Z14+B!Z14+'C'!Z14+D!Z14+E!Z14+F!Z14+(1)*0</f>
        <v>18</v>
      </c>
      <c r="E15" s="151">
        <f>A!AB14+B!AB14+'C'!AB14+D!AB14+(E!AB14+F!AB14)*0</f>
        <v>18</v>
      </c>
      <c r="F15" s="151">
        <f>A!AD14+B!AD14+'C'!AD14+D!AD14+(E!AD14+F!AD14)*0</f>
        <v>18</v>
      </c>
      <c r="G15" s="151">
        <f>A!AF14+B!AF14+'C'!AF14+D!AF14+(E!AF14+F!AF14)*0</f>
        <v>0</v>
      </c>
      <c r="H15" s="137">
        <f>D15+E15+F15+G15</f>
        <v>54</v>
      </c>
      <c r="I15" s="151">
        <f>$H$2-H15</f>
        <v>22</v>
      </c>
      <c r="BJ15" s="138" t="e">
        <f>B!Z24+A!Z24+'C'!Z24+D!Z24+E!Z24+F!Z24+#REF!+#REF!</f>
        <v>#REF!</v>
      </c>
    </row>
    <row r="16" spans="1:62">
      <c r="A16" s="121">
        <f>Participantes!A2</f>
        <v>1</v>
      </c>
      <c r="B16" s="131">
        <f>IF(ROW()=2,1,IF(H16=H15,B15,B15+1))</f>
        <v>9</v>
      </c>
      <c r="C16" s="155" t="str">
        <f>Participantes!B2</f>
        <v>Luis Medica</v>
      </c>
      <c r="D16" s="151">
        <f>+A!Z5+B!Z5+'C'!Z5+D!Z5+E!Z5+F!Z5+(1)*0</f>
        <v>23</v>
      </c>
      <c r="E16" s="151">
        <f>A!AB5+B!AB5+'C'!AB5+D!AB5+(E!AB5+F!AB5)*0</f>
        <v>24</v>
      </c>
      <c r="F16" s="151">
        <f>A!AD5+B!AD5+'C'!AD5+D!AD5+(E!AD5+F!AD5)*0</f>
        <v>0</v>
      </c>
      <c r="G16" s="151">
        <f>A!AF5+B!AF5+'C'!AF5+D!AF5+(E!AF5+F!AF5)*0</f>
        <v>6</v>
      </c>
      <c r="H16" s="137">
        <f>D16+E16+F16+G16</f>
        <v>53</v>
      </c>
      <c r="I16" s="151">
        <f>$H$2-H16</f>
        <v>23</v>
      </c>
      <c r="BJ16" s="138" t="e">
        <f>B!Z11+A!Z11+'C'!Z11+D!Z11+E!Z11+F!Z11+#REF!+#REF!</f>
        <v>#REF!</v>
      </c>
    </row>
    <row r="17" spans="1:62">
      <c r="A17" s="121">
        <f>Participantes!A6</f>
        <v>5</v>
      </c>
      <c r="B17" s="131">
        <f>IF(ROW()=2,1,IF(H17=H16,B16,B16+1))</f>
        <v>9</v>
      </c>
      <c r="C17" s="155" t="str">
        <f>Participantes!B6</f>
        <v>Carlos Medina</v>
      </c>
      <c r="D17" s="151">
        <f>+A!Z9+B!Z9+'C'!Z9+D!Z9+E!Z9+F!Z9+(1)*0</f>
        <v>20</v>
      </c>
      <c r="E17" s="151">
        <f>A!AB9+B!AB9+'C'!AB9+D!AB9+(E!AB9+F!AB9)*0</f>
        <v>24</v>
      </c>
      <c r="F17" s="151">
        <f>A!AD9+B!AD9+'C'!AD9+D!AD9+(E!AD9+F!AD9)*0</f>
        <v>6</v>
      </c>
      <c r="G17" s="151">
        <f>A!AF9+B!AF9+'C'!AF9+D!AF9+(E!AF9+F!AF9)*0</f>
        <v>3</v>
      </c>
      <c r="H17" s="137">
        <f>D17+E17+F17+G17</f>
        <v>53</v>
      </c>
      <c r="I17" s="151">
        <f>$H$2-H17</f>
        <v>23</v>
      </c>
      <c r="BJ17" s="138" t="e">
        <f>B!Z8+A!Z8+'C'!Z8+D!Z8+E!Z8+F!Z8+#REF!+#REF!</f>
        <v>#REF!</v>
      </c>
    </row>
    <row r="18" spans="1:62">
      <c r="A18" s="121">
        <f>Participantes!A23</f>
        <v>22</v>
      </c>
      <c r="B18" s="131">
        <f>IF(ROW()=2,1,IF(H18=H17,B17,B17+1))</f>
        <v>10</v>
      </c>
      <c r="C18" s="155" t="str">
        <f>Participantes!B23</f>
        <v>Jose Caballero 1</v>
      </c>
      <c r="D18" s="151">
        <f>+A!Z26+B!Z26+'C'!Z26+D!Z26+E!Z26+F!Z26+(1)*0</f>
        <v>19</v>
      </c>
      <c r="E18" s="151">
        <f>A!AB26+B!AB26+'C'!AB26+D!AB26+(E!AB26+F!AB26)*0</f>
        <v>18</v>
      </c>
      <c r="F18" s="151">
        <f>A!AD26+B!AD26+'C'!AD26+D!AD26+(E!AD26+F!AD26)*0</f>
        <v>9</v>
      </c>
      <c r="G18" s="151">
        <f>A!AF26+B!AF26+'C'!AF26+D!AF26+(E!AF26+F!AF26)*0</f>
        <v>6</v>
      </c>
      <c r="H18" s="137">
        <f>D18+E18+F18+G18</f>
        <v>52</v>
      </c>
      <c r="I18" s="151">
        <f>$H$2-H18</f>
        <v>24</v>
      </c>
      <c r="BJ18" s="138" t="e">
        <f>B!Z13+A!Z13+'C'!Z13+D!Z13+E!Z13+F!Z13+#REF!+#REF!</f>
        <v>#REF!</v>
      </c>
    </row>
    <row r="19" spans="1:62">
      <c r="A19" s="121">
        <f>Participantes!A16</f>
        <v>15</v>
      </c>
      <c r="B19" s="131">
        <f>IF(ROW()=2,1,IF(H19=H18,B18,B18+1))</f>
        <v>10</v>
      </c>
      <c r="C19" s="155" t="str">
        <f>Participantes!B16</f>
        <v>Mileny Acosta</v>
      </c>
      <c r="D19" s="151">
        <f>+A!Z19+B!Z19+'C'!Z19+D!Z19+E!Z19+F!Z19+(1)*0</f>
        <v>22</v>
      </c>
      <c r="E19" s="151">
        <f>A!AB19+B!AB19+'C'!AB19+D!AB19+(E!AB19+F!AB19)*0</f>
        <v>12</v>
      </c>
      <c r="F19" s="151">
        <f>A!AD19+B!AD19+'C'!AD19+D!AD19+(E!AD19+F!AD19)*0</f>
        <v>15</v>
      </c>
      <c r="G19" s="151">
        <f>A!AF19+B!AF19+'C'!AF19+D!AF19+(E!AF19+F!AF19)*0</f>
        <v>3</v>
      </c>
      <c r="H19" s="137">
        <f>D19+E19+F19+G19</f>
        <v>52</v>
      </c>
      <c r="I19" s="151">
        <f>$H$2-H19</f>
        <v>24</v>
      </c>
      <c r="BJ19" s="138" t="e">
        <f>B!Z6+A!Z6+'C'!Z6+D!Z6+E!Z6+F!Z6+#REF!+#REF!</f>
        <v>#REF!</v>
      </c>
    </row>
    <row r="20" spans="1:62">
      <c r="A20" s="121">
        <f>Participantes!A5</f>
        <v>4</v>
      </c>
      <c r="B20" s="131">
        <f>IF(ROW()=2,1,IF(H20=H19,B19,B19+1))</f>
        <v>11</v>
      </c>
      <c r="C20" s="155" t="str">
        <f>Participantes!B5</f>
        <v>Rodrigo Palavicini</v>
      </c>
      <c r="D20" s="151">
        <f>+A!Z8+B!Z8+'C'!Z8+D!Z8+E!Z8+F!Z8+(1)*0</f>
        <v>24</v>
      </c>
      <c r="E20" s="151">
        <f>A!AB8+B!AB8+'C'!AB8+D!AB8+(E!AB8+F!AB8)*0</f>
        <v>18</v>
      </c>
      <c r="F20" s="151">
        <f>A!AD8+B!AD8+'C'!AD8+D!AD8+(E!AD8+F!AD8)*0</f>
        <v>3</v>
      </c>
      <c r="G20" s="151">
        <f>A!AF8+B!AF8+'C'!AF8+D!AF8+(E!AF8+F!AF8)*0</f>
        <v>6</v>
      </c>
      <c r="H20" s="137">
        <f>D20+E20+F20+G20</f>
        <v>51</v>
      </c>
      <c r="I20" s="151">
        <f>$H$2-H20</f>
        <v>25</v>
      </c>
      <c r="BJ20" s="138" t="e">
        <f>B!Z5+A!Z5+'C'!Z5+D!Z5+E!Z5+F!Z5+#REF!+#REF!</f>
        <v>#REF!</v>
      </c>
    </row>
    <row r="21" spans="1:62">
      <c r="A21" s="121">
        <f>Participantes!A3</f>
        <v>2</v>
      </c>
      <c r="B21" s="131">
        <f>IF(ROW()=2,1,IF(H21=H20,B20,B20+1))</f>
        <v>12</v>
      </c>
      <c r="C21" s="155" t="str">
        <f>Participantes!B3</f>
        <v>Isaac Solanilla</v>
      </c>
      <c r="D21" s="151">
        <f>+A!Z6+B!Z6+'C'!Z6+D!Z6+E!Z6+F!Z6+(1)*0</f>
        <v>23</v>
      </c>
      <c r="E21" s="151">
        <f>A!AB6+B!AB6+'C'!AB6+D!AB6+(E!AB6+F!AB6)*0</f>
        <v>18</v>
      </c>
      <c r="F21" s="151">
        <f>A!AD6+B!AD6+'C'!AD6+D!AD6+(E!AD6+F!AD6)*0</f>
        <v>3</v>
      </c>
      <c r="G21" s="151">
        <f>A!AF6+B!AF6+'C'!AF6+D!AF6+(E!AF6+F!AF6)*0</f>
        <v>6</v>
      </c>
      <c r="H21" s="137">
        <f>D21+E21+F21+G21</f>
        <v>50</v>
      </c>
      <c r="I21" s="151">
        <f>$H$2-H21</f>
        <v>26</v>
      </c>
      <c r="BJ21" s="138" t="e">
        <f>B!Z10+A!Z10+'C'!Z10+D!Z10+E!Z10+F!Z10+#REF!+#REF!</f>
        <v>#REF!</v>
      </c>
    </row>
    <row r="22" spans="1:62">
      <c r="A22" s="121">
        <f>Participantes!A24</f>
        <v>23</v>
      </c>
      <c r="B22" s="131">
        <f>IF(ROW()=2,1,IF(H22=H21,B21,B21+1))</f>
        <v>13</v>
      </c>
      <c r="C22" s="155" t="str">
        <f>Participantes!B24</f>
        <v>Jose Caballero 2(Betito)</v>
      </c>
      <c r="D22" s="151">
        <f>+A!Z27+B!Z27+'C'!Z27+D!Z27+E!Z27+F!Z27+(1)*0</f>
        <v>21</v>
      </c>
      <c r="E22" s="151">
        <f>A!AB27+B!AB27+'C'!AB27+D!AB27+(E!AB27+F!AB27)*0</f>
        <v>18</v>
      </c>
      <c r="F22" s="151">
        <f>A!AD27+B!AD27+'C'!AD27+D!AD27+(E!AD27+F!AD27)*0</f>
        <v>3</v>
      </c>
      <c r="G22" s="151">
        <f>A!AF27+B!AF27+'C'!AF27+D!AF27+(E!AF27+F!AF27)*0</f>
        <v>6</v>
      </c>
      <c r="H22" s="137">
        <f>D22+E22+F22+G22</f>
        <v>48</v>
      </c>
      <c r="I22" s="151">
        <f>$H$2-H22</f>
        <v>28</v>
      </c>
      <c r="BJ22" s="138" t="e">
        <f>B!Z19+A!Z19+'C'!Z19+D!Z19+E!Z19+F!Z19+#REF!+#REF!</f>
        <v>#REF!</v>
      </c>
    </row>
    <row r="23" spans="1:62">
      <c r="A23" s="121">
        <f>Participantes!A8</f>
        <v>7</v>
      </c>
      <c r="B23" s="131">
        <f>IF(ROW()=2,1,IF(H23=H22,B22,B22+1))</f>
        <v>14</v>
      </c>
      <c r="C23" s="155" t="str">
        <f>Participantes!B8</f>
        <v>Carlos Quiel</v>
      </c>
      <c r="D23" s="151">
        <f>+A!Z11+B!Z11+'C'!Z11+D!Z11+E!Z11+F!Z11+(1)*0</f>
        <v>14</v>
      </c>
      <c r="E23" s="151">
        <f>A!AB11+B!AB11+'C'!AB11+D!AB11+(E!AB11+F!AB11)*0</f>
        <v>18</v>
      </c>
      <c r="F23" s="151">
        <f>A!AD11+B!AD11+'C'!AD11+D!AD11+(E!AD11+F!AD11)*0</f>
        <v>3</v>
      </c>
      <c r="G23" s="151">
        <f>A!AF11+B!AF11+'C'!AF11+D!AF11+(E!AF11+F!AF11)*0</f>
        <v>3</v>
      </c>
      <c r="H23" s="137">
        <f>D23+E23+F23+G23</f>
        <v>38</v>
      </c>
      <c r="I23" s="151">
        <f>$H$2-H23</f>
        <v>38</v>
      </c>
      <c r="BJ23" s="138" t="e">
        <f>B!Z21+A!Z21+'C'!Z21+D!Z21+E!Z21+F!Z21+#REF!+#REF!</f>
        <v>#REF!</v>
      </c>
    </row>
    <row r="24" spans="1:62">
      <c r="A24" s="121">
        <f>Participantes!A22</f>
        <v>21</v>
      </c>
      <c r="B24" s="131">
        <f>IF(ROW()=2,1,IF(H24=H23,B23,B23+1))</f>
        <v>15</v>
      </c>
      <c r="C24" s="155" t="str">
        <f>Participantes!B22</f>
        <v>Antonio Barahona</v>
      </c>
      <c r="D24" s="151">
        <f>+A!Z25+B!Z25+'C'!Z25+D!Z25+E!Z25+F!Z25+(1)*0</f>
        <v>12</v>
      </c>
      <c r="E24" s="151">
        <f>A!AB25+B!AB25+'C'!AB25+D!AB25+(E!AB25+F!AB25)*0</f>
        <v>12</v>
      </c>
      <c r="F24" s="151">
        <f>A!AD25+B!AD25+'C'!AD25+D!AD25+(E!AD25+F!AD25)*0</f>
        <v>12</v>
      </c>
      <c r="G24" s="151">
        <f>A!AF25+B!AF25+'C'!AF25+D!AF25+(E!AF25+F!AF25)*0</f>
        <v>0</v>
      </c>
      <c r="H24" s="137">
        <f>D24+E24+F24+G24</f>
        <v>36</v>
      </c>
      <c r="I24" s="151">
        <f>$H$2-H24</f>
        <v>40</v>
      </c>
      <c r="BJ24" s="138" t="e">
        <f>B!Z18+A!Z18+'C'!Z18+D!Z18+E!Z18+F!Z18+#REF!+#REF!</f>
        <v>#REF!</v>
      </c>
    </row>
    <row r="26" spans="1:62">
      <c r="A26" s="134"/>
      <c r="B26" s="134"/>
      <c r="C26" s="139">
        <f ca="1">NOW()</f>
        <v>44369.594881249999</v>
      </c>
      <c r="G26" s="139"/>
      <c r="H26" s="134"/>
    </row>
    <row r="28" spans="1:62" ht="28.5" hidden="1">
      <c r="A28" s="204" t="s">
        <v>410</v>
      </c>
      <c r="B28" s="204"/>
      <c r="C28" s="204"/>
      <c r="D28" s="204"/>
      <c r="E28" s="204"/>
      <c r="F28" s="204"/>
      <c r="G28" s="204"/>
      <c r="H28" s="204"/>
    </row>
    <row r="29" spans="1:62" ht="15.75" thickBot="1"/>
    <row r="30" spans="1:62" ht="18.75" hidden="1">
      <c r="C30" s="140" t="s">
        <v>411</v>
      </c>
      <c r="D30" s="140"/>
      <c r="E30" s="140"/>
      <c r="F30" s="140"/>
      <c r="G30" s="140"/>
    </row>
    <row r="31" spans="1:62" ht="36" customHeight="1">
      <c r="D31" s="157"/>
      <c r="E31" s="158" t="s">
        <v>435</v>
      </c>
      <c r="F31" s="159" t="s">
        <v>434</v>
      </c>
    </row>
    <row r="32" spans="1:62" ht="15.75" thickBot="1">
      <c r="D32" s="160" t="s">
        <v>433</v>
      </c>
      <c r="E32" s="161">
        <v>6</v>
      </c>
      <c r="F32" s="162">
        <f>E32*3</f>
        <v>18</v>
      </c>
    </row>
  </sheetData>
  <sortState xmlns:xlrd2="http://schemas.microsoft.com/office/spreadsheetml/2017/richdata2" ref="A2:I24">
    <sortCondition descending="1" ref="H2:H24"/>
  </sortState>
  <mergeCells count="1">
    <mergeCell ref="A28:H28"/>
  </mergeCells>
  <phoneticPr fontId="17" type="noConversion"/>
  <hyperlinks>
    <hyperlink ref="C30" r:id="rId1" xr:uid="{00000000-0004-0000-00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7"/>
  <sheetViews>
    <sheetView zoomScale="80" zoomScaleNormal="80" workbookViewId="0">
      <pane xSplit="1" topLeftCell="X1" activePane="topRight" state="frozen"/>
      <selection pane="topRight" activeCell="AE5" sqref="AE5"/>
    </sheetView>
  </sheetViews>
  <sheetFormatPr baseColWidth="10" defaultRowHeight="15"/>
  <cols>
    <col min="1" max="1" width="25.28515625" style="119" customWidth="1"/>
    <col min="2" max="2" width="10.5703125" style="119" customWidth="1"/>
    <col min="3" max="3" width="8.7109375" style="119" customWidth="1"/>
    <col min="4" max="4" width="5.85546875" style="133" customWidth="1"/>
    <col min="5" max="5" width="0.5703125" style="135" customWidth="1"/>
    <col min="6" max="7" width="8.7109375" style="135" customWidth="1"/>
    <col min="8" max="8" width="5.85546875" style="135" customWidth="1"/>
    <col min="9" max="9" width="0.5703125" style="135" customWidth="1"/>
    <col min="10" max="11" width="8.7109375" style="135" customWidth="1"/>
    <col min="12" max="12" width="5.85546875" style="135" customWidth="1"/>
    <col min="13" max="13" width="0.5703125" style="135" customWidth="1"/>
    <col min="14" max="14" width="8.7109375" style="135" customWidth="1"/>
    <col min="15" max="15" width="10.7109375" style="135" customWidth="1"/>
    <col min="16" max="16" width="5.85546875" style="135" customWidth="1"/>
    <col min="17" max="17" width="0.5703125" style="135" customWidth="1"/>
    <col min="18" max="19" width="8.7109375" style="135" customWidth="1"/>
    <col min="20" max="20" width="5.85546875" style="135" customWidth="1"/>
    <col min="21" max="21" width="0.5703125" style="135" customWidth="1"/>
    <col min="22" max="22" width="8.7109375" style="135" customWidth="1"/>
    <col min="23" max="23" width="11.42578125" style="135" customWidth="1"/>
    <col min="24" max="24" width="5.85546875" style="135" customWidth="1"/>
    <col min="25" max="25" width="0.5703125" style="135" customWidth="1"/>
    <col min="26" max="26" width="11.42578125" style="119"/>
    <col min="27" max="30" width="11.42578125" style="113"/>
    <col min="31" max="32" width="11.42578125" style="119"/>
    <col min="33" max="33" width="11.42578125" style="113"/>
    <col min="34" max="45" width="11.42578125" style="113" customWidth="1"/>
    <col min="46" max="16384" width="11.42578125" style="113"/>
  </cols>
  <sheetData>
    <row r="1" spans="1:49">
      <c r="B1" s="205">
        <v>1</v>
      </c>
      <c r="C1" s="205"/>
      <c r="D1" s="205"/>
      <c r="E1" s="120"/>
      <c r="F1" s="205">
        <v>2</v>
      </c>
      <c r="G1" s="205"/>
      <c r="H1" s="205"/>
      <c r="I1" s="120"/>
      <c r="J1" s="205">
        <v>3</v>
      </c>
      <c r="K1" s="205"/>
      <c r="L1" s="205"/>
      <c r="M1" s="120"/>
      <c r="N1" s="205">
        <v>4</v>
      </c>
      <c r="O1" s="205"/>
      <c r="P1" s="205"/>
      <c r="Q1" s="120"/>
      <c r="R1" s="205">
        <v>5</v>
      </c>
      <c r="S1" s="205"/>
      <c r="T1" s="205"/>
      <c r="U1" s="120"/>
      <c r="V1" s="205">
        <v>6</v>
      </c>
      <c r="W1" s="205"/>
      <c r="X1" s="205"/>
      <c r="Y1" s="120"/>
      <c r="Z1" s="121"/>
      <c r="AA1" s="121"/>
      <c r="AB1" s="148"/>
      <c r="AC1" s="121"/>
      <c r="AD1" s="148"/>
      <c r="AE1" s="121"/>
      <c r="AF1" s="134"/>
    </row>
    <row r="2" spans="1:49" ht="30.75" customHeight="1">
      <c r="A2" s="122"/>
      <c r="B2" s="123" t="str">
        <f>'H1'!$D5</f>
        <v>Italia</v>
      </c>
      <c r="C2" s="123" t="str">
        <f>'H1'!$F5</f>
        <v>Turquía</v>
      </c>
      <c r="D2" s="208" t="s">
        <v>1</v>
      </c>
      <c r="E2" s="124"/>
      <c r="F2" s="123" t="str">
        <f>'H1'!D6</f>
        <v>Gales</v>
      </c>
      <c r="G2" s="123" t="str">
        <f>'H1'!F6</f>
        <v>Suiza</v>
      </c>
      <c r="H2" s="208" t="s">
        <v>1</v>
      </c>
      <c r="I2" s="124"/>
      <c r="J2" s="123" t="str">
        <f>'H1'!$D7</f>
        <v>Turquía</v>
      </c>
      <c r="K2" s="123" t="str">
        <f>'H1'!$F7</f>
        <v>Gales</v>
      </c>
      <c r="L2" s="208" t="s">
        <v>1</v>
      </c>
      <c r="M2" s="124"/>
      <c r="N2" s="123" t="str">
        <f>'H1'!$D8</f>
        <v>Suiza</v>
      </c>
      <c r="O2" s="123" t="str">
        <f>'H1'!$F8</f>
        <v>Italia</v>
      </c>
      <c r="P2" s="208" t="s">
        <v>1</v>
      </c>
      <c r="Q2" s="124"/>
      <c r="R2" s="123" t="str">
        <f>'H1'!$D9</f>
        <v>Turquía</v>
      </c>
      <c r="S2" s="123" t="str">
        <f>'H1'!$F9</f>
        <v>Suiza</v>
      </c>
      <c r="T2" s="210" t="s">
        <v>1</v>
      </c>
      <c r="U2" s="124"/>
      <c r="V2" s="123" t="str">
        <f>'H1'!$D10</f>
        <v>Gales</v>
      </c>
      <c r="W2" s="123" t="str">
        <f>'H1'!$F10</f>
        <v>Italia</v>
      </c>
      <c r="X2" s="208" t="s">
        <v>1</v>
      </c>
      <c r="Y2" s="124"/>
      <c r="Z2" s="206" t="s">
        <v>400</v>
      </c>
      <c r="AA2" s="125" t="s">
        <v>401</v>
      </c>
      <c r="AB2" s="149"/>
      <c r="AC2" s="125" t="s">
        <v>402</v>
      </c>
      <c r="AD2" s="149"/>
      <c r="AE2" s="125" t="s">
        <v>412</v>
      </c>
      <c r="AF2" s="149"/>
      <c r="AG2" s="206" t="s">
        <v>403</v>
      </c>
      <c r="AJ2" s="113" t="str">
        <f>B2</f>
        <v>Italia</v>
      </c>
      <c r="AK2" s="113" t="str">
        <f>C2</f>
        <v>Turquía</v>
      </c>
      <c r="AL2" s="113" t="str">
        <f>F2</f>
        <v>Gales</v>
      </c>
      <c r="AM2" s="113" t="str">
        <f>G2</f>
        <v>Suiza</v>
      </c>
    </row>
    <row r="3" spans="1:49" ht="16.5" customHeight="1">
      <c r="A3" s="123" t="s">
        <v>405</v>
      </c>
      <c r="B3" s="146">
        <f>'H1'!$E5</f>
        <v>3</v>
      </c>
      <c r="C3" s="126">
        <f>'H1'!$G5</f>
        <v>0</v>
      </c>
      <c r="D3" s="209"/>
      <c r="E3" s="124"/>
      <c r="F3" s="126">
        <f>'H1'!$E6</f>
        <v>1</v>
      </c>
      <c r="G3" s="126">
        <f>'H1'!$G6</f>
        <v>1</v>
      </c>
      <c r="H3" s="209"/>
      <c r="I3" s="124"/>
      <c r="J3" s="126">
        <f>'H1'!$E7</f>
        <v>0</v>
      </c>
      <c r="K3" s="126">
        <f>'H1'!$G7</f>
        <v>2</v>
      </c>
      <c r="L3" s="209"/>
      <c r="M3" s="124"/>
      <c r="N3" s="126">
        <f>'H1'!$E8</f>
        <v>0</v>
      </c>
      <c r="O3" s="126">
        <f>'H1'!$G8</f>
        <v>3</v>
      </c>
      <c r="P3" s="209"/>
      <c r="Q3" s="124"/>
      <c r="R3" s="126">
        <f>'H1'!$E9</f>
        <v>1</v>
      </c>
      <c r="S3" s="126">
        <f>'H1'!$G9</f>
        <v>3</v>
      </c>
      <c r="T3" s="211"/>
      <c r="U3" s="124"/>
      <c r="V3" s="126">
        <f>'H1'!$E10</f>
        <v>0</v>
      </c>
      <c r="W3" s="126">
        <f>'H1'!$G10</f>
        <v>1</v>
      </c>
      <c r="X3" s="209"/>
      <c r="Y3" s="124"/>
      <c r="Z3" s="207"/>
      <c r="AA3" s="127" t="str">
        <f>IF('H1'!S9="1A","",'H1'!S9)</f>
        <v>Italia</v>
      </c>
      <c r="AB3" s="127"/>
      <c r="AC3" s="127" t="str">
        <f>IF('H1'!S6="2A","",'H1'!S6)</f>
        <v>Gales</v>
      </c>
      <c r="AD3" s="127"/>
      <c r="AE3" s="127" t="s">
        <v>437</v>
      </c>
      <c r="AF3" s="163"/>
      <c r="AG3" s="207"/>
    </row>
    <row r="4" spans="1:49" ht="3.75" customHeight="1">
      <c r="A4" s="128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</row>
    <row r="5" spans="1:49">
      <c r="A5" s="129" t="str">
        <f>Participantes!B2</f>
        <v>Luis Medica</v>
      </c>
      <c r="B5" s="150">
        <v>1</v>
      </c>
      <c r="C5" s="150">
        <v>1</v>
      </c>
      <c r="D5" s="150">
        <f>IF(AND($B5=$B$3, $C5=$C$3),3,IF(AND($B$3&gt;$C$3, $B5&gt;$C5),1,IF(AND($C5&gt;B5, $C$3&gt;$B$3), 1, IF(AND($B$3=$C$3, $B5=$C5),1,0))))*IF($B$3="",0,1)</f>
        <v>0</v>
      </c>
      <c r="E5" s="150"/>
      <c r="F5" s="150">
        <v>0</v>
      </c>
      <c r="G5" s="150">
        <v>0</v>
      </c>
      <c r="H5" s="150">
        <f>IF(AND($F5=$F$3, $G5=$G$3),3,IF(AND($F$3&gt;$G$3, $F5&gt;$G5),1,IF(AND($G5&gt;F5, $G$3&gt;$F$3), 1, IF(AND($F$3=$G$3, $F5=$G5),1,0))))*IF($F$3="",0,1)</f>
        <v>1</v>
      </c>
      <c r="I5" s="120"/>
      <c r="J5" s="150">
        <v>2</v>
      </c>
      <c r="K5" s="150">
        <v>1</v>
      </c>
      <c r="L5" s="150">
        <f>IF(AND($J5=$J$3, $K5=$K$3),3,IF(AND($J$3&gt;$K$3, $J5&gt;$K5),1,IF(AND($K5&gt;J5, $K$3&gt;$J$3), 1, IF(AND($J$3=$K$3, $J5=$K5),1,0))))*IF($J$3="",0,1)</f>
        <v>0</v>
      </c>
      <c r="M5" s="120"/>
      <c r="N5" s="150">
        <v>0</v>
      </c>
      <c r="O5" s="150">
        <v>2</v>
      </c>
      <c r="P5" s="150">
        <f>IF(AND($N5=$N$3, $O5=$O$3),3,IF(AND($N$3&gt;$O$3, $N5&gt;$O5),1,IF(AND($O5&gt;N5, $O$3&gt;$N$3), 1, IF(AND($N$3=$O$3, $N5=$O5),1,0))))*IF($N$3="",0,1)</f>
        <v>1</v>
      </c>
      <c r="Q5" s="120"/>
      <c r="R5" s="150">
        <v>2</v>
      </c>
      <c r="S5" s="150">
        <v>2</v>
      </c>
      <c r="T5" s="150">
        <f>IF(AND($R5=$R$3, $S5=$S$3),3,IF(AND($R$3&gt;$S$3, $R5&gt;$S5),1,IF(AND($S5&gt;R5, $S$3&gt;$R$3), 1, IF(AND($R$3=$S$3, $R5=$S5),1,0))))*IF($R$3="",0,1)</f>
        <v>0</v>
      </c>
      <c r="U5" s="150"/>
      <c r="V5" s="150">
        <v>0</v>
      </c>
      <c r="W5" s="150">
        <v>1</v>
      </c>
      <c r="X5" s="150">
        <f>IF(AND($V5=$V$3, $W5=$W$3),3,IF(AND($V$3&gt;$W$3, $V5&gt;$W5),1,IF(AND($W5&gt;V5, $W$3&gt;$V$3), 1, IF(AND($V$3=$W$3, $V5=$W5),1,0))))*IF($V$3="",0,1)</f>
        <v>3</v>
      </c>
      <c r="Y5" s="120"/>
      <c r="Z5" s="121">
        <f>D5+H5+L5+P5+T5+X5</f>
        <v>5</v>
      </c>
      <c r="AA5" s="164" t="str">
        <f t="shared" ref="AA5:AA27" si="0">CONCATENATE(IF(AR5&gt;2,"***",""),IF(AN5=1,$AJ$2,IF(AO5=1,$AK$2,IF(AP5=1,$AL$2,IF(AQ5=1,$AM$2,"error")))))</f>
        <v>Italia</v>
      </c>
      <c r="AB5" s="164">
        <f>IF($AA$3=AA5,6,0)+IF($AC$3=AA5,3,0)+IF(AA5=$AE$3,3,0)</f>
        <v>6</v>
      </c>
      <c r="AC5" s="164" t="str">
        <f t="shared" ref="AC5:AC27" si="1">CONCATENATE(IF(AS5&gt;1,"**",""),IF(AN5=2,$AJ$2,IF(AO5=2,$AK$2,IF(AP5=2,$AL$2,IF(AQ5=2,$AM$2,CONCATENATE(IF(AS5&gt;1,"*",""),"*",IF(AQ5=1,$AM$2,IF(AP5=1,$AL$2,$AK$2))))))))</f>
        <v>Turquía</v>
      </c>
      <c r="AD5" s="164">
        <f>IF($AA$3=AC5,3,0)+IF($AC$3=AC5,6,0)+IF(AC5=$AE$3,3,0)</f>
        <v>0</v>
      </c>
      <c r="AE5" s="156" t="str">
        <f>Terceros!B6</f>
        <v/>
      </c>
      <c r="AF5" s="116">
        <f>IF($AA$3=AE5,3,0)+IF($AC$3=AE5,3,0)+IF(AE5=$AE$3,6,0)</f>
        <v>0</v>
      </c>
      <c r="AG5" s="121">
        <f>Z5+(AB5+AD5+AF5)*IF(AA3="",0,1)</f>
        <v>11</v>
      </c>
      <c r="AJ5" s="113">
        <f>IF(B5&gt;C5,3,IF(B5=C5,1,0))+IF(O5&gt;N5,3,IF(O5=N5,1,0))+IF(W5&gt;V5,3,IF(W5=V5,1,0))+(B5+O5+W5)*0.001+(B5+O5+W5-C5-N5-V5)*0.01+0.5</f>
        <v>7.5339999999999998</v>
      </c>
      <c r="AK5" s="113">
        <f>IF(C5&gt;B5,3,IF(C5=B5,1,0))+IF(J5&gt;K5,3,IF(J5=K5,1,0))+IF(R5&gt;S5,3,IF(R5=S5,1,0))+(C5+J5+R5)*0.001+(C5+J5+R5-B5-K5-S5)*0.01+0.5</f>
        <v>5.5149999999999997</v>
      </c>
      <c r="AL5" s="113">
        <f>IF(F5&gt;G5,3,IF(F5=G5,1,0))+IF(K5&gt;J5,3,IF(K5=J5,1,0))+IF(V5&gt;W5,3,IF(V5=W5,1,0))+(F5+K5+V5)*0.001+(F5+K5+V5-G5-J5-W5)*0.01+0.5</f>
        <v>1.4809999999999999</v>
      </c>
      <c r="AM5" s="113">
        <f>IF(G5&gt;F5,3,IF(G5=F5,1,0))+IF(N5&gt;O5,3,IF(N5=O5,1,0))+IF(S5&gt;R5,3,IF(S5=R5,1,0))+(G5+N5+S5)*0.001+(G5+N5+S5-F5-O5-R5)*0.01+0.5</f>
        <v>2.4819999999999998</v>
      </c>
      <c r="AN5" s="113">
        <f t="shared" ref="AN5:AN27" si="2">_xlfn.RANK.EQ(AJ5,$AJ5:$AM5,0)</f>
        <v>1</v>
      </c>
      <c r="AO5" s="113">
        <f t="shared" ref="AO5:AO27" si="3">_xlfn.RANK.EQ(AK5,$AJ5:$AM5,0)</f>
        <v>2</v>
      </c>
      <c r="AP5" s="113">
        <f t="shared" ref="AP5:AP27" si="4">_xlfn.RANK.EQ(AL5,$AJ5:$AM5,0)</f>
        <v>4</v>
      </c>
      <c r="AQ5" s="113">
        <f>_xlfn.RANK.EQ(AM5,$AJ5:$AM5,0)</f>
        <v>3</v>
      </c>
      <c r="AR5" s="113">
        <f>COUNTIF(AN5:AQ5,1)</f>
        <v>1</v>
      </c>
      <c r="AS5" s="113">
        <f>COUNTIF(AN5:AQ5,2)</f>
        <v>1</v>
      </c>
    </row>
    <row r="6" spans="1:49">
      <c r="A6" s="129" t="str">
        <f>Participantes!B3</f>
        <v>Isaac Solanilla</v>
      </c>
      <c r="B6" s="150">
        <v>1</v>
      </c>
      <c r="C6" s="150">
        <v>0</v>
      </c>
      <c r="D6" s="150">
        <f t="shared" ref="D6:D27" si="5">IF(AND($B6=$B$3, $C6=$C$3),3,IF(AND($B$3&gt;$C$3, $B6&gt;$C6),1,IF(AND($C6&gt;B6, $C$3&gt;$B$3), 1, IF(AND($B$3=$C$3, $B6=$C6),1,0))))*IF($B$3="",0,1)</f>
        <v>1</v>
      </c>
      <c r="E6" s="150"/>
      <c r="F6" s="150">
        <v>1</v>
      </c>
      <c r="G6" s="150">
        <v>1</v>
      </c>
      <c r="H6" s="150">
        <f t="shared" ref="H6:H27" si="6">IF(AND($F6=$F$3, $G6=$G$3),3,IF(AND($F$3&gt;$G$3, $F6&gt;$G6),1,IF(AND($G6&gt;F6, $G$3&gt;$F$3), 1, IF(AND($F$3=$G$3, $F6=$G6),1,0))))*IF($F$3="",0,1)</f>
        <v>3</v>
      </c>
      <c r="I6" s="120"/>
      <c r="J6" s="150">
        <v>2</v>
      </c>
      <c r="K6" s="150">
        <v>1</v>
      </c>
      <c r="L6" s="150">
        <f t="shared" ref="L6:L27" si="7">IF(AND($J6=$J$3, $K6=$K$3),3,IF(AND($J$3&gt;$K$3, $J6&gt;$K6),1,IF(AND($K6&gt;J6, $K$3&gt;$J$3), 1, IF(AND($J$3=$K$3, $J6=$K6),1,0))))*IF($J$3="",0,1)</f>
        <v>0</v>
      </c>
      <c r="M6" s="120"/>
      <c r="N6" s="150">
        <v>1</v>
      </c>
      <c r="O6" s="150">
        <v>2</v>
      </c>
      <c r="P6" s="150">
        <f t="shared" ref="P6:P27" si="8">IF(AND($N6=$N$3, $O6=$O$3),3,IF(AND($N$3&gt;$O$3, $N6&gt;$O6),1,IF(AND($O6&gt;N6, $O$3&gt;$N$3), 1, IF(AND($N$3=$O$3, $N6=$O6),1,0))))*IF($N$3="",0,1)</f>
        <v>1</v>
      </c>
      <c r="Q6" s="120"/>
      <c r="R6" s="150">
        <v>2</v>
      </c>
      <c r="S6" s="150">
        <v>1</v>
      </c>
      <c r="T6" s="150">
        <f t="shared" ref="T6:T27" si="9">IF(AND($R6=$R$3, $S6=$S$3),3,IF(AND($R$3&gt;$S$3, $R6&gt;$S6),1,IF(AND($S6&gt;R6, $S$3&gt;$R$3), 1, IF(AND($R$3=$S$3, $R6=$S6),1,0))))*IF($R$3="",0,1)</f>
        <v>0</v>
      </c>
      <c r="U6" s="150"/>
      <c r="V6" s="150">
        <v>1</v>
      </c>
      <c r="W6" s="150">
        <v>1</v>
      </c>
      <c r="X6" s="150">
        <f t="shared" ref="X6:X27" si="10">IF(AND($V6=$V$3, $W6=$W$3),3,IF(AND($V$3&gt;$W$3, $V6&gt;$W6),1,IF(AND($W6&gt;V6, $W$3&gt;$V$3), 1, IF(AND($V$3=$W$3, $V6=$W6),1,0))))*IF($V$3="",0,1)</f>
        <v>0</v>
      </c>
      <c r="Y6" s="120"/>
      <c r="Z6" s="121">
        <f t="shared" ref="Z6:Z27" si="11">D6+H6+L6+P6+T6+X6</f>
        <v>5</v>
      </c>
      <c r="AA6" s="164" t="str">
        <f t="shared" si="0"/>
        <v>Italia</v>
      </c>
      <c r="AB6" s="164">
        <f t="shared" ref="AB6:AB27" si="12">IF($AA$3=AA6,6,0)+IF($AC$3=AA6,3,0)+IF(AA6=$AE$3,3,0)</f>
        <v>6</v>
      </c>
      <c r="AC6" s="164" t="str">
        <f t="shared" si="1"/>
        <v>Turquía</v>
      </c>
      <c r="AD6" s="164">
        <f t="shared" ref="AD6:AD27" si="13">IF($AA$3=AC6,3,0)+IF($AC$3=AC6,6,0)+IF(AC6=$AE$3,3,0)</f>
        <v>0</v>
      </c>
      <c r="AE6" s="156" t="str">
        <f>Terceros!B7</f>
        <v/>
      </c>
      <c r="AF6" s="116">
        <f t="shared" ref="AF6:AF27" si="14">IF($AA$3=AE6,3,0)+IF($AC$3=AE6,3,0)+IF(AE6=$AE$3,6,0)</f>
        <v>0</v>
      </c>
      <c r="AG6" s="148">
        <f t="shared" ref="AG6:AG27" si="15">Z6+(AB6+AD6+AF6)*IF(AA4="",0,1)</f>
        <v>5</v>
      </c>
      <c r="AJ6" s="113">
        <f t="shared" ref="AJ6:AJ27" si="16">IF(B6&gt;C6,3,IF(B6=C6,1,0))+IF(O6&gt;N6,3,IF(O6=N6,1,0))+IF(W6&gt;V6,3,IF(W6=V6,1,0))+(B6+O6+W6)*0.001+(B6+O6+W6-C6-N6-V6)*0.01+0.5</f>
        <v>7.5239999999999991</v>
      </c>
      <c r="AK6" s="113">
        <f t="shared" ref="AK6:AK27" si="17">IF(C6&gt;B6,3,IF(C6=B6,1,0))+IF(J6&gt;K6,3,IF(J6=K6,1,0))+IF(R6&gt;S6,3,IF(R6=S6,1,0))+(C6+J6+R6)*0.001+(C6+J6+R6-B6-K6-S6)*0.01+0.5</f>
        <v>6.5139999999999993</v>
      </c>
      <c r="AL6" s="113">
        <f t="shared" ref="AL6:AL27" si="18">IF(F6&gt;G6,3,IF(F6=G6,1,0))+IF(K6&gt;J6,3,IF(K6=J6,1,0))+IF(V6&gt;W6,3,IF(V6=W6,1,0))+(F6+K6+V6)*0.001+(F6+K6+V6-G6-J6-W6)*0.01+0.5</f>
        <v>2.4930000000000003</v>
      </c>
      <c r="AM6" s="113">
        <f t="shared" ref="AM6:AM27" si="19">IF(G6&gt;F6,3,IF(G6=F6,1,0))+IF(N6&gt;O6,3,IF(N6=O6,1,0))+IF(S6&gt;R6,3,IF(S6=R6,1,0))+(G6+N6+S6)*0.001+(G6+N6+S6-F6-O6-R6)*0.01+0.5</f>
        <v>1.4829999999999999</v>
      </c>
      <c r="AN6" s="113">
        <f t="shared" si="2"/>
        <v>1</v>
      </c>
      <c r="AO6" s="113">
        <f t="shared" si="3"/>
        <v>2</v>
      </c>
      <c r="AP6" s="113">
        <f t="shared" si="4"/>
        <v>3</v>
      </c>
      <c r="AQ6" s="113">
        <f>_xlfn.RANK.EQ(AM6,$AJ6:$AM6,0)</f>
        <v>4</v>
      </c>
      <c r="AR6" s="113">
        <f t="shared" ref="AR6:AR27" si="20">COUNTIF(AN6:AQ6,1)</f>
        <v>1</v>
      </c>
      <c r="AS6" s="113">
        <f t="shared" ref="AS6:AS27" si="21">COUNTIF(AN6:AQ6,2)</f>
        <v>1</v>
      </c>
    </row>
    <row r="7" spans="1:49">
      <c r="A7" s="129" t="str">
        <f>Participantes!B4</f>
        <v>Andres Corcho</v>
      </c>
      <c r="B7" s="150">
        <v>3</v>
      </c>
      <c r="C7" s="150">
        <v>0</v>
      </c>
      <c r="D7" s="150">
        <f t="shared" si="5"/>
        <v>3</v>
      </c>
      <c r="E7" s="150"/>
      <c r="F7" s="150">
        <v>2</v>
      </c>
      <c r="G7" s="150">
        <v>2</v>
      </c>
      <c r="H7" s="150">
        <f t="shared" si="6"/>
        <v>1</v>
      </c>
      <c r="I7" s="120"/>
      <c r="J7" s="150">
        <v>1</v>
      </c>
      <c r="K7" s="150">
        <v>2</v>
      </c>
      <c r="L7" s="150">
        <f t="shared" si="7"/>
        <v>1</v>
      </c>
      <c r="M7" s="120"/>
      <c r="N7" s="150">
        <v>0</v>
      </c>
      <c r="O7" s="150">
        <v>2</v>
      </c>
      <c r="P7" s="150">
        <f t="shared" si="8"/>
        <v>1</v>
      </c>
      <c r="Q7" s="120"/>
      <c r="R7" s="150">
        <v>1</v>
      </c>
      <c r="S7" s="150">
        <v>3</v>
      </c>
      <c r="T7" s="150">
        <f t="shared" si="9"/>
        <v>3</v>
      </c>
      <c r="U7" s="150"/>
      <c r="V7" s="150">
        <v>1</v>
      </c>
      <c r="W7" s="150">
        <v>2</v>
      </c>
      <c r="X7" s="150">
        <f t="shared" si="10"/>
        <v>1</v>
      </c>
      <c r="Y7" s="120"/>
      <c r="Z7" s="121">
        <f t="shared" si="11"/>
        <v>10</v>
      </c>
      <c r="AA7" s="164" t="str">
        <f t="shared" si="0"/>
        <v>Italia</v>
      </c>
      <c r="AB7" s="164">
        <f t="shared" si="12"/>
        <v>6</v>
      </c>
      <c r="AC7" s="164" t="str">
        <f t="shared" si="1"/>
        <v>Gales</v>
      </c>
      <c r="AD7" s="164">
        <f t="shared" si="13"/>
        <v>6</v>
      </c>
      <c r="AE7" s="156" t="str">
        <f>Terceros!B8</f>
        <v>Suiza</v>
      </c>
      <c r="AF7" s="116">
        <f t="shared" si="14"/>
        <v>0</v>
      </c>
      <c r="AG7" s="148">
        <f t="shared" si="15"/>
        <v>22</v>
      </c>
      <c r="AJ7" s="113">
        <f t="shared" si="16"/>
        <v>9.5670000000000002</v>
      </c>
      <c r="AK7" s="113">
        <f t="shared" si="17"/>
        <v>0.442</v>
      </c>
      <c r="AL7" s="113">
        <f t="shared" si="18"/>
        <v>4.5049999999999999</v>
      </c>
      <c r="AM7" s="113">
        <f t="shared" si="19"/>
        <v>4.5049999999999999</v>
      </c>
      <c r="AN7" s="113">
        <f t="shared" si="2"/>
        <v>1</v>
      </c>
      <c r="AO7" s="113">
        <f t="shared" si="3"/>
        <v>4</v>
      </c>
      <c r="AP7" s="113">
        <f t="shared" si="4"/>
        <v>2</v>
      </c>
      <c r="AQ7" s="113">
        <v>3</v>
      </c>
      <c r="AR7" s="113">
        <f t="shared" si="20"/>
        <v>1</v>
      </c>
      <c r="AS7" s="113">
        <f t="shared" si="21"/>
        <v>1</v>
      </c>
    </row>
    <row r="8" spans="1:49">
      <c r="A8" s="129" t="str">
        <f>Participantes!B5</f>
        <v>Rodrigo Palavicini</v>
      </c>
      <c r="B8" s="150">
        <v>2</v>
      </c>
      <c r="C8" s="150">
        <v>0</v>
      </c>
      <c r="D8" s="150">
        <f t="shared" si="5"/>
        <v>1</v>
      </c>
      <c r="E8" s="150"/>
      <c r="F8" s="150">
        <v>0</v>
      </c>
      <c r="G8" s="150">
        <v>1</v>
      </c>
      <c r="H8" s="150">
        <f t="shared" si="6"/>
        <v>0</v>
      </c>
      <c r="I8" s="120"/>
      <c r="J8" s="150">
        <v>2</v>
      </c>
      <c r="K8" s="150">
        <v>0</v>
      </c>
      <c r="L8" s="150">
        <f t="shared" si="7"/>
        <v>0</v>
      </c>
      <c r="M8" s="120"/>
      <c r="N8" s="150">
        <v>0</v>
      </c>
      <c r="O8" s="150">
        <v>1</v>
      </c>
      <c r="P8" s="150">
        <f t="shared" si="8"/>
        <v>1</v>
      </c>
      <c r="Q8" s="120"/>
      <c r="R8" s="150">
        <v>1</v>
      </c>
      <c r="S8" s="150">
        <v>1</v>
      </c>
      <c r="T8" s="150">
        <f t="shared" si="9"/>
        <v>0</v>
      </c>
      <c r="U8" s="150"/>
      <c r="V8" s="150">
        <v>0</v>
      </c>
      <c r="W8" s="150">
        <v>3</v>
      </c>
      <c r="X8" s="150">
        <f t="shared" si="10"/>
        <v>1</v>
      </c>
      <c r="Y8" s="120"/>
      <c r="Z8" s="121">
        <f t="shared" si="11"/>
        <v>3</v>
      </c>
      <c r="AA8" s="164" t="str">
        <f t="shared" si="0"/>
        <v>Italia</v>
      </c>
      <c r="AB8" s="164">
        <f t="shared" si="12"/>
        <v>6</v>
      </c>
      <c r="AC8" s="164" t="str">
        <f t="shared" si="1"/>
        <v>Turquía</v>
      </c>
      <c r="AD8" s="164">
        <f t="shared" si="13"/>
        <v>0</v>
      </c>
      <c r="AE8" s="156" t="str">
        <f>Terceros!B9</f>
        <v>Suiza</v>
      </c>
      <c r="AF8" s="116">
        <f t="shared" si="14"/>
        <v>0</v>
      </c>
      <c r="AG8" s="148">
        <f t="shared" si="15"/>
        <v>9</v>
      </c>
      <c r="AJ8" s="113">
        <f t="shared" si="16"/>
        <v>9.5660000000000007</v>
      </c>
      <c r="AK8" s="113">
        <f t="shared" si="17"/>
        <v>4.5030000000000001</v>
      </c>
      <c r="AL8" s="113">
        <f t="shared" si="18"/>
        <v>0.44</v>
      </c>
      <c r="AM8" s="113">
        <f t="shared" si="19"/>
        <v>4.5019999999999998</v>
      </c>
      <c r="AN8" s="113">
        <f t="shared" si="2"/>
        <v>1</v>
      </c>
      <c r="AO8" s="113">
        <f t="shared" si="3"/>
        <v>2</v>
      </c>
      <c r="AP8" s="113">
        <f t="shared" si="4"/>
        <v>4</v>
      </c>
      <c r="AQ8" s="113">
        <f t="shared" ref="AQ8:AQ27" si="22">_xlfn.RANK.EQ(AM8,$AJ8:$AM8,0)</f>
        <v>3</v>
      </c>
      <c r="AR8" s="113">
        <f t="shared" si="20"/>
        <v>1</v>
      </c>
      <c r="AS8" s="113">
        <f t="shared" si="21"/>
        <v>1</v>
      </c>
    </row>
    <row r="9" spans="1:49">
      <c r="A9" s="129" t="str">
        <f>Participantes!B6</f>
        <v>Carlos Medina</v>
      </c>
      <c r="B9" s="150">
        <v>2</v>
      </c>
      <c r="C9" s="150">
        <v>1</v>
      </c>
      <c r="D9" s="150">
        <f t="shared" si="5"/>
        <v>1</v>
      </c>
      <c r="E9" s="150"/>
      <c r="F9" s="150">
        <v>1</v>
      </c>
      <c r="G9" s="150">
        <v>1</v>
      </c>
      <c r="H9" s="150">
        <f t="shared" si="6"/>
        <v>3</v>
      </c>
      <c r="I9" s="120"/>
      <c r="J9" s="150">
        <v>2</v>
      </c>
      <c r="K9" s="150">
        <v>1</v>
      </c>
      <c r="L9" s="150">
        <f t="shared" si="7"/>
        <v>0</v>
      </c>
      <c r="M9" s="120"/>
      <c r="N9" s="150">
        <v>1</v>
      </c>
      <c r="O9" s="150">
        <v>2</v>
      </c>
      <c r="P9" s="150">
        <f t="shared" si="8"/>
        <v>1</v>
      </c>
      <c r="Q9" s="120"/>
      <c r="R9" s="150">
        <v>0</v>
      </c>
      <c r="S9" s="150">
        <v>0</v>
      </c>
      <c r="T9" s="150">
        <f t="shared" si="9"/>
        <v>0</v>
      </c>
      <c r="U9" s="150"/>
      <c r="V9" s="150">
        <v>0</v>
      </c>
      <c r="W9" s="150">
        <v>2</v>
      </c>
      <c r="X9" s="150">
        <f t="shared" si="10"/>
        <v>1</v>
      </c>
      <c r="Y9" s="120"/>
      <c r="Z9" s="121">
        <f t="shared" si="11"/>
        <v>6</v>
      </c>
      <c r="AA9" s="164" t="str">
        <f t="shared" si="0"/>
        <v>Italia</v>
      </c>
      <c r="AB9" s="164">
        <f t="shared" si="12"/>
        <v>6</v>
      </c>
      <c r="AC9" s="164" t="str">
        <f t="shared" si="1"/>
        <v>Turquía</v>
      </c>
      <c r="AD9" s="164">
        <f t="shared" si="13"/>
        <v>0</v>
      </c>
      <c r="AE9" s="156" t="str">
        <f>Terceros!B10</f>
        <v>Suiza</v>
      </c>
      <c r="AF9" s="116">
        <f t="shared" si="14"/>
        <v>0</v>
      </c>
      <c r="AG9" s="148">
        <f t="shared" si="15"/>
        <v>12</v>
      </c>
      <c r="AJ9" s="113">
        <f t="shared" si="16"/>
        <v>9.5459999999999994</v>
      </c>
      <c r="AK9" s="113">
        <f t="shared" si="17"/>
        <v>4.5030000000000001</v>
      </c>
      <c r="AL9" s="113">
        <f t="shared" si="18"/>
        <v>1.472</v>
      </c>
      <c r="AM9" s="113">
        <f t="shared" si="19"/>
        <v>2.492</v>
      </c>
      <c r="AN9" s="113">
        <f t="shared" si="2"/>
        <v>1</v>
      </c>
      <c r="AO9" s="113">
        <f t="shared" si="3"/>
        <v>2</v>
      </c>
      <c r="AP9" s="113">
        <f t="shared" si="4"/>
        <v>4</v>
      </c>
      <c r="AQ9" s="113">
        <f t="shared" si="22"/>
        <v>3</v>
      </c>
      <c r="AR9" s="113">
        <f t="shared" si="20"/>
        <v>1</v>
      </c>
      <c r="AS9" s="113">
        <f t="shared" si="21"/>
        <v>1</v>
      </c>
    </row>
    <row r="10" spans="1:49">
      <c r="A10" s="129" t="str">
        <f>Participantes!B7</f>
        <v>July Batista</v>
      </c>
      <c r="B10" s="150">
        <v>2</v>
      </c>
      <c r="C10" s="150">
        <v>0</v>
      </c>
      <c r="D10" s="150">
        <f t="shared" si="5"/>
        <v>1</v>
      </c>
      <c r="E10" s="150"/>
      <c r="F10" s="150">
        <v>1</v>
      </c>
      <c r="G10" s="150">
        <v>1</v>
      </c>
      <c r="H10" s="150">
        <f t="shared" si="6"/>
        <v>3</v>
      </c>
      <c r="I10" s="120"/>
      <c r="J10" s="150">
        <v>1</v>
      </c>
      <c r="K10" s="150">
        <v>1</v>
      </c>
      <c r="L10" s="150">
        <f t="shared" si="7"/>
        <v>0</v>
      </c>
      <c r="M10" s="120"/>
      <c r="N10" s="150">
        <v>0</v>
      </c>
      <c r="O10" s="150">
        <v>1</v>
      </c>
      <c r="P10" s="150">
        <f t="shared" si="8"/>
        <v>1</v>
      </c>
      <c r="Q10" s="120"/>
      <c r="R10" s="150">
        <v>0</v>
      </c>
      <c r="S10" s="150">
        <v>1</v>
      </c>
      <c r="T10" s="150">
        <f t="shared" si="9"/>
        <v>1</v>
      </c>
      <c r="U10" s="150"/>
      <c r="V10" s="150">
        <v>1</v>
      </c>
      <c r="W10" s="150">
        <v>2</v>
      </c>
      <c r="X10" s="150">
        <f t="shared" si="10"/>
        <v>1</v>
      </c>
      <c r="Y10" s="120"/>
      <c r="Z10" s="121">
        <f t="shared" si="11"/>
        <v>7</v>
      </c>
      <c r="AA10" s="164" t="str">
        <f t="shared" si="0"/>
        <v>Italia</v>
      </c>
      <c r="AB10" s="164">
        <f t="shared" si="12"/>
        <v>6</v>
      </c>
      <c r="AC10" s="164" t="str">
        <f t="shared" si="1"/>
        <v>Suiza</v>
      </c>
      <c r="AD10" s="164">
        <f t="shared" si="13"/>
        <v>0</v>
      </c>
      <c r="AE10" s="156" t="str">
        <f>Terceros!B11</f>
        <v>Gales</v>
      </c>
      <c r="AF10" s="116">
        <f t="shared" si="14"/>
        <v>3</v>
      </c>
      <c r="AG10" s="148">
        <f t="shared" si="15"/>
        <v>16</v>
      </c>
      <c r="AJ10" s="113">
        <f t="shared" si="16"/>
        <v>9.5449999999999999</v>
      </c>
      <c r="AK10" s="113">
        <f t="shared" si="17"/>
        <v>1.4709999999999999</v>
      </c>
      <c r="AL10" s="113">
        <f t="shared" si="18"/>
        <v>2.4930000000000003</v>
      </c>
      <c r="AM10" s="113">
        <f t="shared" si="19"/>
        <v>4.5019999999999998</v>
      </c>
      <c r="AN10" s="113">
        <f t="shared" si="2"/>
        <v>1</v>
      </c>
      <c r="AO10" s="113">
        <f t="shared" si="3"/>
        <v>4</v>
      </c>
      <c r="AP10" s="113">
        <f t="shared" si="4"/>
        <v>3</v>
      </c>
      <c r="AQ10" s="113">
        <f t="shared" si="22"/>
        <v>2</v>
      </c>
      <c r="AR10" s="113">
        <f t="shared" si="20"/>
        <v>1</v>
      </c>
      <c r="AS10" s="113">
        <f t="shared" si="21"/>
        <v>1</v>
      </c>
    </row>
    <row r="11" spans="1:49">
      <c r="A11" s="129" t="str">
        <f>Participantes!B8</f>
        <v>Carlos Quiel</v>
      </c>
      <c r="B11" s="150">
        <v>2</v>
      </c>
      <c r="C11" s="150">
        <v>0</v>
      </c>
      <c r="D11" s="150">
        <f t="shared" si="5"/>
        <v>1</v>
      </c>
      <c r="E11" s="150"/>
      <c r="F11" s="150">
        <v>0</v>
      </c>
      <c r="G11" s="150">
        <v>2</v>
      </c>
      <c r="H11" s="150">
        <f t="shared" si="6"/>
        <v>0</v>
      </c>
      <c r="I11" s="120"/>
      <c r="J11" s="150">
        <v>1</v>
      </c>
      <c r="K11" s="150">
        <v>0</v>
      </c>
      <c r="L11" s="150">
        <f t="shared" si="7"/>
        <v>0</v>
      </c>
      <c r="M11" s="120"/>
      <c r="N11" s="150">
        <v>0</v>
      </c>
      <c r="O11" s="150">
        <v>0</v>
      </c>
      <c r="P11" s="150">
        <f t="shared" si="8"/>
        <v>0</v>
      </c>
      <c r="Q11" s="120"/>
      <c r="R11" s="150">
        <v>2</v>
      </c>
      <c r="S11" s="150">
        <v>2</v>
      </c>
      <c r="T11" s="150">
        <f t="shared" si="9"/>
        <v>0</v>
      </c>
      <c r="U11" s="150"/>
      <c r="V11" s="150">
        <v>0</v>
      </c>
      <c r="W11" s="150">
        <v>3</v>
      </c>
      <c r="X11" s="150">
        <f t="shared" si="10"/>
        <v>1</v>
      </c>
      <c r="Y11" s="120"/>
      <c r="Z11" s="121">
        <f t="shared" si="11"/>
        <v>2</v>
      </c>
      <c r="AA11" s="164" t="str">
        <f t="shared" si="0"/>
        <v>Italia</v>
      </c>
      <c r="AB11" s="164">
        <f t="shared" si="12"/>
        <v>6</v>
      </c>
      <c r="AC11" s="164" t="str">
        <f t="shared" si="1"/>
        <v>Suiza</v>
      </c>
      <c r="AD11" s="164">
        <f t="shared" si="13"/>
        <v>0</v>
      </c>
      <c r="AE11" s="156" t="str">
        <f>Terceros!B12</f>
        <v>Turquía</v>
      </c>
      <c r="AF11" s="116">
        <f t="shared" si="14"/>
        <v>0</v>
      </c>
      <c r="AG11" s="148">
        <f t="shared" si="15"/>
        <v>8</v>
      </c>
      <c r="AJ11" s="113">
        <f t="shared" si="16"/>
        <v>7.5549999999999997</v>
      </c>
      <c r="AK11" s="113">
        <f t="shared" si="17"/>
        <v>4.4930000000000003</v>
      </c>
      <c r="AL11" s="113">
        <f t="shared" si="18"/>
        <v>0.44</v>
      </c>
      <c r="AM11" s="113">
        <f t="shared" si="19"/>
        <v>5.5239999999999991</v>
      </c>
      <c r="AN11" s="113">
        <f t="shared" si="2"/>
        <v>1</v>
      </c>
      <c r="AO11" s="113">
        <f t="shared" si="3"/>
        <v>3</v>
      </c>
      <c r="AP11" s="113">
        <f t="shared" si="4"/>
        <v>4</v>
      </c>
      <c r="AQ11" s="113">
        <f t="shared" si="22"/>
        <v>2</v>
      </c>
      <c r="AR11" s="113">
        <f t="shared" si="20"/>
        <v>1</v>
      </c>
      <c r="AS11" s="113">
        <f t="shared" si="21"/>
        <v>1</v>
      </c>
    </row>
    <row r="12" spans="1:49">
      <c r="A12" s="129" t="str">
        <f>Participantes!B9</f>
        <v>Oliver Amaya</v>
      </c>
      <c r="B12" s="150">
        <v>1</v>
      </c>
      <c r="C12" s="150">
        <v>0</v>
      </c>
      <c r="D12" s="150">
        <f t="shared" si="5"/>
        <v>1</v>
      </c>
      <c r="E12" s="150"/>
      <c r="F12" s="150">
        <v>2</v>
      </c>
      <c r="G12" s="150">
        <v>1</v>
      </c>
      <c r="H12" s="150">
        <f t="shared" si="6"/>
        <v>0</v>
      </c>
      <c r="I12" s="120"/>
      <c r="J12" s="150">
        <v>0</v>
      </c>
      <c r="K12" s="150">
        <v>2</v>
      </c>
      <c r="L12" s="150">
        <f t="shared" si="7"/>
        <v>3</v>
      </c>
      <c r="M12" s="120"/>
      <c r="N12" s="150">
        <v>1</v>
      </c>
      <c r="O12" s="150">
        <v>1</v>
      </c>
      <c r="P12" s="150">
        <f t="shared" si="8"/>
        <v>0</v>
      </c>
      <c r="Q12" s="120"/>
      <c r="R12" s="150">
        <v>0</v>
      </c>
      <c r="S12" s="150">
        <v>1</v>
      </c>
      <c r="T12" s="150">
        <f t="shared" si="9"/>
        <v>1</v>
      </c>
      <c r="U12" s="150"/>
      <c r="V12" s="150">
        <v>1</v>
      </c>
      <c r="W12" s="150">
        <v>0</v>
      </c>
      <c r="X12" s="150">
        <f t="shared" si="10"/>
        <v>0</v>
      </c>
      <c r="Y12" s="120"/>
      <c r="Z12" s="121">
        <f t="shared" si="11"/>
        <v>5</v>
      </c>
      <c r="AA12" s="164" t="str">
        <f t="shared" si="0"/>
        <v>Gales</v>
      </c>
      <c r="AB12" s="164">
        <f t="shared" si="12"/>
        <v>3</v>
      </c>
      <c r="AC12" s="164" t="str">
        <f t="shared" si="1"/>
        <v>Suiza</v>
      </c>
      <c r="AD12" s="164">
        <f t="shared" si="13"/>
        <v>0</v>
      </c>
      <c r="AE12" s="156" t="str">
        <f>Terceros!B13</f>
        <v>Italia</v>
      </c>
      <c r="AF12" s="116">
        <f t="shared" si="14"/>
        <v>3</v>
      </c>
      <c r="AG12" s="148">
        <f t="shared" si="15"/>
        <v>11</v>
      </c>
      <c r="AJ12" s="113">
        <f t="shared" si="16"/>
        <v>4.5019999999999998</v>
      </c>
      <c r="AK12" s="113">
        <f t="shared" si="17"/>
        <v>0.46</v>
      </c>
      <c r="AL12" s="113">
        <f t="shared" si="18"/>
        <v>9.5449999999999999</v>
      </c>
      <c r="AM12" s="113">
        <f t="shared" si="19"/>
        <v>4.5030000000000001</v>
      </c>
      <c r="AN12" s="113">
        <f t="shared" si="2"/>
        <v>3</v>
      </c>
      <c r="AO12" s="113">
        <f t="shared" si="3"/>
        <v>4</v>
      </c>
      <c r="AP12" s="113">
        <f t="shared" si="4"/>
        <v>1</v>
      </c>
      <c r="AQ12" s="113">
        <f t="shared" si="22"/>
        <v>2</v>
      </c>
      <c r="AR12" s="113">
        <f t="shared" si="20"/>
        <v>1</v>
      </c>
      <c r="AS12" s="113">
        <f t="shared" si="21"/>
        <v>1</v>
      </c>
    </row>
    <row r="13" spans="1:49">
      <c r="A13" s="129" t="str">
        <f>Participantes!B10</f>
        <v>Radames Guerrero</v>
      </c>
      <c r="B13" s="150">
        <v>2</v>
      </c>
      <c r="C13" s="150">
        <v>0</v>
      </c>
      <c r="D13" s="150">
        <f t="shared" si="5"/>
        <v>1</v>
      </c>
      <c r="E13" s="150"/>
      <c r="F13" s="150">
        <v>0</v>
      </c>
      <c r="G13" s="150">
        <v>1</v>
      </c>
      <c r="H13" s="150">
        <f t="shared" si="6"/>
        <v>0</v>
      </c>
      <c r="I13" s="120"/>
      <c r="J13" s="150">
        <v>2</v>
      </c>
      <c r="K13" s="150">
        <v>1</v>
      </c>
      <c r="L13" s="150">
        <f t="shared" si="7"/>
        <v>0</v>
      </c>
      <c r="M13" s="120"/>
      <c r="N13" s="150">
        <v>0</v>
      </c>
      <c r="O13" s="150">
        <v>0</v>
      </c>
      <c r="P13" s="150">
        <f t="shared" si="8"/>
        <v>0</v>
      </c>
      <c r="Q13" s="120"/>
      <c r="R13" s="150">
        <v>0</v>
      </c>
      <c r="S13" s="150">
        <v>1</v>
      </c>
      <c r="T13" s="150">
        <f t="shared" si="9"/>
        <v>1</v>
      </c>
      <c r="U13" s="150"/>
      <c r="V13" s="150">
        <v>1</v>
      </c>
      <c r="W13" s="150">
        <v>2</v>
      </c>
      <c r="X13" s="150">
        <f t="shared" si="10"/>
        <v>1</v>
      </c>
      <c r="Y13" s="120"/>
      <c r="Z13" s="121">
        <f>D13+H13+L13+P13+T13+X13</f>
        <v>3</v>
      </c>
      <c r="AA13" s="164" t="str">
        <f t="shared" si="0"/>
        <v>Italia</v>
      </c>
      <c r="AB13" s="164">
        <f t="shared" si="12"/>
        <v>6</v>
      </c>
      <c r="AC13" s="164" t="str">
        <f t="shared" si="1"/>
        <v>Suiza</v>
      </c>
      <c r="AD13" s="164">
        <f t="shared" si="13"/>
        <v>0</v>
      </c>
      <c r="AE13" s="156" t="str">
        <f>Terceros!B14</f>
        <v>Turquía</v>
      </c>
      <c r="AF13" s="116">
        <f t="shared" si="14"/>
        <v>0</v>
      </c>
      <c r="AG13" s="148">
        <f t="shared" si="15"/>
        <v>9</v>
      </c>
      <c r="AJ13" s="113">
        <f t="shared" si="16"/>
        <v>7.5339999999999998</v>
      </c>
      <c r="AK13" s="113">
        <f t="shared" si="17"/>
        <v>3.4819999999999998</v>
      </c>
      <c r="AL13" s="113">
        <f t="shared" si="18"/>
        <v>0.47199999999999998</v>
      </c>
      <c r="AM13" s="113">
        <f t="shared" si="19"/>
        <v>7.5219999999999994</v>
      </c>
      <c r="AN13" s="113">
        <f t="shared" si="2"/>
        <v>1</v>
      </c>
      <c r="AO13" s="113">
        <f t="shared" si="3"/>
        <v>3</v>
      </c>
      <c r="AP13" s="113">
        <f t="shared" si="4"/>
        <v>4</v>
      </c>
      <c r="AQ13" s="113">
        <f t="shared" si="22"/>
        <v>2</v>
      </c>
      <c r="AR13" s="113">
        <f t="shared" si="20"/>
        <v>1</v>
      </c>
      <c r="AS13" s="113">
        <f t="shared" si="21"/>
        <v>1</v>
      </c>
    </row>
    <row r="14" spans="1:49">
      <c r="A14" s="129" t="str">
        <f>Participantes!B11</f>
        <v>Effie Latouche</v>
      </c>
      <c r="B14" s="150">
        <v>2</v>
      </c>
      <c r="C14" s="150">
        <v>1</v>
      </c>
      <c r="D14" s="150">
        <f t="shared" si="5"/>
        <v>1</v>
      </c>
      <c r="E14" s="150"/>
      <c r="F14" s="150">
        <v>1</v>
      </c>
      <c r="G14" s="150">
        <v>1</v>
      </c>
      <c r="H14" s="150">
        <f t="shared" si="6"/>
        <v>3</v>
      </c>
      <c r="I14" s="120"/>
      <c r="J14" s="150">
        <v>0</v>
      </c>
      <c r="K14" s="150">
        <v>1</v>
      </c>
      <c r="L14" s="150">
        <f t="shared" si="7"/>
        <v>1</v>
      </c>
      <c r="M14" s="120"/>
      <c r="N14" s="150">
        <v>1</v>
      </c>
      <c r="O14" s="150">
        <v>1</v>
      </c>
      <c r="P14" s="150">
        <f t="shared" si="8"/>
        <v>0</v>
      </c>
      <c r="Q14" s="120"/>
      <c r="R14" s="150">
        <v>1</v>
      </c>
      <c r="S14" s="150">
        <v>1</v>
      </c>
      <c r="T14" s="150">
        <f t="shared" si="9"/>
        <v>0</v>
      </c>
      <c r="U14" s="150"/>
      <c r="V14" s="150">
        <v>1</v>
      </c>
      <c r="W14" s="150">
        <v>2</v>
      </c>
      <c r="X14" s="150">
        <f t="shared" si="10"/>
        <v>1</v>
      </c>
      <c r="Y14" s="120"/>
      <c r="Z14" s="121">
        <f t="shared" si="11"/>
        <v>6</v>
      </c>
      <c r="AA14" s="164" t="str">
        <f t="shared" si="0"/>
        <v>Italia</v>
      </c>
      <c r="AB14" s="164">
        <f t="shared" si="12"/>
        <v>6</v>
      </c>
      <c r="AC14" s="164" t="str">
        <f t="shared" si="1"/>
        <v>Gales</v>
      </c>
      <c r="AD14" s="164">
        <f t="shared" si="13"/>
        <v>6</v>
      </c>
      <c r="AE14" s="156" t="str">
        <f>Terceros!B15</f>
        <v>Suiza</v>
      </c>
      <c r="AF14" s="116">
        <f t="shared" si="14"/>
        <v>0</v>
      </c>
      <c r="AG14" s="148">
        <f t="shared" si="15"/>
        <v>18</v>
      </c>
      <c r="AJ14" s="113">
        <f t="shared" si="16"/>
        <v>7.5249999999999995</v>
      </c>
      <c r="AK14" s="113">
        <f t="shared" si="17"/>
        <v>1.482</v>
      </c>
      <c r="AL14" s="113">
        <f t="shared" si="18"/>
        <v>4.5030000000000001</v>
      </c>
      <c r="AM14" s="113">
        <f t="shared" si="19"/>
        <v>3.5030000000000001</v>
      </c>
      <c r="AN14" s="113">
        <f t="shared" si="2"/>
        <v>1</v>
      </c>
      <c r="AO14" s="113">
        <f t="shared" si="3"/>
        <v>4</v>
      </c>
      <c r="AP14" s="113">
        <f t="shared" si="4"/>
        <v>2</v>
      </c>
      <c r="AQ14" s="113">
        <f t="shared" si="22"/>
        <v>3</v>
      </c>
      <c r="AR14" s="113">
        <f t="shared" si="20"/>
        <v>1</v>
      </c>
      <c r="AS14" s="113">
        <f t="shared" si="21"/>
        <v>1</v>
      </c>
      <c r="AW14" s="113">
        <f>'H1'!$E5</f>
        <v>3</v>
      </c>
    </row>
    <row r="15" spans="1:49">
      <c r="A15" s="129" t="str">
        <f>Participantes!B12</f>
        <v>Sandra Badilla</v>
      </c>
      <c r="B15" s="150">
        <v>2</v>
      </c>
      <c r="C15" s="150">
        <v>0</v>
      </c>
      <c r="D15" s="150">
        <f t="shared" si="5"/>
        <v>1</v>
      </c>
      <c r="E15" s="150"/>
      <c r="F15" s="150">
        <v>1</v>
      </c>
      <c r="G15" s="150">
        <v>0</v>
      </c>
      <c r="H15" s="150">
        <f t="shared" si="6"/>
        <v>0</v>
      </c>
      <c r="I15" s="120"/>
      <c r="J15" s="150">
        <v>0</v>
      </c>
      <c r="K15" s="150">
        <v>2</v>
      </c>
      <c r="L15" s="150">
        <f t="shared" si="7"/>
        <v>3</v>
      </c>
      <c r="M15" s="120"/>
      <c r="N15" s="150">
        <v>1</v>
      </c>
      <c r="O15" s="150">
        <v>2</v>
      </c>
      <c r="P15" s="150">
        <f t="shared" si="8"/>
        <v>1</v>
      </c>
      <c r="Q15" s="120"/>
      <c r="R15" s="150">
        <v>1</v>
      </c>
      <c r="S15" s="150">
        <v>2</v>
      </c>
      <c r="T15" s="150">
        <f t="shared" si="9"/>
        <v>1</v>
      </c>
      <c r="U15" s="150"/>
      <c r="V15" s="150">
        <v>1</v>
      </c>
      <c r="W15" s="150">
        <v>1</v>
      </c>
      <c r="X15" s="150">
        <f t="shared" si="10"/>
        <v>0</v>
      </c>
      <c r="Y15" s="120"/>
      <c r="Z15" s="121">
        <f t="shared" si="11"/>
        <v>6</v>
      </c>
      <c r="AA15" s="164" t="str">
        <f t="shared" si="0"/>
        <v>Italia</v>
      </c>
      <c r="AB15" s="164">
        <f t="shared" si="12"/>
        <v>6</v>
      </c>
      <c r="AC15" s="164" t="str">
        <f t="shared" si="1"/>
        <v>Gales</v>
      </c>
      <c r="AD15" s="164">
        <f t="shared" si="13"/>
        <v>6</v>
      </c>
      <c r="AE15" s="156" t="str">
        <f>Terceros!B16</f>
        <v>Suiza</v>
      </c>
      <c r="AF15" s="116">
        <f t="shared" si="14"/>
        <v>0</v>
      </c>
      <c r="AG15" s="148">
        <f t="shared" si="15"/>
        <v>18</v>
      </c>
      <c r="AJ15" s="113">
        <f t="shared" si="16"/>
        <v>7.5350000000000001</v>
      </c>
      <c r="AK15" s="113">
        <f t="shared" si="17"/>
        <v>0.45100000000000001</v>
      </c>
      <c r="AL15" s="113">
        <f t="shared" si="18"/>
        <v>7.5339999999999998</v>
      </c>
      <c r="AM15" s="113">
        <f t="shared" si="19"/>
        <v>3.4930000000000003</v>
      </c>
      <c r="AN15" s="113">
        <f t="shared" si="2"/>
        <v>1</v>
      </c>
      <c r="AO15" s="113">
        <f t="shared" si="3"/>
        <v>4</v>
      </c>
      <c r="AP15" s="113">
        <f t="shared" si="4"/>
        <v>2</v>
      </c>
      <c r="AQ15" s="113">
        <f t="shared" si="22"/>
        <v>3</v>
      </c>
      <c r="AR15" s="113">
        <f t="shared" si="20"/>
        <v>1</v>
      </c>
      <c r="AS15" s="113">
        <f t="shared" si="21"/>
        <v>1</v>
      </c>
    </row>
    <row r="16" spans="1:49">
      <c r="A16" s="129" t="str">
        <f>Participantes!B13</f>
        <v>Samantha Montero 1</v>
      </c>
      <c r="B16" s="150">
        <v>3</v>
      </c>
      <c r="C16" s="150">
        <v>1</v>
      </c>
      <c r="D16" s="150">
        <f t="shared" si="5"/>
        <v>1</v>
      </c>
      <c r="E16" s="150"/>
      <c r="F16" s="150">
        <v>2</v>
      </c>
      <c r="G16" s="150">
        <v>3</v>
      </c>
      <c r="H16" s="150">
        <f t="shared" si="6"/>
        <v>0</v>
      </c>
      <c r="I16" s="120"/>
      <c r="J16" s="150">
        <v>1</v>
      </c>
      <c r="K16" s="150">
        <v>2</v>
      </c>
      <c r="L16" s="150">
        <f t="shared" si="7"/>
        <v>1</v>
      </c>
      <c r="M16" s="120"/>
      <c r="N16" s="150">
        <v>2</v>
      </c>
      <c r="O16" s="150">
        <v>2</v>
      </c>
      <c r="P16" s="150">
        <f t="shared" si="8"/>
        <v>0</v>
      </c>
      <c r="Q16" s="120"/>
      <c r="R16" s="150">
        <v>0</v>
      </c>
      <c r="S16" s="150">
        <v>3</v>
      </c>
      <c r="T16" s="150">
        <f t="shared" si="9"/>
        <v>1</v>
      </c>
      <c r="U16" s="150"/>
      <c r="V16" s="150">
        <v>1</v>
      </c>
      <c r="W16" s="150">
        <v>3</v>
      </c>
      <c r="X16" s="150">
        <f t="shared" si="10"/>
        <v>1</v>
      </c>
      <c r="Y16" s="120"/>
      <c r="Z16" s="121">
        <f t="shared" si="11"/>
        <v>4</v>
      </c>
      <c r="AA16" s="164" t="str">
        <f t="shared" si="0"/>
        <v>Italia</v>
      </c>
      <c r="AB16" s="164">
        <f t="shared" si="12"/>
        <v>6</v>
      </c>
      <c r="AC16" s="164" t="str">
        <f t="shared" si="1"/>
        <v>*Suiza</v>
      </c>
      <c r="AD16" s="164">
        <f t="shared" si="13"/>
        <v>0</v>
      </c>
      <c r="AE16" s="156" t="str">
        <f>Terceros!B17</f>
        <v>Gales</v>
      </c>
      <c r="AF16" s="116">
        <f t="shared" si="14"/>
        <v>3</v>
      </c>
      <c r="AG16" s="148">
        <f t="shared" si="15"/>
        <v>13</v>
      </c>
      <c r="AJ16" s="113">
        <f t="shared" si="16"/>
        <v>7.548</v>
      </c>
      <c r="AK16" s="113">
        <f t="shared" si="17"/>
        <v>0.442</v>
      </c>
      <c r="AL16" s="113">
        <f t="shared" si="18"/>
        <v>3.4849999999999999</v>
      </c>
      <c r="AM16" s="113">
        <f t="shared" si="19"/>
        <v>7.548</v>
      </c>
      <c r="AN16" s="113">
        <f t="shared" si="2"/>
        <v>1</v>
      </c>
      <c r="AO16" s="113">
        <f t="shared" si="3"/>
        <v>4</v>
      </c>
      <c r="AP16" s="113">
        <f t="shared" si="4"/>
        <v>3</v>
      </c>
      <c r="AQ16" s="113">
        <f t="shared" si="22"/>
        <v>1</v>
      </c>
      <c r="AR16" s="113">
        <f t="shared" si="20"/>
        <v>2</v>
      </c>
      <c r="AS16" s="113">
        <f t="shared" si="21"/>
        <v>0</v>
      </c>
    </row>
    <row r="17" spans="1:45">
      <c r="A17" s="129" t="str">
        <f>Participantes!B14</f>
        <v>Samantha Mont. 2 (Jairo)</v>
      </c>
      <c r="B17" s="150">
        <v>2</v>
      </c>
      <c r="C17" s="150">
        <v>0</v>
      </c>
      <c r="D17" s="150">
        <f t="shared" si="5"/>
        <v>1</v>
      </c>
      <c r="E17" s="150"/>
      <c r="F17" s="150">
        <v>1</v>
      </c>
      <c r="G17" s="150">
        <v>3</v>
      </c>
      <c r="H17" s="150">
        <f t="shared" si="6"/>
        <v>0</v>
      </c>
      <c r="I17" s="120"/>
      <c r="J17" s="150">
        <v>2</v>
      </c>
      <c r="K17" s="150">
        <v>1</v>
      </c>
      <c r="L17" s="150">
        <f t="shared" si="7"/>
        <v>0</v>
      </c>
      <c r="M17" s="120"/>
      <c r="N17" s="150">
        <v>0</v>
      </c>
      <c r="O17" s="150">
        <v>1</v>
      </c>
      <c r="P17" s="150">
        <f t="shared" si="8"/>
        <v>1</v>
      </c>
      <c r="Q17" s="120"/>
      <c r="R17" s="150">
        <v>2</v>
      </c>
      <c r="S17" s="150">
        <v>1</v>
      </c>
      <c r="T17" s="150">
        <f t="shared" si="9"/>
        <v>0</v>
      </c>
      <c r="U17" s="150"/>
      <c r="V17" s="150">
        <v>0</v>
      </c>
      <c r="W17" s="150">
        <v>2</v>
      </c>
      <c r="X17" s="150">
        <f t="shared" si="10"/>
        <v>1</v>
      </c>
      <c r="Y17" s="120"/>
      <c r="Z17" s="121">
        <f t="shared" si="11"/>
        <v>3</v>
      </c>
      <c r="AA17" s="164" t="str">
        <f t="shared" si="0"/>
        <v>Italia</v>
      </c>
      <c r="AB17" s="164">
        <f t="shared" si="12"/>
        <v>6</v>
      </c>
      <c r="AC17" s="164" t="str">
        <f t="shared" si="1"/>
        <v>Turquía</v>
      </c>
      <c r="AD17" s="164">
        <f t="shared" si="13"/>
        <v>0</v>
      </c>
      <c r="AE17" s="156" t="str">
        <f>Terceros!B18</f>
        <v>Suiza</v>
      </c>
      <c r="AF17" s="116">
        <f t="shared" si="14"/>
        <v>0</v>
      </c>
      <c r="AG17" s="148">
        <f t="shared" si="15"/>
        <v>9</v>
      </c>
      <c r="AJ17" s="113">
        <f t="shared" si="16"/>
        <v>9.5550000000000015</v>
      </c>
      <c r="AK17" s="113">
        <f t="shared" si="17"/>
        <v>6.5039999999999996</v>
      </c>
      <c r="AL17" s="113">
        <f t="shared" si="18"/>
        <v>0.45200000000000001</v>
      </c>
      <c r="AM17" s="113">
        <f t="shared" si="19"/>
        <v>3.504</v>
      </c>
      <c r="AN17" s="113">
        <f t="shared" si="2"/>
        <v>1</v>
      </c>
      <c r="AO17" s="113">
        <f t="shared" si="3"/>
        <v>2</v>
      </c>
      <c r="AP17" s="113">
        <f t="shared" si="4"/>
        <v>4</v>
      </c>
      <c r="AQ17" s="113">
        <f t="shared" si="22"/>
        <v>3</v>
      </c>
      <c r="AR17" s="113">
        <f t="shared" si="20"/>
        <v>1</v>
      </c>
      <c r="AS17" s="113">
        <f t="shared" si="21"/>
        <v>1</v>
      </c>
    </row>
    <row r="18" spans="1:45">
      <c r="A18" s="129" t="str">
        <f>Participantes!B15</f>
        <v>Samantha Mont. 3(Jafet)</v>
      </c>
      <c r="B18" s="150">
        <v>2</v>
      </c>
      <c r="C18" s="150">
        <v>1</v>
      </c>
      <c r="D18" s="150">
        <f t="shared" si="5"/>
        <v>1</v>
      </c>
      <c r="E18" s="150"/>
      <c r="F18" s="150">
        <v>0</v>
      </c>
      <c r="G18" s="150">
        <v>1</v>
      </c>
      <c r="H18" s="150">
        <f t="shared" si="6"/>
        <v>0</v>
      </c>
      <c r="I18" s="120"/>
      <c r="J18" s="150">
        <v>2</v>
      </c>
      <c r="K18" s="150">
        <v>1</v>
      </c>
      <c r="L18" s="150">
        <f t="shared" si="7"/>
        <v>0</v>
      </c>
      <c r="M18" s="120"/>
      <c r="N18" s="150">
        <v>0</v>
      </c>
      <c r="O18" s="150">
        <v>1</v>
      </c>
      <c r="P18" s="150">
        <f t="shared" si="8"/>
        <v>1</v>
      </c>
      <c r="Q18" s="120"/>
      <c r="R18" s="150">
        <v>2</v>
      </c>
      <c r="S18" s="150">
        <v>2</v>
      </c>
      <c r="T18" s="150">
        <f t="shared" si="9"/>
        <v>0</v>
      </c>
      <c r="U18" s="150"/>
      <c r="V18" s="150">
        <v>0</v>
      </c>
      <c r="W18" s="150">
        <v>3</v>
      </c>
      <c r="X18" s="150">
        <f t="shared" si="10"/>
        <v>1</v>
      </c>
      <c r="Y18" s="120"/>
      <c r="Z18" s="121">
        <f t="shared" si="11"/>
        <v>3</v>
      </c>
      <c r="AA18" s="164" t="str">
        <f t="shared" si="0"/>
        <v>Italia</v>
      </c>
      <c r="AB18" s="164">
        <f t="shared" si="12"/>
        <v>6</v>
      </c>
      <c r="AC18" s="164" t="str">
        <f t="shared" si="1"/>
        <v>Turquía</v>
      </c>
      <c r="AD18" s="164">
        <f t="shared" si="13"/>
        <v>0</v>
      </c>
      <c r="AE18" s="156" t="str">
        <f>Terceros!B19</f>
        <v>Suiza</v>
      </c>
      <c r="AF18" s="116">
        <f t="shared" si="14"/>
        <v>0</v>
      </c>
      <c r="AG18" s="148">
        <f t="shared" si="15"/>
        <v>9</v>
      </c>
      <c r="AJ18" s="113">
        <f t="shared" si="16"/>
        <v>9.5560000000000009</v>
      </c>
      <c r="AK18" s="113">
        <f t="shared" si="17"/>
        <v>4.5049999999999999</v>
      </c>
      <c r="AL18" s="113">
        <f t="shared" si="18"/>
        <v>0.45100000000000001</v>
      </c>
      <c r="AM18" s="113">
        <f t="shared" si="19"/>
        <v>4.5030000000000001</v>
      </c>
      <c r="AN18" s="113">
        <f t="shared" si="2"/>
        <v>1</v>
      </c>
      <c r="AO18" s="113">
        <f t="shared" si="3"/>
        <v>2</v>
      </c>
      <c r="AP18" s="113">
        <f t="shared" si="4"/>
        <v>4</v>
      </c>
      <c r="AQ18" s="113">
        <f t="shared" si="22"/>
        <v>3</v>
      </c>
      <c r="AR18" s="113">
        <f t="shared" si="20"/>
        <v>1</v>
      </c>
      <c r="AS18" s="113">
        <f t="shared" si="21"/>
        <v>1</v>
      </c>
    </row>
    <row r="19" spans="1:45">
      <c r="A19" s="129" t="str">
        <f>Participantes!B16</f>
        <v>Mileny Acosta</v>
      </c>
      <c r="B19" s="150">
        <v>3</v>
      </c>
      <c r="C19" s="150">
        <v>0</v>
      </c>
      <c r="D19" s="150">
        <f t="shared" si="5"/>
        <v>3</v>
      </c>
      <c r="E19" s="150"/>
      <c r="F19" s="150">
        <v>1</v>
      </c>
      <c r="G19" s="150">
        <v>0</v>
      </c>
      <c r="H19" s="150">
        <f t="shared" si="6"/>
        <v>0</v>
      </c>
      <c r="I19" s="120"/>
      <c r="J19" s="150">
        <v>1</v>
      </c>
      <c r="K19" s="150">
        <v>2</v>
      </c>
      <c r="L19" s="150">
        <f t="shared" si="7"/>
        <v>1</v>
      </c>
      <c r="M19" s="120"/>
      <c r="N19" s="150">
        <v>0</v>
      </c>
      <c r="O19" s="150">
        <v>2</v>
      </c>
      <c r="P19" s="150">
        <f t="shared" si="8"/>
        <v>1</v>
      </c>
      <c r="Q19" s="120"/>
      <c r="R19" s="150">
        <v>1</v>
      </c>
      <c r="S19" s="150">
        <v>2</v>
      </c>
      <c r="T19" s="150">
        <f t="shared" si="9"/>
        <v>1</v>
      </c>
      <c r="U19" s="150"/>
      <c r="V19" s="150">
        <v>1</v>
      </c>
      <c r="W19" s="150">
        <v>3</v>
      </c>
      <c r="X19" s="150">
        <f t="shared" si="10"/>
        <v>1</v>
      </c>
      <c r="Y19" s="120"/>
      <c r="Z19" s="121">
        <f t="shared" si="11"/>
        <v>7</v>
      </c>
      <c r="AA19" s="164" t="str">
        <f t="shared" si="0"/>
        <v>Italia</v>
      </c>
      <c r="AB19" s="164">
        <f t="shared" si="12"/>
        <v>6</v>
      </c>
      <c r="AC19" s="164" t="str">
        <f t="shared" si="1"/>
        <v>Gales</v>
      </c>
      <c r="AD19" s="164">
        <f t="shared" si="13"/>
        <v>6</v>
      </c>
      <c r="AE19" s="156" t="str">
        <f>Terceros!B20</f>
        <v>Suiza</v>
      </c>
      <c r="AF19" s="116">
        <f t="shared" si="14"/>
        <v>0</v>
      </c>
      <c r="AG19" s="148">
        <f t="shared" si="15"/>
        <v>19</v>
      </c>
      <c r="AJ19" s="113">
        <f t="shared" si="16"/>
        <v>9.5779999999999994</v>
      </c>
      <c r="AK19" s="113">
        <f t="shared" si="17"/>
        <v>0.45200000000000001</v>
      </c>
      <c r="AL19" s="113">
        <f t="shared" si="18"/>
        <v>6.5039999999999996</v>
      </c>
      <c r="AM19" s="113">
        <f t="shared" si="19"/>
        <v>3.4819999999999998</v>
      </c>
      <c r="AN19" s="113">
        <f t="shared" si="2"/>
        <v>1</v>
      </c>
      <c r="AO19" s="113">
        <f t="shared" si="3"/>
        <v>4</v>
      </c>
      <c r="AP19" s="113">
        <f t="shared" si="4"/>
        <v>2</v>
      </c>
      <c r="AQ19" s="113">
        <f t="shared" si="22"/>
        <v>3</v>
      </c>
      <c r="AR19" s="113">
        <f t="shared" si="20"/>
        <v>1</v>
      </c>
      <c r="AS19" s="113">
        <f t="shared" si="21"/>
        <v>1</v>
      </c>
    </row>
    <row r="20" spans="1:45">
      <c r="A20" s="129" t="str">
        <f>Participantes!B17</f>
        <v>Mileny Acosta(CF)</v>
      </c>
      <c r="B20" s="150">
        <v>2</v>
      </c>
      <c r="C20" s="150">
        <v>1</v>
      </c>
      <c r="D20" s="150">
        <f t="shared" si="5"/>
        <v>1</v>
      </c>
      <c r="E20" s="150"/>
      <c r="F20" s="150">
        <v>0</v>
      </c>
      <c r="G20" s="150">
        <v>0</v>
      </c>
      <c r="H20" s="150">
        <f t="shared" si="6"/>
        <v>1</v>
      </c>
      <c r="I20" s="120"/>
      <c r="J20" s="150">
        <v>0</v>
      </c>
      <c r="K20" s="150">
        <v>1</v>
      </c>
      <c r="L20" s="150">
        <f t="shared" si="7"/>
        <v>1</v>
      </c>
      <c r="M20" s="120"/>
      <c r="N20" s="150">
        <v>0</v>
      </c>
      <c r="O20" s="150">
        <v>2</v>
      </c>
      <c r="P20" s="150">
        <f t="shared" si="8"/>
        <v>1</v>
      </c>
      <c r="Q20" s="120"/>
      <c r="R20" s="150">
        <v>1</v>
      </c>
      <c r="S20" s="150">
        <v>1</v>
      </c>
      <c r="T20" s="150">
        <f t="shared" si="9"/>
        <v>0</v>
      </c>
      <c r="U20" s="150"/>
      <c r="V20" s="150">
        <v>2</v>
      </c>
      <c r="W20" s="150">
        <v>3</v>
      </c>
      <c r="X20" s="150">
        <f t="shared" si="10"/>
        <v>1</v>
      </c>
      <c r="Y20" s="120"/>
      <c r="Z20" s="121">
        <f t="shared" si="11"/>
        <v>5</v>
      </c>
      <c r="AA20" s="164" t="str">
        <f t="shared" si="0"/>
        <v>Italia</v>
      </c>
      <c r="AB20" s="164">
        <f t="shared" si="12"/>
        <v>6</v>
      </c>
      <c r="AC20" s="164" t="str">
        <f t="shared" si="1"/>
        <v>Gales</v>
      </c>
      <c r="AD20" s="164">
        <f t="shared" si="13"/>
        <v>6</v>
      </c>
      <c r="AE20" s="156" t="str">
        <f>Terceros!B21</f>
        <v/>
      </c>
      <c r="AF20" s="116">
        <f t="shared" si="14"/>
        <v>0</v>
      </c>
      <c r="AG20" s="148">
        <f t="shared" si="15"/>
        <v>17</v>
      </c>
      <c r="AJ20" s="113">
        <f t="shared" si="16"/>
        <v>9.5469999999999988</v>
      </c>
      <c r="AK20" s="113">
        <f t="shared" si="17"/>
        <v>1.482</v>
      </c>
      <c r="AL20" s="113">
        <f t="shared" si="18"/>
        <v>4.5030000000000001</v>
      </c>
      <c r="AM20" s="113">
        <f t="shared" si="19"/>
        <v>2.4809999999999999</v>
      </c>
      <c r="AN20" s="113">
        <f t="shared" si="2"/>
        <v>1</v>
      </c>
      <c r="AO20" s="113">
        <f t="shared" si="3"/>
        <v>4</v>
      </c>
      <c r="AP20" s="113">
        <f t="shared" si="4"/>
        <v>2</v>
      </c>
      <c r="AQ20" s="113">
        <f t="shared" si="22"/>
        <v>3</v>
      </c>
      <c r="AR20" s="113">
        <f t="shared" si="20"/>
        <v>1</v>
      </c>
      <c r="AS20" s="113">
        <f t="shared" si="21"/>
        <v>1</v>
      </c>
    </row>
    <row r="21" spans="1:45">
      <c r="A21" s="129" t="str">
        <f>Participantes!B18</f>
        <v>Juan Rojas</v>
      </c>
      <c r="B21" s="150">
        <v>2</v>
      </c>
      <c r="C21" s="150">
        <v>0</v>
      </c>
      <c r="D21" s="150">
        <f t="shared" si="5"/>
        <v>1</v>
      </c>
      <c r="E21" s="150"/>
      <c r="F21" s="150">
        <v>1</v>
      </c>
      <c r="G21" s="150">
        <v>1</v>
      </c>
      <c r="H21" s="150">
        <f t="shared" si="6"/>
        <v>3</v>
      </c>
      <c r="I21" s="120"/>
      <c r="J21" s="150">
        <v>0</v>
      </c>
      <c r="K21" s="150">
        <v>0</v>
      </c>
      <c r="L21" s="150">
        <f t="shared" si="7"/>
        <v>0</v>
      </c>
      <c r="M21" s="120"/>
      <c r="N21" s="150">
        <v>1</v>
      </c>
      <c r="O21" s="150">
        <v>2</v>
      </c>
      <c r="P21" s="150">
        <f t="shared" si="8"/>
        <v>1</v>
      </c>
      <c r="Q21" s="120"/>
      <c r="R21" s="150">
        <v>1</v>
      </c>
      <c r="S21" s="150">
        <v>1</v>
      </c>
      <c r="T21" s="150">
        <f t="shared" si="9"/>
        <v>0</v>
      </c>
      <c r="U21" s="150"/>
      <c r="V21" s="150">
        <v>1</v>
      </c>
      <c r="W21" s="150">
        <v>3</v>
      </c>
      <c r="X21" s="150">
        <f t="shared" si="10"/>
        <v>1</v>
      </c>
      <c r="Y21" s="120"/>
      <c r="Z21" s="121">
        <f t="shared" si="11"/>
        <v>6</v>
      </c>
      <c r="AA21" s="164" t="str">
        <f t="shared" si="0"/>
        <v>Italia</v>
      </c>
      <c r="AB21" s="164">
        <f t="shared" si="12"/>
        <v>6</v>
      </c>
      <c r="AC21" s="164" t="str">
        <f t="shared" si="1"/>
        <v>Suiza</v>
      </c>
      <c r="AD21" s="164">
        <f t="shared" si="13"/>
        <v>0</v>
      </c>
      <c r="AE21" s="156" t="str">
        <f>Terceros!B22</f>
        <v>Gales</v>
      </c>
      <c r="AF21" s="116">
        <f t="shared" si="14"/>
        <v>3</v>
      </c>
      <c r="AG21" s="148">
        <f t="shared" si="15"/>
        <v>15</v>
      </c>
      <c r="AJ21" s="113">
        <f t="shared" si="16"/>
        <v>9.5570000000000004</v>
      </c>
      <c r="AK21" s="113">
        <f t="shared" si="17"/>
        <v>2.4809999999999999</v>
      </c>
      <c r="AL21" s="113">
        <f t="shared" si="18"/>
        <v>2.4819999999999998</v>
      </c>
      <c r="AM21" s="113">
        <f t="shared" si="19"/>
        <v>2.4930000000000003</v>
      </c>
      <c r="AN21" s="113">
        <f t="shared" si="2"/>
        <v>1</v>
      </c>
      <c r="AO21" s="113">
        <f t="shared" si="3"/>
        <v>4</v>
      </c>
      <c r="AP21" s="113">
        <f t="shared" si="4"/>
        <v>3</v>
      </c>
      <c r="AQ21" s="113">
        <f t="shared" si="22"/>
        <v>2</v>
      </c>
      <c r="AR21" s="113">
        <f t="shared" si="20"/>
        <v>1</v>
      </c>
      <c r="AS21" s="113">
        <f t="shared" si="21"/>
        <v>1</v>
      </c>
    </row>
    <row r="22" spans="1:45">
      <c r="A22" s="129" t="str">
        <f>Participantes!B19</f>
        <v>Bilis Cedeño</v>
      </c>
      <c r="B22" s="150">
        <v>2</v>
      </c>
      <c r="C22" s="150">
        <v>0</v>
      </c>
      <c r="D22" s="150">
        <f t="shared" si="5"/>
        <v>1</v>
      </c>
      <c r="E22" s="150"/>
      <c r="F22" s="150">
        <v>1</v>
      </c>
      <c r="G22" s="150">
        <v>1</v>
      </c>
      <c r="H22" s="150">
        <f t="shared" si="6"/>
        <v>3</v>
      </c>
      <c r="I22" s="120"/>
      <c r="J22" s="150">
        <v>1</v>
      </c>
      <c r="K22" s="150">
        <v>2</v>
      </c>
      <c r="L22" s="150">
        <f t="shared" si="7"/>
        <v>1</v>
      </c>
      <c r="M22" s="120"/>
      <c r="N22" s="150">
        <v>1</v>
      </c>
      <c r="O22" s="150">
        <v>2</v>
      </c>
      <c r="P22" s="150">
        <f t="shared" si="8"/>
        <v>1</v>
      </c>
      <c r="Q22" s="120"/>
      <c r="R22" s="150">
        <v>0</v>
      </c>
      <c r="S22" s="150">
        <v>2</v>
      </c>
      <c r="T22" s="150">
        <f t="shared" si="9"/>
        <v>1</v>
      </c>
      <c r="U22" s="150"/>
      <c r="V22" s="150">
        <v>0</v>
      </c>
      <c r="W22" s="150">
        <v>1</v>
      </c>
      <c r="X22" s="150">
        <f t="shared" si="10"/>
        <v>3</v>
      </c>
      <c r="Y22" s="120"/>
      <c r="Z22" s="121">
        <f t="shared" si="11"/>
        <v>10</v>
      </c>
      <c r="AA22" s="164" t="str">
        <f t="shared" si="0"/>
        <v>Italia</v>
      </c>
      <c r="AB22" s="164">
        <f t="shared" si="12"/>
        <v>6</v>
      </c>
      <c r="AC22" s="164" t="str">
        <f t="shared" si="1"/>
        <v>Suiza</v>
      </c>
      <c r="AD22" s="164">
        <f t="shared" si="13"/>
        <v>0</v>
      </c>
      <c r="AE22" s="156" t="str">
        <f>Terceros!B23</f>
        <v>Gales</v>
      </c>
      <c r="AF22" s="116">
        <f t="shared" si="14"/>
        <v>3</v>
      </c>
      <c r="AG22" s="148">
        <f t="shared" si="15"/>
        <v>19</v>
      </c>
      <c r="AJ22" s="113">
        <f t="shared" si="16"/>
        <v>9.5449999999999999</v>
      </c>
      <c r="AK22" s="113">
        <f t="shared" si="17"/>
        <v>0.45100000000000001</v>
      </c>
      <c r="AL22" s="113">
        <f t="shared" si="18"/>
        <v>4.5030000000000001</v>
      </c>
      <c r="AM22" s="113">
        <f t="shared" si="19"/>
        <v>4.5139999999999993</v>
      </c>
      <c r="AN22" s="113">
        <f t="shared" si="2"/>
        <v>1</v>
      </c>
      <c r="AO22" s="113">
        <f t="shared" si="3"/>
        <v>4</v>
      </c>
      <c r="AP22" s="113">
        <f t="shared" si="4"/>
        <v>3</v>
      </c>
      <c r="AQ22" s="113">
        <f t="shared" si="22"/>
        <v>2</v>
      </c>
      <c r="AR22" s="113">
        <f t="shared" si="20"/>
        <v>1</v>
      </c>
      <c r="AS22" s="113">
        <f t="shared" si="21"/>
        <v>1</v>
      </c>
    </row>
    <row r="23" spans="1:45">
      <c r="A23" s="129" t="str">
        <f>Participantes!B20</f>
        <v>Alfredo Quintero 1</v>
      </c>
      <c r="B23" s="150">
        <v>1</v>
      </c>
      <c r="C23" s="150">
        <v>0</v>
      </c>
      <c r="D23" s="150">
        <f t="shared" si="5"/>
        <v>1</v>
      </c>
      <c r="E23" s="150"/>
      <c r="F23" s="150">
        <v>1</v>
      </c>
      <c r="G23" s="150">
        <v>2</v>
      </c>
      <c r="H23" s="150">
        <f t="shared" si="6"/>
        <v>0</v>
      </c>
      <c r="I23" s="120"/>
      <c r="J23" s="150">
        <v>2</v>
      </c>
      <c r="K23" s="150">
        <v>1</v>
      </c>
      <c r="L23" s="150">
        <f t="shared" si="7"/>
        <v>0</v>
      </c>
      <c r="M23" s="120"/>
      <c r="N23" s="150">
        <v>1</v>
      </c>
      <c r="O23" s="150">
        <v>2</v>
      </c>
      <c r="P23" s="150">
        <f t="shared" si="8"/>
        <v>1</v>
      </c>
      <c r="Q23" s="120"/>
      <c r="R23" s="150">
        <v>2</v>
      </c>
      <c r="S23" s="150">
        <v>1</v>
      </c>
      <c r="T23" s="150">
        <f t="shared" si="9"/>
        <v>0</v>
      </c>
      <c r="U23" s="150"/>
      <c r="V23" s="150">
        <v>0</v>
      </c>
      <c r="W23" s="150">
        <v>2</v>
      </c>
      <c r="X23" s="150">
        <f t="shared" si="10"/>
        <v>1</v>
      </c>
      <c r="Y23" s="120"/>
      <c r="Z23" s="121">
        <f t="shared" si="11"/>
        <v>3</v>
      </c>
      <c r="AA23" s="164" t="str">
        <f t="shared" si="0"/>
        <v>Italia</v>
      </c>
      <c r="AB23" s="164">
        <f t="shared" si="12"/>
        <v>6</v>
      </c>
      <c r="AC23" s="164" t="str">
        <f t="shared" si="1"/>
        <v>Turquía</v>
      </c>
      <c r="AD23" s="164">
        <f t="shared" si="13"/>
        <v>0</v>
      </c>
      <c r="AE23" s="156" t="str">
        <f>Terceros!B24</f>
        <v>Suiza</v>
      </c>
      <c r="AF23" s="116">
        <f t="shared" si="14"/>
        <v>0</v>
      </c>
      <c r="AG23" s="148">
        <f t="shared" si="15"/>
        <v>9</v>
      </c>
      <c r="AJ23" s="113">
        <f t="shared" si="16"/>
        <v>9.5449999999999999</v>
      </c>
      <c r="AK23" s="113">
        <f t="shared" si="17"/>
        <v>6.5139999999999993</v>
      </c>
      <c r="AL23" s="113">
        <f t="shared" si="18"/>
        <v>0.46200000000000002</v>
      </c>
      <c r="AM23" s="113">
        <f t="shared" si="19"/>
        <v>3.4940000000000002</v>
      </c>
      <c r="AN23" s="113">
        <f t="shared" si="2"/>
        <v>1</v>
      </c>
      <c r="AO23" s="113">
        <f t="shared" si="3"/>
        <v>2</v>
      </c>
      <c r="AP23" s="113">
        <f t="shared" si="4"/>
        <v>4</v>
      </c>
      <c r="AQ23" s="113">
        <f t="shared" si="22"/>
        <v>3</v>
      </c>
      <c r="AR23" s="113">
        <f t="shared" si="20"/>
        <v>1</v>
      </c>
      <c r="AS23" s="113">
        <f t="shared" si="21"/>
        <v>1</v>
      </c>
    </row>
    <row r="24" spans="1:45">
      <c r="A24" s="129" t="str">
        <f>Participantes!B21</f>
        <v>Alfredo Quintero 2</v>
      </c>
      <c r="B24" s="150">
        <v>2</v>
      </c>
      <c r="C24" s="150">
        <v>1</v>
      </c>
      <c r="D24" s="150">
        <f t="shared" si="5"/>
        <v>1</v>
      </c>
      <c r="E24" s="150"/>
      <c r="F24" s="150">
        <v>0</v>
      </c>
      <c r="G24" s="150">
        <v>2</v>
      </c>
      <c r="H24" s="150">
        <f t="shared" si="6"/>
        <v>0</v>
      </c>
      <c r="I24" s="120"/>
      <c r="J24" s="150">
        <v>0</v>
      </c>
      <c r="K24" s="150">
        <v>0</v>
      </c>
      <c r="L24" s="150">
        <f t="shared" si="7"/>
        <v>0</v>
      </c>
      <c r="M24" s="120"/>
      <c r="N24" s="150">
        <v>0</v>
      </c>
      <c r="O24" s="150">
        <v>1</v>
      </c>
      <c r="P24" s="150">
        <f t="shared" si="8"/>
        <v>1</v>
      </c>
      <c r="Q24" s="120"/>
      <c r="R24" s="150">
        <v>1</v>
      </c>
      <c r="S24" s="150">
        <v>2</v>
      </c>
      <c r="T24" s="150">
        <f t="shared" si="9"/>
        <v>1</v>
      </c>
      <c r="U24" s="150"/>
      <c r="V24" s="150">
        <v>0</v>
      </c>
      <c r="W24" s="150">
        <v>1</v>
      </c>
      <c r="X24" s="150">
        <f t="shared" si="10"/>
        <v>3</v>
      </c>
      <c r="Y24" s="120"/>
      <c r="Z24" s="121">
        <f t="shared" si="11"/>
        <v>6</v>
      </c>
      <c r="AA24" s="164" t="str">
        <f t="shared" si="0"/>
        <v>Italia</v>
      </c>
      <c r="AB24" s="164">
        <f t="shared" si="12"/>
        <v>6</v>
      </c>
      <c r="AC24" s="164" t="str">
        <f t="shared" si="1"/>
        <v>Suiza</v>
      </c>
      <c r="AD24" s="164">
        <f t="shared" si="13"/>
        <v>0</v>
      </c>
      <c r="AE24" s="156" t="str">
        <f>Terceros!B25</f>
        <v/>
      </c>
      <c r="AF24" s="116">
        <f t="shared" si="14"/>
        <v>0</v>
      </c>
      <c r="AG24" s="148">
        <f t="shared" si="15"/>
        <v>12</v>
      </c>
      <c r="AJ24" s="113">
        <f t="shared" si="16"/>
        <v>9.5339999999999989</v>
      </c>
      <c r="AK24" s="113">
        <f t="shared" si="17"/>
        <v>1.482</v>
      </c>
      <c r="AL24" s="113">
        <f t="shared" si="18"/>
        <v>1.47</v>
      </c>
      <c r="AM24" s="113">
        <f t="shared" si="19"/>
        <v>6.5239999999999991</v>
      </c>
      <c r="AN24" s="113">
        <f t="shared" si="2"/>
        <v>1</v>
      </c>
      <c r="AO24" s="113">
        <f t="shared" si="3"/>
        <v>3</v>
      </c>
      <c r="AP24" s="113">
        <f t="shared" si="4"/>
        <v>4</v>
      </c>
      <c r="AQ24" s="113">
        <f t="shared" si="22"/>
        <v>2</v>
      </c>
      <c r="AR24" s="113">
        <f t="shared" si="20"/>
        <v>1</v>
      </c>
      <c r="AS24" s="113">
        <f t="shared" si="21"/>
        <v>1</v>
      </c>
    </row>
    <row r="25" spans="1:45">
      <c r="A25" s="129" t="str">
        <f>Participantes!B22</f>
        <v>Antonio Barahona</v>
      </c>
      <c r="B25" s="150">
        <v>1</v>
      </c>
      <c r="C25" s="150">
        <v>0</v>
      </c>
      <c r="D25" s="150">
        <f t="shared" si="5"/>
        <v>1</v>
      </c>
      <c r="E25" s="150"/>
      <c r="F25" s="150">
        <v>0</v>
      </c>
      <c r="G25" s="150">
        <v>0</v>
      </c>
      <c r="H25" s="150">
        <f t="shared" si="6"/>
        <v>1</v>
      </c>
      <c r="I25" s="120"/>
      <c r="J25" s="150">
        <v>2</v>
      </c>
      <c r="K25" s="150">
        <v>0</v>
      </c>
      <c r="L25" s="150">
        <f t="shared" si="7"/>
        <v>0</v>
      </c>
      <c r="M25" s="120"/>
      <c r="N25" s="150">
        <v>1</v>
      </c>
      <c r="O25" s="150">
        <v>2</v>
      </c>
      <c r="P25" s="150">
        <f t="shared" si="8"/>
        <v>1</v>
      </c>
      <c r="Q25" s="120"/>
      <c r="R25" s="150">
        <v>2</v>
      </c>
      <c r="S25" s="150">
        <v>1</v>
      </c>
      <c r="T25" s="150">
        <f t="shared" si="9"/>
        <v>0</v>
      </c>
      <c r="U25" s="150"/>
      <c r="V25" s="150">
        <v>0</v>
      </c>
      <c r="W25" s="150">
        <v>3</v>
      </c>
      <c r="X25" s="150">
        <f t="shared" si="10"/>
        <v>1</v>
      </c>
      <c r="Y25" s="120"/>
      <c r="Z25" s="121">
        <f t="shared" si="11"/>
        <v>4</v>
      </c>
      <c r="AA25" s="164" t="str">
        <f t="shared" si="0"/>
        <v>Italia</v>
      </c>
      <c r="AB25" s="164">
        <f t="shared" si="12"/>
        <v>6</v>
      </c>
      <c r="AC25" s="164" t="str">
        <f t="shared" si="1"/>
        <v>Turquía</v>
      </c>
      <c r="AD25" s="164">
        <f t="shared" si="13"/>
        <v>0</v>
      </c>
      <c r="AE25" s="156" t="str">
        <f>Terceros!B26</f>
        <v/>
      </c>
      <c r="AF25" s="116">
        <f t="shared" si="14"/>
        <v>0</v>
      </c>
      <c r="AG25" s="148">
        <f t="shared" si="15"/>
        <v>10</v>
      </c>
      <c r="AJ25" s="113">
        <f t="shared" si="16"/>
        <v>9.5560000000000009</v>
      </c>
      <c r="AK25" s="113">
        <f t="shared" si="17"/>
        <v>6.5239999999999991</v>
      </c>
      <c r="AL25" s="113">
        <f t="shared" si="18"/>
        <v>1.45</v>
      </c>
      <c r="AM25" s="113">
        <f t="shared" si="19"/>
        <v>1.482</v>
      </c>
      <c r="AN25" s="113">
        <f t="shared" si="2"/>
        <v>1</v>
      </c>
      <c r="AO25" s="113">
        <f t="shared" si="3"/>
        <v>2</v>
      </c>
      <c r="AP25" s="113">
        <f t="shared" si="4"/>
        <v>4</v>
      </c>
      <c r="AQ25" s="113">
        <f t="shared" si="22"/>
        <v>3</v>
      </c>
      <c r="AR25" s="113">
        <f t="shared" si="20"/>
        <v>1</v>
      </c>
      <c r="AS25" s="113">
        <f t="shared" si="21"/>
        <v>1</v>
      </c>
    </row>
    <row r="26" spans="1:45">
      <c r="A26" s="129" t="str">
        <f>Participantes!B23</f>
        <v>Jose Caballero 1</v>
      </c>
      <c r="B26" s="150">
        <v>2</v>
      </c>
      <c r="C26" s="150">
        <v>0</v>
      </c>
      <c r="D26" s="150">
        <f t="shared" si="5"/>
        <v>1</v>
      </c>
      <c r="E26" s="150"/>
      <c r="F26" s="150">
        <v>1</v>
      </c>
      <c r="G26" s="150">
        <v>1</v>
      </c>
      <c r="H26" s="150">
        <f t="shared" si="6"/>
        <v>3</v>
      </c>
      <c r="I26" s="120"/>
      <c r="J26" s="150">
        <v>0</v>
      </c>
      <c r="K26" s="150">
        <v>3</v>
      </c>
      <c r="L26" s="150">
        <f t="shared" si="7"/>
        <v>1</v>
      </c>
      <c r="M26" s="120"/>
      <c r="N26" s="150">
        <v>1</v>
      </c>
      <c r="O26" s="150">
        <v>1</v>
      </c>
      <c r="P26" s="150">
        <f t="shared" si="8"/>
        <v>0</v>
      </c>
      <c r="Q26" s="120"/>
      <c r="R26" s="150">
        <v>0</v>
      </c>
      <c r="S26" s="150">
        <v>2</v>
      </c>
      <c r="T26" s="150">
        <f t="shared" si="9"/>
        <v>1</v>
      </c>
      <c r="U26" s="150"/>
      <c r="V26" s="150">
        <v>1</v>
      </c>
      <c r="W26" s="150">
        <v>2</v>
      </c>
      <c r="X26" s="150">
        <f t="shared" si="10"/>
        <v>1</v>
      </c>
      <c r="Y26" s="120"/>
      <c r="Z26" s="121">
        <f t="shared" si="11"/>
        <v>7</v>
      </c>
      <c r="AA26" s="164" t="str">
        <f t="shared" si="0"/>
        <v>Italia</v>
      </c>
      <c r="AB26" s="164">
        <f t="shared" si="12"/>
        <v>6</v>
      </c>
      <c r="AC26" s="164" t="str">
        <f t="shared" si="1"/>
        <v>Suiza</v>
      </c>
      <c r="AD26" s="164">
        <f t="shared" si="13"/>
        <v>0</v>
      </c>
      <c r="AE26" s="156" t="str">
        <f>Terceros!B27</f>
        <v>Gales</v>
      </c>
      <c r="AF26" s="116">
        <f t="shared" si="14"/>
        <v>3</v>
      </c>
      <c r="AG26" s="148">
        <f t="shared" si="15"/>
        <v>16</v>
      </c>
      <c r="AJ26" s="113">
        <f t="shared" si="16"/>
        <v>7.5350000000000001</v>
      </c>
      <c r="AK26" s="113">
        <f t="shared" si="17"/>
        <v>0.43</v>
      </c>
      <c r="AL26" s="113">
        <f t="shared" si="18"/>
        <v>4.5249999999999995</v>
      </c>
      <c r="AM26" s="113">
        <f t="shared" si="19"/>
        <v>5.5239999999999991</v>
      </c>
      <c r="AN26" s="113">
        <f t="shared" si="2"/>
        <v>1</v>
      </c>
      <c r="AO26" s="113">
        <f t="shared" si="3"/>
        <v>4</v>
      </c>
      <c r="AP26" s="113">
        <f t="shared" si="4"/>
        <v>3</v>
      </c>
      <c r="AQ26" s="113">
        <f t="shared" si="22"/>
        <v>2</v>
      </c>
      <c r="AR26" s="113">
        <f t="shared" si="20"/>
        <v>1</v>
      </c>
      <c r="AS26" s="113">
        <f t="shared" si="21"/>
        <v>1</v>
      </c>
    </row>
    <row r="27" spans="1:45">
      <c r="A27" s="129" t="str">
        <f>Participantes!B24</f>
        <v>Jose Caballero 2(Betito)</v>
      </c>
      <c r="B27" s="150">
        <v>2</v>
      </c>
      <c r="C27" s="150">
        <v>1</v>
      </c>
      <c r="D27" s="150">
        <f t="shared" si="5"/>
        <v>1</v>
      </c>
      <c r="E27" s="150"/>
      <c r="F27" s="150">
        <v>1</v>
      </c>
      <c r="G27" s="150">
        <v>3</v>
      </c>
      <c r="H27" s="150">
        <f t="shared" si="6"/>
        <v>0</v>
      </c>
      <c r="I27" s="120"/>
      <c r="J27" s="150">
        <v>2</v>
      </c>
      <c r="K27" s="150">
        <v>0</v>
      </c>
      <c r="L27" s="150">
        <f t="shared" si="7"/>
        <v>0</v>
      </c>
      <c r="M27" s="120"/>
      <c r="N27" s="150">
        <v>2</v>
      </c>
      <c r="O27" s="150">
        <v>1</v>
      </c>
      <c r="P27" s="150">
        <f t="shared" si="8"/>
        <v>0</v>
      </c>
      <c r="Q27" s="120"/>
      <c r="R27" s="150">
        <v>1</v>
      </c>
      <c r="S27" s="150">
        <v>2</v>
      </c>
      <c r="T27" s="150">
        <f t="shared" si="9"/>
        <v>1</v>
      </c>
      <c r="U27" s="150"/>
      <c r="V27" s="150">
        <v>1</v>
      </c>
      <c r="W27" s="150">
        <v>3</v>
      </c>
      <c r="X27" s="150">
        <f t="shared" si="10"/>
        <v>1</v>
      </c>
      <c r="Y27" s="120"/>
      <c r="Z27" s="121">
        <f t="shared" si="11"/>
        <v>3</v>
      </c>
      <c r="AA27" s="164" t="str">
        <f t="shared" si="0"/>
        <v>Suiza</v>
      </c>
      <c r="AB27" s="164">
        <f t="shared" si="12"/>
        <v>0</v>
      </c>
      <c r="AC27" s="164" t="str">
        <f t="shared" si="1"/>
        <v>Italia</v>
      </c>
      <c r="AD27" s="164">
        <f t="shared" si="13"/>
        <v>3</v>
      </c>
      <c r="AE27" s="156" t="str">
        <f>Terceros!B28</f>
        <v>Turquía</v>
      </c>
      <c r="AF27" s="116">
        <f t="shared" si="14"/>
        <v>0</v>
      </c>
      <c r="AG27" s="148">
        <f t="shared" si="15"/>
        <v>6</v>
      </c>
      <c r="AJ27" s="113">
        <f t="shared" si="16"/>
        <v>6.5259999999999998</v>
      </c>
      <c r="AK27" s="113">
        <f t="shared" si="17"/>
        <v>3.504</v>
      </c>
      <c r="AL27" s="113">
        <f t="shared" si="18"/>
        <v>0.442</v>
      </c>
      <c r="AM27" s="113">
        <f t="shared" si="19"/>
        <v>9.5469999999999988</v>
      </c>
      <c r="AN27" s="113">
        <f t="shared" si="2"/>
        <v>2</v>
      </c>
      <c r="AO27" s="113">
        <f t="shared" si="3"/>
        <v>3</v>
      </c>
      <c r="AP27" s="113">
        <f t="shared" si="4"/>
        <v>4</v>
      </c>
      <c r="AQ27" s="113">
        <f t="shared" si="22"/>
        <v>1</v>
      </c>
      <c r="AR27" s="113">
        <f t="shared" si="20"/>
        <v>1</v>
      </c>
      <c r="AS27" s="113">
        <f t="shared" si="21"/>
        <v>1</v>
      </c>
    </row>
  </sheetData>
  <mergeCells count="14">
    <mergeCell ref="Z2:Z3"/>
    <mergeCell ref="AG2:AG3"/>
    <mergeCell ref="D2:D3"/>
    <mergeCell ref="H2:H3"/>
    <mergeCell ref="L2:L3"/>
    <mergeCell ref="P2:P3"/>
    <mergeCell ref="T2:T3"/>
    <mergeCell ref="X2:X3"/>
    <mergeCell ref="V1:X1"/>
    <mergeCell ref="B1:D1"/>
    <mergeCell ref="F1:H1"/>
    <mergeCell ref="J1:L1"/>
    <mergeCell ref="N1:P1"/>
    <mergeCell ref="R1:T1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8BA95F9-5EA3-49DE-9A37-71DA5A62C331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2" id="{04136ED1-0B39-4154-A15B-E0D8F9A27C6C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3" id="{F942DBB1-09E0-4227-BE9C-CDF76EBDA435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V3:W3</xm:sqref>
        </x14:conditionalFormatting>
        <x14:conditionalFormatting xmlns:xm="http://schemas.microsoft.com/office/excel/2006/main">
          <x14:cfRule type="expression" priority="16" id="{377BE1E3-E0DB-4428-843D-F6A1A0425A9D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7" id="{8382A825-D289-4FCD-B18E-2A77DBED1152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8" id="{3A5D70BD-A8C7-47D9-8399-C0A29869D567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B3:C3</xm:sqref>
        </x14:conditionalFormatting>
        <x14:conditionalFormatting xmlns:xm="http://schemas.microsoft.com/office/excel/2006/main">
          <x14:cfRule type="expression" priority="13" id="{ACBE3A1D-9480-4D0E-9C0A-6C70903C90D3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4" id="{1E706B23-C983-46AB-8A29-110B1A6B860F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5" id="{C8DBA9E2-E1FA-40C1-ABA1-1D506C1F5BE6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F3:G3</xm:sqref>
        </x14:conditionalFormatting>
        <x14:conditionalFormatting xmlns:xm="http://schemas.microsoft.com/office/excel/2006/main">
          <x14:cfRule type="expression" priority="10" id="{B536F8BD-6B04-4269-8953-7EB44023F061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1" id="{8D687872-1747-4374-83BA-EB51CCB1712E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2" id="{BC94DAFF-5F23-4B27-AB9F-EBD435CF0209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J3:K3</xm:sqref>
        </x14:conditionalFormatting>
        <x14:conditionalFormatting xmlns:xm="http://schemas.microsoft.com/office/excel/2006/main">
          <x14:cfRule type="expression" priority="7" id="{6CC2C9B1-D0F1-4FB2-95AF-D249C63FE82B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8" id="{2088B019-A8A7-469B-9B2A-52709A948996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9" id="{47043AEA-7DAA-4DE8-8283-1F5809BE33AC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N3:O3</xm:sqref>
        </x14:conditionalFormatting>
        <x14:conditionalFormatting xmlns:xm="http://schemas.microsoft.com/office/excel/2006/main">
          <x14:cfRule type="expression" priority="4" id="{71892825-2019-4EAF-BA24-3B823CC70A88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5" id="{418347A7-B584-4967-BEF0-1C9CBEEEA9E0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6" id="{D7384A08-FF9D-4DB9-8C8F-7750052CDC47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R3:S3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9"/>
  <sheetViews>
    <sheetView topLeftCell="L1" zoomScale="80" zoomScaleNormal="80" workbookViewId="0">
      <selection activeCell="AE5" sqref="AE5"/>
    </sheetView>
  </sheetViews>
  <sheetFormatPr baseColWidth="10" defaultRowHeight="15"/>
  <cols>
    <col min="1" max="1" width="24.28515625" style="145" customWidth="1"/>
    <col min="2" max="2" width="10.5703125" style="134" customWidth="1"/>
    <col min="3" max="3" width="10.85546875" style="134" customWidth="1"/>
    <col min="4" max="4" width="5.85546875" style="135" customWidth="1"/>
    <col min="5" max="5" width="0.5703125" style="135" customWidth="1"/>
    <col min="6" max="7" width="8.7109375" style="135" customWidth="1"/>
    <col min="8" max="8" width="5.85546875" style="135" customWidth="1"/>
    <col min="9" max="9" width="0.5703125" style="135" customWidth="1"/>
    <col min="10" max="10" width="10" style="135" customWidth="1"/>
    <col min="11" max="11" width="8.7109375" style="135" customWidth="1"/>
    <col min="12" max="12" width="5.85546875" style="135" customWidth="1"/>
    <col min="13" max="13" width="0.5703125" style="135" customWidth="1"/>
    <col min="14" max="14" width="8.7109375" style="135" customWidth="1"/>
    <col min="15" max="15" width="11.28515625" style="135" customWidth="1"/>
    <col min="16" max="16" width="5.85546875" style="135" customWidth="1"/>
    <col min="17" max="17" width="0.5703125" style="135" customWidth="1"/>
    <col min="18" max="18" width="11.42578125" style="135" customWidth="1"/>
    <col min="19" max="19" width="8.7109375" style="135" customWidth="1"/>
    <col min="20" max="20" width="5.85546875" style="135" customWidth="1"/>
    <col min="21" max="21" width="0.5703125" style="135" customWidth="1"/>
    <col min="22" max="22" width="9.28515625" style="135" customWidth="1"/>
    <col min="23" max="23" width="8.7109375" style="135" customWidth="1"/>
    <col min="24" max="24" width="5.85546875" style="135" customWidth="1"/>
    <col min="25" max="25" width="0.5703125" style="135" customWidth="1"/>
    <col min="26" max="26" width="11.42578125" style="135"/>
    <col min="27" max="27" width="11.42578125" style="113"/>
    <col min="28" max="28" width="14.28515625" style="113" customWidth="1"/>
    <col min="29" max="29" width="11.42578125" style="113"/>
    <col min="30" max="30" width="11.42578125" style="135"/>
    <col min="31" max="35" width="11.42578125" style="113" customWidth="1"/>
    <col min="36" max="36" width="13.42578125" style="113" customWidth="1"/>
    <col min="37" max="37" width="11.7109375" style="113" customWidth="1"/>
    <col min="38" max="38" width="10.28515625" style="113" customWidth="1"/>
    <col min="39" max="39" width="9.85546875" style="113" customWidth="1"/>
    <col min="40" max="40" width="7.140625" style="113" customWidth="1"/>
    <col min="41" max="41" width="5.85546875" style="113" customWidth="1"/>
    <col min="42" max="42" width="5.7109375" style="113" customWidth="1"/>
    <col min="43" max="43" width="5" style="113" customWidth="1"/>
    <col min="44" max="46" width="11.42578125" style="113" customWidth="1"/>
    <col min="47" max="16384" width="11.42578125" style="113"/>
  </cols>
  <sheetData>
    <row r="1" spans="1:45">
      <c r="A1" s="141"/>
      <c r="B1" s="205">
        <v>1</v>
      </c>
      <c r="C1" s="205"/>
      <c r="D1" s="205"/>
      <c r="E1" s="120"/>
      <c r="F1" s="205">
        <v>2</v>
      </c>
      <c r="G1" s="205"/>
      <c r="H1" s="205"/>
      <c r="I1" s="120"/>
      <c r="J1" s="205">
        <v>3</v>
      </c>
      <c r="K1" s="205"/>
      <c r="L1" s="205"/>
      <c r="M1" s="120"/>
      <c r="N1" s="205">
        <v>4</v>
      </c>
      <c r="O1" s="205"/>
      <c r="P1" s="205"/>
      <c r="Q1" s="120"/>
      <c r="R1" s="205">
        <v>5</v>
      </c>
      <c r="S1" s="205"/>
      <c r="T1" s="205"/>
      <c r="U1" s="120"/>
      <c r="V1" s="205">
        <v>6</v>
      </c>
      <c r="W1" s="205"/>
      <c r="X1" s="205"/>
      <c r="Y1" s="120"/>
      <c r="Z1" s="121"/>
      <c r="AA1" s="148"/>
      <c r="AB1" s="148"/>
      <c r="AC1" s="148"/>
      <c r="AD1" s="148"/>
      <c r="AE1" s="148"/>
      <c r="AF1" s="134"/>
    </row>
    <row r="2" spans="1:45" ht="28.5" customHeight="1">
      <c r="A2" s="142"/>
      <c r="B2" s="123" t="str">
        <f>'H1'!$D12</f>
        <v>Dinamarca</v>
      </c>
      <c r="C2" s="123" t="str">
        <f>'H1'!$F12</f>
        <v>Finlandia</v>
      </c>
      <c r="D2" s="208" t="s">
        <v>1</v>
      </c>
      <c r="E2" s="124"/>
      <c r="F2" s="123" t="str">
        <f>'H1'!D13</f>
        <v>Rusia</v>
      </c>
      <c r="G2" s="123" t="str">
        <f>'H1'!F13</f>
        <v>Bélgica</v>
      </c>
      <c r="H2" s="208" t="s">
        <v>1</v>
      </c>
      <c r="I2" s="124"/>
      <c r="J2" s="123" t="str">
        <f>'H1'!$D14</f>
        <v>Finlandia</v>
      </c>
      <c r="K2" s="123" t="str">
        <f>'H1'!$F14</f>
        <v>Rusia</v>
      </c>
      <c r="L2" s="208" t="s">
        <v>1</v>
      </c>
      <c r="M2" s="124"/>
      <c r="N2" s="123" t="str">
        <f>'H1'!$D15</f>
        <v>Bélgica</v>
      </c>
      <c r="O2" s="123" t="str">
        <f>'H1'!$F15</f>
        <v>Dinamarca</v>
      </c>
      <c r="P2" s="208" t="s">
        <v>1</v>
      </c>
      <c r="Q2" s="124"/>
      <c r="R2" s="123" t="str">
        <f>'H1'!$D16</f>
        <v>Dinamarca</v>
      </c>
      <c r="S2" s="123" t="str">
        <f>'H1'!$F16</f>
        <v>Rusia</v>
      </c>
      <c r="T2" s="210" t="s">
        <v>1</v>
      </c>
      <c r="U2" s="124"/>
      <c r="V2" s="123" t="str">
        <f>'H1'!$D17</f>
        <v>Finlandia</v>
      </c>
      <c r="W2" s="123" t="str">
        <f>'H1'!$F17</f>
        <v>Bélgica</v>
      </c>
      <c r="X2" s="208" t="s">
        <v>1</v>
      </c>
      <c r="Y2" s="124"/>
      <c r="Z2" s="206" t="s">
        <v>400</v>
      </c>
      <c r="AA2" s="149" t="s">
        <v>401</v>
      </c>
      <c r="AB2" s="149"/>
      <c r="AC2" s="149" t="s">
        <v>402</v>
      </c>
      <c r="AD2" s="149"/>
      <c r="AE2" s="149" t="s">
        <v>412</v>
      </c>
      <c r="AF2" s="149"/>
      <c r="AG2" s="206" t="s">
        <v>403</v>
      </c>
      <c r="AJ2" s="113" t="str">
        <f>B2</f>
        <v>Dinamarca</v>
      </c>
      <c r="AK2" s="113" t="str">
        <f>C2</f>
        <v>Finlandia</v>
      </c>
      <c r="AL2" s="113" t="str">
        <f>F2</f>
        <v>Rusia</v>
      </c>
      <c r="AM2" s="113" t="str">
        <f>G2</f>
        <v>Bélgica</v>
      </c>
    </row>
    <row r="3" spans="1:45" ht="30" customHeight="1">
      <c r="A3" s="143" t="s">
        <v>404</v>
      </c>
      <c r="B3" s="126">
        <f>'H1'!$E12</f>
        <v>0</v>
      </c>
      <c r="C3" s="126">
        <f>'H1'!$G12</f>
        <v>1</v>
      </c>
      <c r="D3" s="209"/>
      <c r="E3" s="124"/>
      <c r="F3" s="126">
        <f>'H1'!$E13</f>
        <v>0</v>
      </c>
      <c r="G3" s="126">
        <f>'H1'!$G13</f>
        <v>3</v>
      </c>
      <c r="H3" s="209"/>
      <c r="I3" s="124"/>
      <c r="J3" s="126">
        <f>'H1'!$E14</f>
        <v>0</v>
      </c>
      <c r="K3" s="126">
        <f>'H1'!$G14</f>
        <v>1</v>
      </c>
      <c r="L3" s="209"/>
      <c r="M3" s="124"/>
      <c r="N3" s="126">
        <f>'H1'!$E15</f>
        <v>2</v>
      </c>
      <c r="O3" s="126">
        <f>'H1'!$G15</f>
        <v>1</v>
      </c>
      <c r="P3" s="209"/>
      <c r="Q3" s="124"/>
      <c r="R3" s="126">
        <f>'H1'!$E16</f>
        <v>4</v>
      </c>
      <c r="S3" s="126">
        <f>'H1'!$G16</f>
        <v>1</v>
      </c>
      <c r="T3" s="211"/>
      <c r="U3" s="124"/>
      <c r="V3" s="126">
        <f>'H1'!$E17</f>
        <v>0</v>
      </c>
      <c r="W3" s="126">
        <f>'H1'!$G17</f>
        <v>2</v>
      </c>
      <c r="X3" s="209"/>
      <c r="Y3" s="124"/>
      <c r="Z3" s="207"/>
      <c r="AA3" s="127" t="str">
        <f>IF('H1'!S16="1B","",'H1'!S16)</f>
        <v>Bélgica</v>
      </c>
      <c r="AB3" s="127"/>
      <c r="AC3" s="127" t="str">
        <f>IF('H1'!S7="2B","",'H1'!S7)</f>
        <v>Dinamarca</v>
      </c>
      <c r="AD3" s="127"/>
      <c r="AE3" s="127" t="s">
        <v>437</v>
      </c>
      <c r="AF3" s="163"/>
      <c r="AG3" s="207"/>
    </row>
    <row r="4" spans="1:45" ht="3.75" customHeight="1">
      <c r="A4" s="144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</row>
    <row r="5" spans="1:45">
      <c r="A5" s="129" t="str">
        <f>Participantes!B2</f>
        <v>Luis Medica</v>
      </c>
      <c r="B5" s="150">
        <v>1</v>
      </c>
      <c r="C5" s="150">
        <v>0</v>
      </c>
      <c r="D5" s="150">
        <f>IF(AND($B5=$B$3, $C5=$C$3),3,IF(AND($B$3&gt;$C$3, $B5&gt;$C5),1,IF(AND($C5&gt;B5, $C$3&gt;$B$3), 1, IF(AND($B$3=$C$3, $B5=$C5),1,0))))*IF($B$3="",0,1)</f>
        <v>0</v>
      </c>
      <c r="E5" s="120"/>
      <c r="F5" s="150">
        <v>1</v>
      </c>
      <c r="G5" s="150">
        <v>3</v>
      </c>
      <c r="H5" s="150">
        <f>IF(AND($F5=$F$3, $G5=$G$3),3,IF(AND($F$3&gt;$G$3, $F5&gt;$G5),1,IF(AND($G5&gt;F5, $G$3&gt;$F$3), 1, IF(AND($F$3=$G$3, $F5=$G5),1,0))))*IF($F$3="",0,1)</f>
        <v>1</v>
      </c>
      <c r="I5" s="120"/>
      <c r="J5" s="150">
        <v>0</v>
      </c>
      <c r="K5" s="150">
        <v>1</v>
      </c>
      <c r="L5" s="150">
        <f>IF(AND($J5=$J$3, $K5=$K$3),3,IF(AND($J$3&gt;$K$3, $J5&gt;$K5),1,IF(AND($K5&gt;J5, $K$3&gt;$J$3), 1, IF(AND($J$3=$K$3, $J5=$K5),1,0))))*IF($J$3="",0,1)</f>
        <v>3</v>
      </c>
      <c r="M5" s="120"/>
      <c r="N5" s="150">
        <v>2</v>
      </c>
      <c r="O5" s="150">
        <v>0</v>
      </c>
      <c r="P5" s="150">
        <f>IF(AND($N5=$N$3, $O5=$O$3),3,IF(AND($N$3&gt;$O$3, $N5&gt;$O5),1,IF(AND($O5&gt;N5, $O$3&gt;$N$3), 1, IF(AND($N$3=$O$3, $N5=$O5),1,0))))*IF($N$3="",0,1)</f>
        <v>1</v>
      </c>
      <c r="Q5" s="120"/>
      <c r="R5" s="150">
        <v>0</v>
      </c>
      <c r="S5" s="150">
        <v>0</v>
      </c>
      <c r="T5" s="150">
        <f>IF(AND($R5=$R$3, $S5=$S$3),3,IF(AND($R$3&gt;$S$3, $R5&gt;$S5),1,IF(AND($S5&gt;R5, $S$3&gt;$R$3), 1, IF(AND($R$3=$S$3, $R5=$S5),1,0))))*IF($R$3="",0,1)</f>
        <v>0</v>
      </c>
      <c r="U5" s="131"/>
      <c r="V5" s="150">
        <v>0</v>
      </c>
      <c r="W5" s="150">
        <v>4</v>
      </c>
      <c r="X5" s="150">
        <f>IF(AND($V5=$V$3, $W5=$W$3),3,IF(AND($V$3&gt;$W$3, $V5&gt;$W5),1,IF(AND($W5&gt;V5, $W$3&gt;$V$3), 1, IF(AND($V$3=$W$3, $V5=$W5),1,0))))*IF($V$3="",0,1)</f>
        <v>1</v>
      </c>
      <c r="Y5" s="120"/>
      <c r="Z5" s="121">
        <f>D5+H5+L5+P5+T5+X5</f>
        <v>6</v>
      </c>
      <c r="AA5" s="116" t="str">
        <f t="shared" ref="AA5:AA27" si="0">CONCATENATE(IF(AR5&gt;2,"***",""),IF(AN5=1,$AJ$2,IF(AO5=1,$AK$2,IF(AP5=1,$AL$2,IF(AQ5=1,$AM$2,"error")))))</f>
        <v>Bélgica</v>
      </c>
      <c r="AB5" s="116">
        <f>(IF($AA$3=AA5,6,0)+IF($AC$3=AA5,3,0)+IF(AA5=$AE$3,3,0))</f>
        <v>6</v>
      </c>
      <c r="AC5" s="116" t="str">
        <f t="shared" ref="AC5:AC27" si="1">CONCATENATE(IF(AS5&gt;1,"**",""),IF(AN5=2,$AJ$2,IF(AO5=2,$AK$2,IF(AP5=2,$AL$2,IF(AQ5=2,$AM$2,CONCATENATE(IF(AS5&gt;1,"*",""),"*",IF(AQ5=1,$AM$2,IF(AP5=1,$AL$2,$AK$2))))))))</f>
        <v>Rusia</v>
      </c>
      <c r="AD5" s="116">
        <f>(IF($AA$3=AC5,3,0)+IF($AC$3=AC5,6,0)+IF(AC5=$AE$3,3,0))</f>
        <v>0</v>
      </c>
      <c r="AE5" s="156" t="str">
        <f>Terceros!C6</f>
        <v>Dinamarca</v>
      </c>
      <c r="AF5" s="116">
        <f>IF($AA$3=AE5,3,0)+IF($AC$3=AE5,3,0)+IF(AE5=$AE$3,6,0)</f>
        <v>3</v>
      </c>
      <c r="AG5" s="148">
        <f>Z5+(AB5+AD5+AF5)*IF(AA3="",0,1)</f>
        <v>15</v>
      </c>
      <c r="AJ5" s="132">
        <f>IF(B5&gt;C5,3,IF(B5=C5,1,0))+IF(O5&gt;N5,3,IF(O5=N5,1,0))+IF(R5&gt;S5,3,IF(R5=S5,1,0))+(B5+O5+R5)*0.001+(B5+O5+R5-C5-N5-S5)*0.01+0.5</f>
        <v>4.4910000000000005</v>
      </c>
      <c r="AK5" s="132">
        <f>IF(C5&gt;B5,3,IF(C5=B5,1,0))+IF(J5&gt;K5,3,IF(J5=K5,1,0))+IF(V5&gt;W5,3,IF(V5=W5,1,0))+(C5+J5+V5)*0.001+(C5+J5+V5-B5-K5-W5)*0.01+0.5</f>
        <v>0.44</v>
      </c>
      <c r="AL5" s="132">
        <f>IF(F5&gt;G5,3,IF(F5=G5,1,0))+IF(K5&gt;J5,3,IF(K5=J5,1,0))+IF(S5&gt;R5,3,IF(S5=R5,1,0))+(F5+K5+S5)*0.001+(F5+K5+S5-G5-J5-R5)*0.01+0.5</f>
        <v>4.492</v>
      </c>
      <c r="AM5" s="132">
        <f>IF(G5&gt;F5,3,IF(G5=F5,1,0))+IF(N5&gt;O5,3,IF(O5=N5,1,0))+IF(W5&gt;V5,3,IF(W5=V5,1,0))+(G5+N5+W5)*0.001+(G5+N5+W5-F5-O5-V5)*0.01+0.5</f>
        <v>9.5890000000000004</v>
      </c>
      <c r="AN5" s="113">
        <f t="shared" ref="AN5:AQ20" si="2">_xlfn.RANK.EQ(AJ5,$AJ5:$AM5,0)</f>
        <v>3</v>
      </c>
      <c r="AO5" s="113">
        <f t="shared" si="2"/>
        <v>4</v>
      </c>
      <c r="AP5" s="113">
        <f t="shared" si="2"/>
        <v>2</v>
      </c>
      <c r="AQ5" s="113">
        <f t="shared" si="2"/>
        <v>1</v>
      </c>
      <c r="AR5" s="113">
        <f>COUNTIF(AN5:AQ5,1)</f>
        <v>1</v>
      </c>
      <c r="AS5" s="113">
        <f>COUNTIF(AN5:AQ5,2)</f>
        <v>1</v>
      </c>
    </row>
    <row r="6" spans="1:45">
      <c r="A6" s="129" t="str">
        <f>Participantes!B3</f>
        <v>Isaac Solanilla</v>
      </c>
      <c r="B6" s="150">
        <v>1</v>
      </c>
      <c r="C6" s="150">
        <v>1</v>
      </c>
      <c r="D6" s="150">
        <f t="shared" ref="D6:D27" si="3">IF(AND($B6=$B$3, $C6=$C$3),3,IF(AND($B$3&gt;$C$3, $B6&gt;$C6),1,IF(AND($C6&gt;B6, $C$3&gt;$B$3), 1, IF(AND($B$3=$C$3, $B6=$C6),1,0))))*IF($B$3="",0,1)</f>
        <v>0</v>
      </c>
      <c r="E6" s="120"/>
      <c r="F6" s="150">
        <v>0</v>
      </c>
      <c r="G6" s="150">
        <v>2</v>
      </c>
      <c r="H6" s="150">
        <f t="shared" ref="H6:H27" si="4">IF(AND($F6=$F$3, $G6=$G$3),3,IF(AND($F$3&gt;$G$3, $F6&gt;$G6),1,IF(AND($G6&gt;F6, $G$3&gt;$F$3), 1, IF(AND($F$3=$G$3, $F6=$G6),1,0))))*IF($F$3="",0,1)</f>
        <v>1</v>
      </c>
      <c r="I6" s="120"/>
      <c r="J6" s="150">
        <v>1</v>
      </c>
      <c r="K6" s="150">
        <v>2</v>
      </c>
      <c r="L6" s="150">
        <f t="shared" ref="L6:L27" si="5">IF(AND($J6=$J$3, $K6=$K$3),3,IF(AND($J$3&gt;$K$3, $J6&gt;$K6),1,IF(AND($K6&gt;J6, $K$3&gt;$J$3), 1, IF(AND($J$3=$K$3, $J6=$K6),1,0))))*IF($J$3="",0,1)</f>
        <v>1</v>
      </c>
      <c r="M6" s="120"/>
      <c r="N6" s="150">
        <v>2</v>
      </c>
      <c r="O6" s="150">
        <v>1</v>
      </c>
      <c r="P6" s="150">
        <f t="shared" ref="P6:P27" si="6">IF(AND($N6=$N$3, $O6=$O$3),3,IF(AND($N$3&gt;$O$3, $N6&gt;$O6),1,IF(AND($O6&gt;N6, $O$3&gt;$N$3), 1, IF(AND($N$3=$O$3, $N6=$O6),1,0))))*IF($N$3="",0,1)</f>
        <v>3</v>
      </c>
      <c r="Q6" s="120"/>
      <c r="R6" s="150">
        <v>1</v>
      </c>
      <c r="S6" s="150">
        <v>1</v>
      </c>
      <c r="T6" s="150">
        <f t="shared" ref="T6:T27" si="7">IF(AND($R6=$R$3, $S6=$S$3),3,IF(AND($R$3&gt;$S$3, $R6&gt;$S6),1,IF(AND($S6&gt;R6, $S$3&gt;$R$3), 1, IF(AND($R$3=$S$3, $R6=$S6),1,0))))*IF($R$3="",0,1)</f>
        <v>0</v>
      </c>
      <c r="U6" s="131"/>
      <c r="V6" s="150">
        <v>0</v>
      </c>
      <c r="W6" s="150">
        <v>3</v>
      </c>
      <c r="X6" s="150">
        <f t="shared" ref="X6:X27" si="8">IF(AND($V6=$V$3, $W6=$W$3),3,IF(AND($V$3&gt;$W$3, $V6&gt;$W6),1,IF(AND($W6&gt;V6, $W$3&gt;$V$3), 1, IF(AND($V$3=$W$3, $V6=$W6),1,0))))*IF($V$3="",0,1)</f>
        <v>1</v>
      </c>
      <c r="Y6" s="120"/>
      <c r="Z6" s="121">
        <f t="shared" ref="Z6:Z27" si="9">D6+H6+L6+P6+T6+X6</f>
        <v>6</v>
      </c>
      <c r="AA6" s="116" t="str">
        <f t="shared" si="0"/>
        <v>Bélgica</v>
      </c>
      <c r="AB6" s="116">
        <f t="shared" ref="AB6:AB27" si="10">(IF($AA$3=AA6,6,0)+IF($AC$3=AA6,3,0)+IF(AA6=$AE$3,3,0))</f>
        <v>6</v>
      </c>
      <c r="AC6" s="116" t="str">
        <f t="shared" si="1"/>
        <v>Rusia</v>
      </c>
      <c r="AD6" s="116">
        <f t="shared" ref="AD6:AD27" si="11">(IF($AA$3=AC6,3,0)+IF($AC$3=AC6,6,0)+IF(AC6=$AE$3,3,0))</f>
        <v>0</v>
      </c>
      <c r="AE6" s="156" t="str">
        <f>Terceros!C7</f>
        <v>Dinamarca</v>
      </c>
      <c r="AF6" s="116">
        <f t="shared" ref="AF6:AF27" si="12">IF($AA$3=AE6,3,0)+IF($AC$3=AE6,3,0)+IF(AE6=$AE$3,6,0)</f>
        <v>3</v>
      </c>
      <c r="AG6" s="148">
        <f t="shared" ref="AG6:AG27" si="13">Z6+(AB6+AD6+AF6)*IF(AA4="",0,1)</f>
        <v>6</v>
      </c>
      <c r="AJ6" s="132">
        <f t="shared" ref="AJ6:AJ27" si="14">IF(B6&gt;C6,3,IF(B6=C6,1,0))+IF(O6&gt;N6,3,IF(O6=N6,1,0))+IF(R6&gt;S6,3,IF(R6=S6,1,0))+(B6+O6+R6)*0.001+(B6+O6+R6-C6-N6-S6)*0.01+0.5</f>
        <v>2.4930000000000003</v>
      </c>
      <c r="AK6" s="132">
        <f t="shared" ref="AK6:AK27" si="15">IF(C6&gt;B6,3,IF(C6=B6,1,0))+IF(J6&gt;K6,3,IF(J6=K6,1,0))+IF(V6&gt;W6,3,IF(V6=W6,1,0))+(C6+J6+V6)*0.001+(C6+J6+V6-B6-K6-W6)*0.01+0.5</f>
        <v>1.462</v>
      </c>
      <c r="AL6" s="132">
        <f t="shared" ref="AL6:AL27" si="16">IF(F6&gt;G6,3,IF(F6=G6,1,0))+IF(K6&gt;J6,3,IF(K6=J6,1,0))+IF(S6&gt;R6,3,IF(S6=R6,1,0))+(F6+K6+S6)*0.001+(F6+K6+S6-G6-J6-R6)*0.01+0.5</f>
        <v>4.4930000000000003</v>
      </c>
      <c r="AM6" s="132">
        <f t="shared" ref="AM6:AM27" si="17">IF(G6&gt;F6,3,IF(G6=F6,1,0))+IF(N6&gt;O6,3,IF(O6=N6,1,0))+IF(W6&gt;V6,3,IF(W6=V6,1,0))+(G6+N6+W6)*0.001+(G6+N6+W6-F6-O6-V6)*0.01+0.5</f>
        <v>9.5670000000000002</v>
      </c>
      <c r="AN6" s="113">
        <f t="shared" si="2"/>
        <v>3</v>
      </c>
      <c r="AO6" s="113">
        <f t="shared" si="2"/>
        <v>4</v>
      </c>
      <c r="AP6" s="113">
        <f t="shared" si="2"/>
        <v>2</v>
      </c>
      <c r="AQ6" s="113">
        <f t="shared" si="2"/>
        <v>1</v>
      </c>
      <c r="AR6" s="113">
        <f t="shared" ref="AR6:AR27" si="18">COUNTIF(AN6:AQ6,1)</f>
        <v>1</v>
      </c>
      <c r="AS6" s="113">
        <f t="shared" ref="AS6:AS27" si="19">COUNTIF(AN6:AQ6,2)</f>
        <v>1</v>
      </c>
    </row>
    <row r="7" spans="1:45">
      <c r="A7" s="129" t="str">
        <f>Participantes!B4</f>
        <v>Andres Corcho</v>
      </c>
      <c r="B7" s="150">
        <v>4</v>
      </c>
      <c r="C7" s="150">
        <v>1</v>
      </c>
      <c r="D7" s="150">
        <f t="shared" si="3"/>
        <v>0</v>
      </c>
      <c r="E7" s="120"/>
      <c r="F7" s="150">
        <v>1</v>
      </c>
      <c r="G7" s="150">
        <v>3</v>
      </c>
      <c r="H7" s="150">
        <f t="shared" si="4"/>
        <v>1</v>
      </c>
      <c r="I7" s="120"/>
      <c r="J7" s="150">
        <v>1</v>
      </c>
      <c r="K7" s="150">
        <v>2</v>
      </c>
      <c r="L7" s="150">
        <f t="shared" si="5"/>
        <v>1</v>
      </c>
      <c r="M7" s="120"/>
      <c r="N7" s="150">
        <v>2</v>
      </c>
      <c r="O7" s="150">
        <v>0</v>
      </c>
      <c r="P7" s="150">
        <f t="shared" si="6"/>
        <v>1</v>
      </c>
      <c r="Q7" s="120"/>
      <c r="R7" s="150">
        <v>1</v>
      </c>
      <c r="S7" s="150">
        <v>1</v>
      </c>
      <c r="T7" s="150">
        <f t="shared" si="7"/>
        <v>0</v>
      </c>
      <c r="U7" s="131"/>
      <c r="V7" s="150">
        <v>0</v>
      </c>
      <c r="W7" s="150">
        <v>3</v>
      </c>
      <c r="X7" s="150">
        <f t="shared" si="8"/>
        <v>1</v>
      </c>
      <c r="Y7" s="120"/>
      <c r="Z7" s="121">
        <f t="shared" si="9"/>
        <v>4</v>
      </c>
      <c r="AA7" s="116" t="str">
        <f t="shared" si="0"/>
        <v>Bélgica</v>
      </c>
      <c r="AB7" s="116">
        <f t="shared" si="10"/>
        <v>6</v>
      </c>
      <c r="AC7" s="116" t="str">
        <f t="shared" si="1"/>
        <v>Dinamarca</v>
      </c>
      <c r="AD7" s="116">
        <f t="shared" si="11"/>
        <v>6</v>
      </c>
      <c r="AE7" s="156" t="str">
        <f>Terceros!C8</f>
        <v/>
      </c>
      <c r="AF7" s="116">
        <f t="shared" si="12"/>
        <v>0</v>
      </c>
      <c r="AG7" s="148">
        <f t="shared" si="13"/>
        <v>16</v>
      </c>
      <c r="AJ7" s="132">
        <f t="shared" si="14"/>
        <v>4.5149999999999997</v>
      </c>
      <c r="AK7" s="132">
        <f t="shared" si="15"/>
        <v>0.432</v>
      </c>
      <c r="AL7" s="132">
        <f t="shared" si="16"/>
        <v>4.4939999999999998</v>
      </c>
      <c r="AM7" s="132">
        <f t="shared" si="17"/>
        <v>9.5779999999999994</v>
      </c>
      <c r="AN7" s="113">
        <f t="shared" si="2"/>
        <v>2</v>
      </c>
      <c r="AO7" s="113">
        <f t="shared" si="2"/>
        <v>4</v>
      </c>
      <c r="AP7" s="113">
        <f t="shared" si="2"/>
        <v>3</v>
      </c>
      <c r="AQ7" s="113">
        <f t="shared" si="2"/>
        <v>1</v>
      </c>
      <c r="AR7" s="113">
        <f t="shared" si="18"/>
        <v>1</v>
      </c>
      <c r="AS7" s="113">
        <f t="shared" si="19"/>
        <v>1</v>
      </c>
    </row>
    <row r="8" spans="1:45">
      <c r="A8" s="129" t="str">
        <f>Participantes!B5</f>
        <v>Rodrigo Palavicini</v>
      </c>
      <c r="B8" s="150">
        <v>2</v>
      </c>
      <c r="C8" s="150">
        <v>0</v>
      </c>
      <c r="D8" s="150">
        <f t="shared" si="3"/>
        <v>0</v>
      </c>
      <c r="E8" s="120"/>
      <c r="F8" s="150">
        <v>1</v>
      </c>
      <c r="G8" s="150">
        <v>2</v>
      </c>
      <c r="H8" s="150">
        <f t="shared" si="4"/>
        <v>1</v>
      </c>
      <c r="I8" s="120"/>
      <c r="J8" s="150">
        <v>0</v>
      </c>
      <c r="K8" s="150">
        <v>3</v>
      </c>
      <c r="L8" s="150">
        <f t="shared" si="5"/>
        <v>1</v>
      </c>
      <c r="M8" s="120"/>
      <c r="N8" s="150">
        <v>1</v>
      </c>
      <c r="O8" s="150">
        <v>1</v>
      </c>
      <c r="P8" s="150">
        <f t="shared" si="6"/>
        <v>0</v>
      </c>
      <c r="Q8" s="120"/>
      <c r="R8" s="150">
        <v>0</v>
      </c>
      <c r="S8" s="150">
        <v>1</v>
      </c>
      <c r="T8" s="150">
        <f t="shared" si="7"/>
        <v>0</v>
      </c>
      <c r="U8" s="131"/>
      <c r="V8" s="150">
        <v>0</v>
      </c>
      <c r="W8" s="150">
        <v>2</v>
      </c>
      <c r="X8" s="150">
        <f t="shared" si="8"/>
        <v>3</v>
      </c>
      <c r="Y8" s="120"/>
      <c r="Z8" s="121">
        <f t="shared" si="9"/>
        <v>5</v>
      </c>
      <c r="AA8" s="116" t="str">
        <f t="shared" si="0"/>
        <v>Bélgica</v>
      </c>
      <c r="AB8" s="116">
        <f t="shared" si="10"/>
        <v>6</v>
      </c>
      <c r="AC8" s="116" t="str">
        <f t="shared" si="1"/>
        <v>Rusia</v>
      </c>
      <c r="AD8" s="116">
        <f t="shared" si="11"/>
        <v>0</v>
      </c>
      <c r="AE8" s="156" t="str">
        <f>Terceros!C9</f>
        <v>Dinamarca</v>
      </c>
      <c r="AF8" s="116">
        <f t="shared" si="12"/>
        <v>3</v>
      </c>
      <c r="AG8" s="148">
        <f t="shared" si="13"/>
        <v>14</v>
      </c>
      <c r="AJ8" s="132">
        <f t="shared" si="14"/>
        <v>4.5129999999999999</v>
      </c>
      <c r="AK8" s="132">
        <f t="shared" si="15"/>
        <v>0.43</v>
      </c>
      <c r="AL8" s="132">
        <f t="shared" si="16"/>
        <v>6.5350000000000001</v>
      </c>
      <c r="AM8" s="132">
        <f t="shared" si="17"/>
        <v>7.5350000000000001</v>
      </c>
      <c r="AN8" s="113">
        <f t="shared" si="2"/>
        <v>3</v>
      </c>
      <c r="AO8" s="113">
        <f t="shared" si="2"/>
        <v>4</v>
      </c>
      <c r="AP8" s="113">
        <f t="shared" si="2"/>
        <v>2</v>
      </c>
      <c r="AQ8" s="113">
        <f t="shared" si="2"/>
        <v>1</v>
      </c>
      <c r="AR8" s="113">
        <f t="shared" si="18"/>
        <v>1</v>
      </c>
      <c r="AS8" s="113">
        <f t="shared" si="19"/>
        <v>1</v>
      </c>
    </row>
    <row r="9" spans="1:45">
      <c r="A9" s="129" t="str">
        <f>Participantes!B6</f>
        <v>Carlos Medina</v>
      </c>
      <c r="B9" s="150">
        <v>2</v>
      </c>
      <c r="C9" s="150">
        <v>0</v>
      </c>
      <c r="D9" s="150">
        <f t="shared" si="3"/>
        <v>0</v>
      </c>
      <c r="E9" s="120"/>
      <c r="F9" s="150">
        <v>1</v>
      </c>
      <c r="G9" s="150">
        <v>3</v>
      </c>
      <c r="H9" s="150">
        <f t="shared" si="4"/>
        <v>1</v>
      </c>
      <c r="I9" s="120"/>
      <c r="J9" s="150">
        <v>0</v>
      </c>
      <c r="K9" s="150">
        <v>2</v>
      </c>
      <c r="L9" s="150">
        <f t="shared" si="5"/>
        <v>1</v>
      </c>
      <c r="M9" s="120"/>
      <c r="N9" s="150">
        <v>2</v>
      </c>
      <c r="O9" s="150">
        <v>1</v>
      </c>
      <c r="P9" s="150">
        <f t="shared" si="6"/>
        <v>3</v>
      </c>
      <c r="Q9" s="120"/>
      <c r="R9" s="150">
        <v>1</v>
      </c>
      <c r="S9" s="150">
        <v>1</v>
      </c>
      <c r="T9" s="150">
        <f t="shared" si="7"/>
        <v>0</v>
      </c>
      <c r="U9" s="131"/>
      <c r="V9" s="150">
        <v>0</v>
      </c>
      <c r="W9" s="150">
        <v>3</v>
      </c>
      <c r="X9" s="150">
        <f t="shared" si="8"/>
        <v>1</v>
      </c>
      <c r="Y9" s="120"/>
      <c r="Z9" s="121">
        <f t="shared" si="9"/>
        <v>6</v>
      </c>
      <c r="AA9" s="116" t="str">
        <f t="shared" si="0"/>
        <v>Bélgica</v>
      </c>
      <c r="AB9" s="116">
        <f t="shared" si="10"/>
        <v>6</v>
      </c>
      <c r="AC9" s="116" t="str">
        <f t="shared" si="1"/>
        <v>Dinamarca</v>
      </c>
      <c r="AD9" s="116">
        <f t="shared" si="11"/>
        <v>6</v>
      </c>
      <c r="AE9" s="156" t="str">
        <f>Terceros!C10</f>
        <v>Rusia</v>
      </c>
      <c r="AF9" s="116">
        <f t="shared" si="12"/>
        <v>0</v>
      </c>
      <c r="AG9" s="148">
        <f t="shared" si="13"/>
        <v>18</v>
      </c>
      <c r="AJ9" s="132">
        <f t="shared" si="14"/>
        <v>4.5139999999999993</v>
      </c>
      <c r="AK9" s="132">
        <f t="shared" si="15"/>
        <v>0.43</v>
      </c>
      <c r="AL9" s="132">
        <f t="shared" si="16"/>
        <v>4.5039999999999996</v>
      </c>
      <c r="AM9" s="132">
        <f t="shared" si="17"/>
        <v>9.5679999999999996</v>
      </c>
      <c r="AN9" s="113">
        <f t="shared" si="2"/>
        <v>2</v>
      </c>
      <c r="AO9" s="113">
        <f t="shared" si="2"/>
        <v>4</v>
      </c>
      <c r="AP9" s="113">
        <f t="shared" si="2"/>
        <v>3</v>
      </c>
      <c r="AQ9" s="113">
        <f t="shared" si="2"/>
        <v>1</v>
      </c>
      <c r="AR9" s="113">
        <f t="shared" si="18"/>
        <v>1</v>
      </c>
      <c r="AS9" s="113">
        <f t="shared" si="19"/>
        <v>1</v>
      </c>
    </row>
    <row r="10" spans="1:45">
      <c r="A10" s="129" t="str">
        <f>Participantes!B7</f>
        <v>July Batista</v>
      </c>
      <c r="B10" s="150">
        <v>1</v>
      </c>
      <c r="C10" s="150">
        <v>0</v>
      </c>
      <c r="D10" s="150">
        <f t="shared" si="3"/>
        <v>0</v>
      </c>
      <c r="E10" s="120"/>
      <c r="F10" s="150">
        <v>0</v>
      </c>
      <c r="G10" s="150">
        <v>3</v>
      </c>
      <c r="H10" s="150">
        <f t="shared" si="4"/>
        <v>3</v>
      </c>
      <c r="I10" s="120"/>
      <c r="J10" s="150">
        <v>1</v>
      </c>
      <c r="K10" s="150">
        <v>1</v>
      </c>
      <c r="L10" s="150">
        <f t="shared" si="5"/>
        <v>0</v>
      </c>
      <c r="M10" s="120"/>
      <c r="N10" s="150">
        <v>2</v>
      </c>
      <c r="O10" s="150">
        <v>1</v>
      </c>
      <c r="P10" s="150">
        <f t="shared" si="6"/>
        <v>3</v>
      </c>
      <c r="Q10" s="120"/>
      <c r="R10" s="150">
        <v>1</v>
      </c>
      <c r="S10" s="150">
        <v>0</v>
      </c>
      <c r="T10" s="150">
        <f t="shared" si="7"/>
        <v>1</v>
      </c>
      <c r="U10" s="131"/>
      <c r="V10" s="150">
        <v>0</v>
      </c>
      <c r="W10" s="150">
        <v>2</v>
      </c>
      <c r="X10" s="150">
        <f t="shared" si="8"/>
        <v>3</v>
      </c>
      <c r="Y10" s="120"/>
      <c r="Z10" s="121">
        <f t="shared" si="9"/>
        <v>10</v>
      </c>
      <c r="AA10" s="116" t="str">
        <f t="shared" si="0"/>
        <v>Bélgica</v>
      </c>
      <c r="AB10" s="116">
        <f t="shared" si="10"/>
        <v>6</v>
      </c>
      <c r="AC10" s="116" t="str">
        <f t="shared" si="1"/>
        <v>Dinamarca</v>
      </c>
      <c r="AD10" s="116">
        <f t="shared" si="11"/>
        <v>6</v>
      </c>
      <c r="AE10" s="156" t="str">
        <f>Terceros!C11</f>
        <v/>
      </c>
      <c r="AF10" s="116">
        <f t="shared" si="12"/>
        <v>0</v>
      </c>
      <c r="AG10" s="148">
        <f t="shared" si="13"/>
        <v>22</v>
      </c>
      <c r="AJ10" s="132">
        <f t="shared" si="14"/>
        <v>6.5129999999999999</v>
      </c>
      <c r="AK10" s="132">
        <f t="shared" si="15"/>
        <v>1.4709999999999999</v>
      </c>
      <c r="AL10" s="132">
        <f t="shared" si="16"/>
        <v>1.4609999999999999</v>
      </c>
      <c r="AM10" s="132">
        <f t="shared" si="17"/>
        <v>9.5670000000000002</v>
      </c>
      <c r="AN10" s="113">
        <f t="shared" si="2"/>
        <v>2</v>
      </c>
      <c r="AO10" s="113">
        <f t="shared" si="2"/>
        <v>3</v>
      </c>
      <c r="AP10" s="113">
        <f t="shared" si="2"/>
        <v>4</v>
      </c>
      <c r="AQ10" s="113">
        <f t="shared" si="2"/>
        <v>1</v>
      </c>
      <c r="AR10" s="113">
        <f t="shared" si="18"/>
        <v>1</v>
      </c>
      <c r="AS10" s="113">
        <f t="shared" si="19"/>
        <v>1</v>
      </c>
    </row>
    <row r="11" spans="1:45">
      <c r="A11" s="129" t="str">
        <f>Participantes!B8</f>
        <v>Carlos Quiel</v>
      </c>
      <c r="B11" s="150">
        <v>2</v>
      </c>
      <c r="C11" s="150">
        <v>2</v>
      </c>
      <c r="D11" s="150">
        <f t="shared" si="3"/>
        <v>0</v>
      </c>
      <c r="E11" s="120"/>
      <c r="F11" s="150">
        <v>0</v>
      </c>
      <c r="G11" s="150">
        <v>2</v>
      </c>
      <c r="H11" s="150">
        <f t="shared" si="4"/>
        <v>1</v>
      </c>
      <c r="I11" s="120"/>
      <c r="J11" s="150">
        <v>1</v>
      </c>
      <c r="K11" s="150">
        <v>1</v>
      </c>
      <c r="L11" s="150">
        <f t="shared" si="5"/>
        <v>0</v>
      </c>
      <c r="M11" s="120"/>
      <c r="N11" s="150">
        <v>3</v>
      </c>
      <c r="O11" s="150">
        <v>0</v>
      </c>
      <c r="P11" s="150">
        <f t="shared" si="6"/>
        <v>1</v>
      </c>
      <c r="Q11" s="120"/>
      <c r="R11" s="150">
        <v>1</v>
      </c>
      <c r="S11" s="150">
        <v>1</v>
      </c>
      <c r="T11" s="150">
        <f t="shared" si="7"/>
        <v>0</v>
      </c>
      <c r="U11" s="131"/>
      <c r="V11" s="150">
        <v>1</v>
      </c>
      <c r="W11" s="150">
        <v>2</v>
      </c>
      <c r="X11" s="150">
        <f t="shared" si="8"/>
        <v>1</v>
      </c>
      <c r="Y11" s="120"/>
      <c r="Z11" s="121">
        <f t="shared" si="9"/>
        <v>3</v>
      </c>
      <c r="AA11" s="116" t="str">
        <f t="shared" si="0"/>
        <v>Bélgica</v>
      </c>
      <c r="AB11" s="116">
        <f t="shared" si="10"/>
        <v>6</v>
      </c>
      <c r="AC11" s="116" t="str">
        <f t="shared" si="1"/>
        <v>Finlandia</v>
      </c>
      <c r="AD11" s="116">
        <f t="shared" si="11"/>
        <v>0</v>
      </c>
      <c r="AE11" s="156" t="str">
        <f>Terceros!C12</f>
        <v>Rusia</v>
      </c>
      <c r="AF11" s="116">
        <f t="shared" si="12"/>
        <v>0</v>
      </c>
      <c r="AG11" s="148">
        <f t="shared" si="13"/>
        <v>9</v>
      </c>
      <c r="AJ11" s="132">
        <f t="shared" si="14"/>
        <v>2.4729999999999999</v>
      </c>
      <c r="AK11" s="132">
        <f t="shared" si="15"/>
        <v>2.4939999999999998</v>
      </c>
      <c r="AL11" s="132">
        <f t="shared" si="16"/>
        <v>2.4819999999999998</v>
      </c>
      <c r="AM11" s="132">
        <f t="shared" si="17"/>
        <v>9.5670000000000002</v>
      </c>
      <c r="AN11" s="113">
        <f t="shared" si="2"/>
        <v>4</v>
      </c>
      <c r="AO11" s="113">
        <f t="shared" si="2"/>
        <v>2</v>
      </c>
      <c r="AP11" s="113">
        <f t="shared" si="2"/>
        <v>3</v>
      </c>
      <c r="AQ11" s="113">
        <f t="shared" si="2"/>
        <v>1</v>
      </c>
      <c r="AR11" s="113">
        <f t="shared" si="18"/>
        <v>1</v>
      </c>
      <c r="AS11" s="113">
        <f t="shared" si="19"/>
        <v>1</v>
      </c>
    </row>
    <row r="12" spans="1:45">
      <c r="A12" s="129" t="str">
        <f>Participantes!B9</f>
        <v>Oliver Amaya</v>
      </c>
      <c r="B12" s="150">
        <v>1</v>
      </c>
      <c r="C12" s="150">
        <v>0</v>
      </c>
      <c r="D12" s="150">
        <f t="shared" si="3"/>
        <v>0</v>
      </c>
      <c r="E12" s="120"/>
      <c r="F12" s="150">
        <v>0</v>
      </c>
      <c r="G12" s="150">
        <v>2</v>
      </c>
      <c r="H12" s="150">
        <f t="shared" si="4"/>
        <v>1</v>
      </c>
      <c r="I12" s="120"/>
      <c r="J12" s="150">
        <v>1</v>
      </c>
      <c r="K12" s="150">
        <v>0</v>
      </c>
      <c r="L12" s="150">
        <f t="shared" si="5"/>
        <v>0</v>
      </c>
      <c r="M12" s="120"/>
      <c r="N12" s="150">
        <v>2</v>
      </c>
      <c r="O12" s="150">
        <v>0</v>
      </c>
      <c r="P12" s="150">
        <f t="shared" si="6"/>
        <v>1</v>
      </c>
      <c r="Q12" s="120"/>
      <c r="R12" s="150">
        <v>3</v>
      </c>
      <c r="S12" s="150">
        <v>1</v>
      </c>
      <c r="T12" s="150">
        <f t="shared" si="7"/>
        <v>1</v>
      </c>
      <c r="U12" s="131"/>
      <c r="V12" s="150">
        <v>1</v>
      </c>
      <c r="W12" s="150">
        <v>2</v>
      </c>
      <c r="X12" s="150">
        <f t="shared" si="8"/>
        <v>1</v>
      </c>
      <c r="Y12" s="120"/>
      <c r="Z12" s="121">
        <f t="shared" si="9"/>
        <v>4</v>
      </c>
      <c r="AA12" s="116" t="str">
        <f t="shared" si="0"/>
        <v>Bélgica</v>
      </c>
      <c r="AB12" s="116">
        <f t="shared" si="10"/>
        <v>6</v>
      </c>
      <c r="AC12" s="116" t="str">
        <f t="shared" si="1"/>
        <v>Dinamarca</v>
      </c>
      <c r="AD12" s="116">
        <f t="shared" si="11"/>
        <v>6</v>
      </c>
      <c r="AE12" s="156" t="str">
        <f>Terceros!C13</f>
        <v/>
      </c>
      <c r="AF12" s="116">
        <f t="shared" si="12"/>
        <v>0</v>
      </c>
      <c r="AG12" s="148">
        <f t="shared" si="13"/>
        <v>16</v>
      </c>
      <c r="AJ12" s="132">
        <f t="shared" si="14"/>
        <v>6.5139999999999993</v>
      </c>
      <c r="AK12" s="132">
        <f t="shared" si="15"/>
        <v>3.492</v>
      </c>
      <c r="AL12" s="132">
        <f t="shared" si="16"/>
        <v>0.45100000000000001</v>
      </c>
      <c r="AM12" s="132">
        <f t="shared" si="17"/>
        <v>9.5560000000000009</v>
      </c>
      <c r="AN12" s="113">
        <f t="shared" si="2"/>
        <v>2</v>
      </c>
      <c r="AO12" s="113">
        <f t="shared" si="2"/>
        <v>3</v>
      </c>
      <c r="AP12" s="113">
        <f t="shared" si="2"/>
        <v>4</v>
      </c>
      <c r="AQ12" s="113">
        <f t="shared" si="2"/>
        <v>1</v>
      </c>
      <c r="AR12" s="113">
        <f t="shared" si="18"/>
        <v>1</v>
      </c>
      <c r="AS12" s="113">
        <f t="shared" si="19"/>
        <v>1</v>
      </c>
    </row>
    <row r="13" spans="1:45">
      <c r="A13" s="129" t="str">
        <f>Participantes!B10</f>
        <v>Radames Guerrero</v>
      </c>
      <c r="B13" s="150">
        <v>2</v>
      </c>
      <c r="C13" s="150">
        <v>2</v>
      </c>
      <c r="D13" s="150">
        <f t="shared" si="3"/>
        <v>0</v>
      </c>
      <c r="E13" s="120"/>
      <c r="F13" s="150">
        <v>1</v>
      </c>
      <c r="G13" s="150">
        <v>3</v>
      </c>
      <c r="H13" s="150">
        <f t="shared" si="4"/>
        <v>1</v>
      </c>
      <c r="I13" s="120"/>
      <c r="J13" s="150">
        <v>0</v>
      </c>
      <c r="K13" s="150">
        <v>1</v>
      </c>
      <c r="L13" s="150">
        <f t="shared" si="5"/>
        <v>3</v>
      </c>
      <c r="M13" s="120"/>
      <c r="N13" s="150">
        <v>2</v>
      </c>
      <c r="O13" s="150">
        <v>1</v>
      </c>
      <c r="P13" s="150">
        <f t="shared" si="6"/>
        <v>3</v>
      </c>
      <c r="Q13" s="120"/>
      <c r="R13" s="150">
        <v>1</v>
      </c>
      <c r="S13" s="150">
        <v>1</v>
      </c>
      <c r="T13" s="150">
        <f t="shared" si="7"/>
        <v>0</v>
      </c>
      <c r="U13" s="131"/>
      <c r="V13" s="150">
        <v>0</v>
      </c>
      <c r="W13" s="150">
        <v>2</v>
      </c>
      <c r="X13" s="150">
        <f t="shared" si="8"/>
        <v>3</v>
      </c>
      <c r="Y13" s="120"/>
      <c r="Z13" s="121">
        <f t="shared" si="9"/>
        <v>10</v>
      </c>
      <c r="AA13" s="116" t="str">
        <f t="shared" si="0"/>
        <v>Bélgica</v>
      </c>
      <c r="AB13" s="116">
        <f t="shared" si="10"/>
        <v>6</v>
      </c>
      <c r="AC13" s="116" t="str">
        <f t="shared" si="1"/>
        <v>Rusia</v>
      </c>
      <c r="AD13" s="116">
        <f t="shared" si="11"/>
        <v>0</v>
      </c>
      <c r="AE13" s="156" t="str">
        <f>Terceros!C14</f>
        <v/>
      </c>
      <c r="AF13" s="116">
        <f t="shared" si="12"/>
        <v>0</v>
      </c>
      <c r="AG13" s="148">
        <f t="shared" si="13"/>
        <v>16</v>
      </c>
      <c r="AJ13" s="132">
        <f t="shared" si="14"/>
        <v>2.4939999999999998</v>
      </c>
      <c r="AK13" s="132">
        <f t="shared" si="15"/>
        <v>1.472</v>
      </c>
      <c r="AL13" s="132">
        <f t="shared" si="16"/>
        <v>4.4930000000000003</v>
      </c>
      <c r="AM13" s="132">
        <f t="shared" si="17"/>
        <v>9.5570000000000004</v>
      </c>
      <c r="AN13" s="113">
        <f t="shared" si="2"/>
        <v>3</v>
      </c>
      <c r="AO13" s="113">
        <f t="shared" si="2"/>
        <v>4</v>
      </c>
      <c r="AP13" s="113">
        <f t="shared" si="2"/>
        <v>2</v>
      </c>
      <c r="AQ13" s="113">
        <f t="shared" si="2"/>
        <v>1</v>
      </c>
      <c r="AR13" s="113">
        <f t="shared" si="18"/>
        <v>1</v>
      </c>
      <c r="AS13" s="113">
        <f t="shared" si="19"/>
        <v>1</v>
      </c>
    </row>
    <row r="14" spans="1:45">
      <c r="A14" s="129" t="str">
        <f>Participantes!B11</f>
        <v>Effie Latouche</v>
      </c>
      <c r="B14" s="150">
        <v>2</v>
      </c>
      <c r="C14" s="150">
        <v>1</v>
      </c>
      <c r="D14" s="150">
        <f t="shared" si="3"/>
        <v>0</v>
      </c>
      <c r="E14" s="120"/>
      <c r="F14" s="150">
        <v>1</v>
      </c>
      <c r="G14" s="150">
        <v>1</v>
      </c>
      <c r="H14" s="150">
        <f t="shared" si="4"/>
        <v>0</v>
      </c>
      <c r="I14" s="120"/>
      <c r="J14" s="150">
        <v>1</v>
      </c>
      <c r="K14" s="150">
        <v>0</v>
      </c>
      <c r="L14" s="150">
        <f t="shared" si="5"/>
        <v>0</v>
      </c>
      <c r="M14" s="120"/>
      <c r="N14" s="150">
        <v>1</v>
      </c>
      <c r="O14" s="150">
        <v>1</v>
      </c>
      <c r="P14" s="150">
        <f t="shared" si="6"/>
        <v>0</v>
      </c>
      <c r="Q14" s="120"/>
      <c r="R14" s="150">
        <v>1</v>
      </c>
      <c r="S14" s="150">
        <v>2</v>
      </c>
      <c r="T14" s="150">
        <f t="shared" si="7"/>
        <v>0</v>
      </c>
      <c r="U14" s="131"/>
      <c r="V14" s="150">
        <v>1</v>
      </c>
      <c r="W14" s="150">
        <v>2</v>
      </c>
      <c r="X14" s="150">
        <f t="shared" si="8"/>
        <v>1</v>
      </c>
      <c r="Y14" s="120"/>
      <c r="Z14" s="121">
        <f t="shared" si="9"/>
        <v>1</v>
      </c>
      <c r="AA14" s="116" t="str">
        <f t="shared" si="0"/>
        <v>Bélgica</v>
      </c>
      <c r="AB14" s="116">
        <f t="shared" si="10"/>
        <v>6</v>
      </c>
      <c r="AC14" s="116" t="str">
        <f t="shared" si="1"/>
        <v>Dinamarca</v>
      </c>
      <c r="AD14" s="116">
        <f t="shared" si="11"/>
        <v>6</v>
      </c>
      <c r="AE14" s="156" t="str">
        <f>Terceros!C15</f>
        <v>Rusia</v>
      </c>
      <c r="AF14" s="116">
        <f t="shared" si="12"/>
        <v>0</v>
      </c>
      <c r="AG14" s="148">
        <f t="shared" si="13"/>
        <v>13</v>
      </c>
      <c r="AJ14" s="132">
        <f t="shared" si="14"/>
        <v>4.5039999999999996</v>
      </c>
      <c r="AK14" s="132">
        <f t="shared" si="15"/>
        <v>3.4930000000000003</v>
      </c>
      <c r="AL14" s="132">
        <f t="shared" si="16"/>
        <v>4.5030000000000001</v>
      </c>
      <c r="AM14" s="132">
        <f t="shared" si="17"/>
        <v>5.5139999999999993</v>
      </c>
      <c r="AN14" s="113">
        <f t="shared" si="2"/>
        <v>2</v>
      </c>
      <c r="AO14" s="113">
        <f t="shared" si="2"/>
        <v>4</v>
      </c>
      <c r="AP14" s="113">
        <f t="shared" si="2"/>
        <v>3</v>
      </c>
      <c r="AQ14" s="113">
        <f t="shared" si="2"/>
        <v>1</v>
      </c>
      <c r="AR14" s="113">
        <f t="shared" si="18"/>
        <v>1</v>
      </c>
      <c r="AS14" s="113">
        <f t="shared" si="19"/>
        <v>1</v>
      </c>
    </row>
    <row r="15" spans="1:45">
      <c r="A15" s="129" t="str">
        <f>Participantes!B12</f>
        <v>Sandra Badilla</v>
      </c>
      <c r="B15" s="150">
        <v>1</v>
      </c>
      <c r="C15" s="150">
        <v>0</v>
      </c>
      <c r="D15" s="150">
        <f t="shared" si="3"/>
        <v>0</v>
      </c>
      <c r="E15" s="120"/>
      <c r="F15" s="150">
        <v>1</v>
      </c>
      <c r="G15" s="150">
        <v>2</v>
      </c>
      <c r="H15" s="150">
        <f t="shared" si="4"/>
        <v>1</v>
      </c>
      <c r="I15" s="120"/>
      <c r="J15" s="150">
        <v>0</v>
      </c>
      <c r="K15" s="150">
        <v>1</v>
      </c>
      <c r="L15" s="150">
        <f t="shared" si="5"/>
        <v>3</v>
      </c>
      <c r="M15" s="120"/>
      <c r="N15" s="150">
        <v>2</v>
      </c>
      <c r="O15" s="150">
        <v>0</v>
      </c>
      <c r="P15" s="150">
        <f t="shared" si="6"/>
        <v>1</v>
      </c>
      <c r="Q15" s="120"/>
      <c r="R15" s="150">
        <v>0</v>
      </c>
      <c r="S15" s="150">
        <v>1</v>
      </c>
      <c r="T15" s="150">
        <f t="shared" si="7"/>
        <v>0</v>
      </c>
      <c r="U15" s="131"/>
      <c r="V15" s="150">
        <v>1</v>
      </c>
      <c r="W15" s="150">
        <v>3</v>
      </c>
      <c r="X15" s="150">
        <f t="shared" si="8"/>
        <v>1</v>
      </c>
      <c r="Y15" s="120"/>
      <c r="Z15" s="121">
        <f t="shared" si="9"/>
        <v>6</v>
      </c>
      <c r="AA15" s="116" t="str">
        <f t="shared" si="0"/>
        <v>Bélgica</v>
      </c>
      <c r="AB15" s="116">
        <f t="shared" si="10"/>
        <v>6</v>
      </c>
      <c r="AC15" s="116" t="str">
        <f t="shared" si="1"/>
        <v>Rusia</v>
      </c>
      <c r="AD15" s="116">
        <f t="shared" si="11"/>
        <v>0</v>
      </c>
      <c r="AE15" s="156" t="str">
        <f>Terceros!C16</f>
        <v>Dinamarca</v>
      </c>
      <c r="AF15" s="116">
        <f t="shared" si="12"/>
        <v>3</v>
      </c>
      <c r="AG15" s="148">
        <f t="shared" si="13"/>
        <v>15</v>
      </c>
      <c r="AJ15" s="132">
        <f t="shared" si="14"/>
        <v>3.4809999999999999</v>
      </c>
      <c r="AK15" s="132">
        <f t="shared" si="15"/>
        <v>0.46100000000000002</v>
      </c>
      <c r="AL15" s="132">
        <f t="shared" si="16"/>
        <v>6.5129999999999999</v>
      </c>
      <c r="AM15" s="132">
        <f t="shared" si="17"/>
        <v>9.5570000000000004</v>
      </c>
      <c r="AN15" s="113">
        <f t="shared" si="2"/>
        <v>3</v>
      </c>
      <c r="AO15" s="113">
        <f t="shared" si="2"/>
        <v>4</v>
      </c>
      <c r="AP15" s="113">
        <f t="shared" si="2"/>
        <v>2</v>
      </c>
      <c r="AQ15" s="113">
        <f t="shared" si="2"/>
        <v>1</v>
      </c>
      <c r="AR15" s="113">
        <f t="shared" si="18"/>
        <v>1</v>
      </c>
      <c r="AS15" s="113">
        <f t="shared" si="19"/>
        <v>1</v>
      </c>
    </row>
    <row r="16" spans="1:45">
      <c r="A16" s="129" t="str">
        <f>Participantes!B13</f>
        <v>Samantha Montero 1</v>
      </c>
      <c r="B16" s="150">
        <v>2</v>
      </c>
      <c r="C16" s="150">
        <v>0</v>
      </c>
      <c r="D16" s="150">
        <f t="shared" si="3"/>
        <v>0</v>
      </c>
      <c r="E16" s="120"/>
      <c r="F16" s="150">
        <v>2</v>
      </c>
      <c r="G16" s="150">
        <v>4</v>
      </c>
      <c r="H16" s="150">
        <f t="shared" si="4"/>
        <v>1</v>
      </c>
      <c r="I16" s="120"/>
      <c r="J16" s="150">
        <v>2</v>
      </c>
      <c r="K16" s="150">
        <v>2</v>
      </c>
      <c r="L16" s="150">
        <f t="shared" si="5"/>
        <v>0</v>
      </c>
      <c r="M16" s="120"/>
      <c r="N16" s="150">
        <v>3</v>
      </c>
      <c r="O16" s="150">
        <v>1</v>
      </c>
      <c r="P16" s="150">
        <f t="shared" si="6"/>
        <v>1</v>
      </c>
      <c r="Q16" s="120"/>
      <c r="R16" s="150">
        <v>2</v>
      </c>
      <c r="S16" s="150">
        <v>1</v>
      </c>
      <c r="T16" s="150">
        <f t="shared" si="7"/>
        <v>1</v>
      </c>
      <c r="U16" s="131"/>
      <c r="V16" s="150">
        <v>1</v>
      </c>
      <c r="W16" s="150">
        <v>4</v>
      </c>
      <c r="X16" s="150">
        <f t="shared" si="8"/>
        <v>1</v>
      </c>
      <c r="Y16" s="120"/>
      <c r="Z16" s="121">
        <f t="shared" si="9"/>
        <v>4</v>
      </c>
      <c r="AA16" s="116" t="str">
        <f t="shared" si="0"/>
        <v>Bélgica</v>
      </c>
      <c r="AB16" s="116">
        <f t="shared" si="10"/>
        <v>6</v>
      </c>
      <c r="AC16" s="116" t="str">
        <f t="shared" si="1"/>
        <v>Dinamarca</v>
      </c>
      <c r="AD16" s="116">
        <f t="shared" si="11"/>
        <v>6</v>
      </c>
      <c r="AE16" s="156" t="str">
        <f>Terceros!C17</f>
        <v/>
      </c>
      <c r="AF16" s="116">
        <f t="shared" si="12"/>
        <v>0</v>
      </c>
      <c r="AG16" s="148">
        <f t="shared" si="13"/>
        <v>16</v>
      </c>
      <c r="AJ16" s="132">
        <f t="shared" si="14"/>
        <v>6.5149999999999997</v>
      </c>
      <c r="AK16" s="132">
        <f t="shared" si="15"/>
        <v>1.4529999999999998</v>
      </c>
      <c r="AL16" s="132">
        <f t="shared" si="16"/>
        <v>1.4749999999999999</v>
      </c>
      <c r="AM16" s="132">
        <f t="shared" si="17"/>
        <v>9.5809999999999995</v>
      </c>
      <c r="AN16" s="113">
        <f t="shared" si="2"/>
        <v>2</v>
      </c>
      <c r="AO16" s="113">
        <f t="shared" si="2"/>
        <v>4</v>
      </c>
      <c r="AP16" s="113">
        <f t="shared" si="2"/>
        <v>3</v>
      </c>
      <c r="AQ16" s="113">
        <f t="shared" si="2"/>
        <v>1</v>
      </c>
      <c r="AR16" s="113">
        <f t="shared" si="18"/>
        <v>1</v>
      </c>
      <c r="AS16" s="113">
        <f t="shared" si="19"/>
        <v>1</v>
      </c>
    </row>
    <row r="17" spans="1:45">
      <c r="A17" s="129" t="str">
        <f>Participantes!B14</f>
        <v>Samantha Mont. 2 (Jairo)</v>
      </c>
      <c r="B17" s="150">
        <v>4</v>
      </c>
      <c r="C17" s="150">
        <v>1</v>
      </c>
      <c r="D17" s="150">
        <f t="shared" si="3"/>
        <v>0</v>
      </c>
      <c r="E17" s="120"/>
      <c r="F17" s="150">
        <v>2</v>
      </c>
      <c r="G17" s="150">
        <v>4</v>
      </c>
      <c r="H17" s="150">
        <f t="shared" si="4"/>
        <v>1</v>
      </c>
      <c r="I17" s="120"/>
      <c r="J17" s="150">
        <v>1</v>
      </c>
      <c r="K17" s="150">
        <v>2</v>
      </c>
      <c r="L17" s="150">
        <f t="shared" si="5"/>
        <v>1</v>
      </c>
      <c r="M17" s="120"/>
      <c r="N17" s="150">
        <v>3</v>
      </c>
      <c r="O17" s="150">
        <v>2</v>
      </c>
      <c r="P17" s="150">
        <f t="shared" si="6"/>
        <v>1</v>
      </c>
      <c r="Q17" s="120"/>
      <c r="R17" s="150">
        <v>2</v>
      </c>
      <c r="S17" s="150">
        <v>2</v>
      </c>
      <c r="T17" s="150">
        <f t="shared" si="7"/>
        <v>0</v>
      </c>
      <c r="U17" s="131"/>
      <c r="V17" s="150">
        <v>2</v>
      </c>
      <c r="W17" s="150">
        <v>4</v>
      </c>
      <c r="X17" s="150">
        <f t="shared" si="8"/>
        <v>1</v>
      </c>
      <c r="Y17" s="120"/>
      <c r="Z17" s="121">
        <f t="shared" si="9"/>
        <v>4</v>
      </c>
      <c r="AA17" s="116" t="str">
        <f t="shared" si="0"/>
        <v>Bélgica</v>
      </c>
      <c r="AB17" s="116">
        <f t="shared" si="10"/>
        <v>6</v>
      </c>
      <c r="AC17" s="116" t="str">
        <f t="shared" si="1"/>
        <v>Dinamarca</v>
      </c>
      <c r="AD17" s="116">
        <f t="shared" si="11"/>
        <v>6</v>
      </c>
      <c r="AE17" s="156" t="str">
        <f>Terceros!C18</f>
        <v>Rusia</v>
      </c>
      <c r="AF17" s="116">
        <f t="shared" si="12"/>
        <v>0</v>
      </c>
      <c r="AG17" s="148">
        <f t="shared" si="13"/>
        <v>16</v>
      </c>
      <c r="AJ17" s="132">
        <f t="shared" si="14"/>
        <v>4.5279999999999996</v>
      </c>
      <c r="AK17" s="132">
        <f t="shared" si="15"/>
        <v>0.44400000000000001</v>
      </c>
      <c r="AL17" s="132">
        <f t="shared" si="16"/>
        <v>4.4960000000000004</v>
      </c>
      <c r="AM17" s="132">
        <f t="shared" si="17"/>
        <v>9.5609999999999999</v>
      </c>
      <c r="AN17" s="113">
        <f t="shared" si="2"/>
        <v>2</v>
      </c>
      <c r="AO17" s="113">
        <f t="shared" si="2"/>
        <v>4</v>
      </c>
      <c r="AP17" s="113">
        <f t="shared" si="2"/>
        <v>3</v>
      </c>
      <c r="AQ17" s="113">
        <f t="shared" si="2"/>
        <v>1</v>
      </c>
      <c r="AR17" s="113">
        <f t="shared" si="18"/>
        <v>1</v>
      </c>
      <c r="AS17" s="113">
        <f t="shared" si="19"/>
        <v>1</v>
      </c>
    </row>
    <row r="18" spans="1:45">
      <c r="A18" s="129" t="str">
        <f>Participantes!B15</f>
        <v>Samantha Mont. 3(Jafet)</v>
      </c>
      <c r="B18" s="150">
        <v>4</v>
      </c>
      <c r="C18" s="150">
        <v>0</v>
      </c>
      <c r="D18" s="150">
        <f t="shared" si="3"/>
        <v>0</v>
      </c>
      <c r="E18" s="120"/>
      <c r="F18" s="150">
        <v>1</v>
      </c>
      <c r="G18" s="150">
        <v>3</v>
      </c>
      <c r="H18" s="150">
        <f t="shared" si="4"/>
        <v>1</v>
      </c>
      <c r="I18" s="120"/>
      <c r="J18" s="150">
        <v>1</v>
      </c>
      <c r="K18" s="150">
        <v>2</v>
      </c>
      <c r="L18" s="150">
        <f t="shared" si="5"/>
        <v>1</v>
      </c>
      <c r="M18" s="120"/>
      <c r="N18" s="150">
        <v>2</v>
      </c>
      <c r="O18" s="150">
        <v>1</v>
      </c>
      <c r="P18" s="150">
        <f t="shared" si="6"/>
        <v>3</v>
      </c>
      <c r="Q18" s="120"/>
      <c r="R18" s="150">
        <v>2</v>
      </c>
      <c r="S18" s="150">
        <v>1</v>
      </c>
      <c r="T18" s="150">
        <f t="shared" si="7"/>
        <v>1</v>
      </c>
      <c r="U18" s="131"/>
      <c r="V18" s="150">
        <v>0</v>
      </c>
      <c r="W18" s="150">
        <v>4</v>
      </c>
      <c r="X18" s="150">
        <f t="shared" si="8"/>
        <v>1</v>
      </c>
      <c r="Y18" s="120"/>
      <c r="Z18" s="121">
        <f t="shared" si="9"/>
        <v>7</v>
      </c>
      <c r="AA18" s="116" t="str">
        <f t="shared" si="0"/>
        <v>Bélgica</v>
      </c>
      <c r="AB18" s="116">
        <f t="shared" si="10"/>
        <v>6</v>
      </c>
      <c r="AC18" s="116" t="str">
        <f t="shared" si="1"/>
        <v>Dinamarca</v>
      </c>
      <c r="AD18" s="116">
        <f t="shared" si="11"/>
        <v>6</v>
      </c>
      <c r="AE18" s="156" t="str">
        <f>Terceros!C19</f>
        <v>Rusia</v>
      </c>
      <c r="AF18" s="116">
        <f t="shared" si="12"/>
        <v>0</v>
      </c>
      <c r="AG18" s="148">
        <f t="shared" si="13"/>
        <v>19</v>
      </c>
      <c r="AJ18" s="132">
        <f t="shared" si="14"/>
        <v>6.5469999999999997</v>
      </c>
      <c r="AK18" s="132">
        <f t="shared" si="15"/>
        <v>0.41100000000000003</v>
      </c>
      <c r="AL18" s="132">
        <f t="shared" si="16"/>
        <v>3.484</v>
      </c>
      <c r="AM18" s="132">
        <f t="shared" si="17"/>
        <v>9.5790000000000006</v>
      </c>
      <c r="AN18" s="113">
        <f t="shared" si="2"/>
        <v>2</v>
      </c>
      <c r="AO18" s="113">
        <f t="shared" si="2"/>
        <v>4</v>
      </c>
      <c r="AP18" s="113">
        <f t="shared" si="2"/>
        <v>3</v>
      </c>
      <c r="AQ18" s="113">
        <f t="shared" si="2"/>
        <v>1</v>
      </c>
      <c r="AR18" s="113">
        <f t="shared" si="18"/>
        <v>1</v>
      </c>
      <c r="AS18" s="113">
        <f t="shared" si="19"/>
        <v>1</v>
      </c>
    </row>
    <row r="19" spans="1:45">
      <c r="A19" s="129" t="str">
        <f>Participantes!B16</f>
        <v>Mileny Acosta</v>
      </c>
      <c r="B19" s="150">
        <v>2</v>
      </c>
      <c r="C19" s="150">
        <v>1</v>
      </c>
      <c r="D19" s="150">
        <f t="shared" si="3"/>
        <v>0</v>
      </c>
      <c r="E19" s="120"/>
      <c r="F19" s="150">
        <v>0</v>
      </c>
      <c r="G19" s="150">
        <v>3</v>
      </c>
      <c r="H19" s="150">
        <f t="shared" si="4"/>
        <v>3</v>
      </c>
      <c r="I19" s="120"/>
      <c r="J19" s="150">
        <v>1</v>
      </c>
      <c r="K19" s="150">
        <v>4</v>
      </c>
      <c r="L19" s="150">
        <f t="shared" si="5"/>
        <v>1</v>
      </c>
      <c r="M19" s="120"/>
      <c r="N19" s="150">
        <v>3</v>
      </c>
      <c r="O19" s="150">
        <v>1</v>
      </c>
      <c r="P19" s="150">
        <f t="shared" si="6"/>
        <v>1</v>
      </c>
      <c r="Q19" s="120"/>
      <c r="R19" s="150">
        <v>0</v>
      </c>
      <c r="S19" s="150">
        <v>1</v>
      </c>
      <c r="T19" s="150">
        <f t="shared" si="7"/>
        <v>0</v>
      </c>
      <c r="U19" s="131"/>
      <c r="V19" s="150">
        <v>0</v>
      </c>
      <c r="W19" s="150">
        <v>4</v>
      </c>
      <c r="X19" s="150">
        <f t="shared" si="8"/>
        <v>1</v>
      </c>
      <c r="Y19" s="120"/>
      <c r="Z19" s="121">
        <f t="shared" si="9"/>
        <v>6</v>
      </c>
      <c r="AA19" s="116" t="str">
        <f t="shared" si="0"/>
        <v>Bélgica</v>
      </c>
      <c r="AB19" s="116">
        <f t="shared" si="10"/>
        <v>6</v>
      </c>
      <c r="AC19" s="116" t="str">
        <f t="shared" si="1"/>
        <v>Rusia</v>
      </c>
      <c r="AD19" s="116">
        <f t="shared" si="11"/>
        <v>0</v>
      </c>
      <c r="AE19" s="156" t="str">
        <f>Terceros!C20</f>
        <v>Dinamarca</v>
      </c>
      <c r="AF19" s="116">
        <f t="shared" si="12"/>
        <v>3</v>
      </c>
      <c r="AG19" s="148">
        <f t="shared" si="13"/>
        <v>15</v>
      </c>
      <c r="AJ19" s="132">
        <f t="shared" si="14"/>
        <v>3.4830000000000001</v>
      </c>
      <c r="AK19" s="132">
        <f t="shared" si="15"/>
        <v>0.42199999999999999</v>
      </c>
      <c r="AL19" s="132">
        <f t="shared" si="16"/>
        <v>6.5149999999999997</v>
      </c>
      <c r="AM19" s="132">
        <f t="shared" si="17"/>
        <v>9.6</v>
      </c>
      <c r="AN19" s="113">
        <f t="shared" si="2"/>
        <v>3</v>
      </c>
      <c r="AO19" s="113">
        <f t="shared" si="2"/>
        <v>4</v>
      </c>
      <c r="AP19" s="113">
        <f t="shared" si="2"/>
        <v>2</v>
      </c>
      <c r="AQ19" s="113">
        <f t="shared" si="2"/>
        <v>1</v>
      </c>
      <c r="AR19" s="113">
        <f t="shared" si="18"/>
        <v>1</v>
      </c>
      <c r="AS19" s="113">
        <f t="shared" si="19"/>
        <v>1</v>
      </c>
    </row>
    <row r="20" spans="1:45">
      <c r="A20" s="129" t="str">
        <f>Participantes!B17</f>
        <v>Mileny Acosta(CF)</v>
      </c>
      <c r="B20" s="150">
        <v>2</v>
      </c>
      <c r="C20" s="150">
        <v>0</v>
      </c>
      <c r="D20" s="150">
        <f t="shared" si="3"/>
        <v>0</v>
      </c>
      <c r="E20" s="120"/>
      <c r="F20" s="150">
        <v>0</v>
      </c>
      <c r="G20" s="150">
        <v>3</v>
      </c>
      <c r="H20" s="150">
        <f t="shared" si="4"/>
        <v>3</v>
      </c>
      <c r="I20" s="120"/>
      <c r="J20" s="150">
        <v>1</v>
      </c>
      <c r="K20" s="150">
        <v>2</v>
      </c>
      <c r="L20" s="150">
        <f t="shared" si="5"/>
        <v>1</v>
      </c>
      <c r="M20" s="120"/>
      <c r="N20" s="150">
        <v>2</v>
      </c>
      <c r="O20" s="150">
        <v>0</v>
      </c>
      <c r="P20" s="150">
        <f t="shared" si="6"/>
        <v>1</v>
      </c>
      <c r="Q20" s="120"/>
      <c r="R20" s="150">
        <v>1</v>
      </c>
      <c r="S20" s="150">
        <v>1</v>
      </c>
      <c r="T20" s="150">
        <f t="shared" si="7"/>
        <v>0</v>
      </c>
      <c r="U20" s="131"/>
      <c r="V20" s="150">
        <v>0</v>
      </c>
      <c r="W20" s="150">
        <v>2</v>
      </c>
      <c r="X20" s="150">
        <f t="shared" si="8"/>
        <v>3</v>
      </c>
      <c r="Y20" s="120"/>
      <c r="Z20" s="121">
        <f t="shared" si="9"/>
        <v>8</v>
      </c>
      <c r="AA20" s="116" t="str">
        <f t="shared" si="0"/>
        <v>Bélgica</v>
      </c>
      <c r="AB20" s="116">
        <f t="shared" si="10"/>
        <v>6</v>
      </c>
      <c r="AC20" s="116" t="str">
        <f t="shared" si="1"/>
        <v>Dinamarca</v>
      </c>
      <c r="AD20" s="116">
        <f t="shared" si="11"/>
        <v>6</v>
      </c>
      <c r="AE20" s="156" t="str">
        <f>Terceros!C21</f>
        <v>Rusia</v>
      </c>
      <c r="AF20" s="116">
        <f t="shared" si="12"/>
        <v>0</v>
      </c>
      <c r="AG20" s="148">
        <f t="shared" si="13"/>
        <v>20</v>
      </c>
      <c r="AJ20" s="132">
        <f t="shared" si="14"/>
        <v>4.5030000000000001</v>
      </c>
      <c r="AK20" s="132">
        <f t="shared" si="15"/>
        <v>0.45100000000000001</v>
      </c>
      <c r="AL20" s="132">
        <f t="shared" si="16"/>
        <v>4.4830000000000005</v>
      </c>
      <c r="AM20" s="132">
        <f t="shared" si="17"/>
        <v>9.577</v>
      </c>
      <c r="AN20" s="113">
        <f t="shared" si="2"/>
        <v>2</v>
      </c>
      <c r="AO20" s="113">
        <f t="shared" si="2"/>
        <v>4</v>
      </c>
      <c r="AP20" s="113">
        <f t="shared" si="2"/>
        <v>3</v>
      </c>
      <c r="AQ20" s="113">
        <f t="shared" si="2"/>
        <v>1</v>
      </c>
      <c r="AR20" s="113">
        <f t="shared" si="18"/>
        <v>1</v>
      </c>
      <c r="AS20" s="113">
        <f t="shared" si="19"/>
        <v>1</v>
      </c>
    </row>
    <row r="21" spans="1:45">
      <c r="A21" s="129" t="str">
        <f>Participantes!B18</f>
        <v>Juan Rojas</v>
      </c>
      <c r="B21" s="150">
        <v>1</v>
      </c>
      <c r="C21" s="150">
        <v>2</v>
      </c>
      <c r="D21" s="150">
        <f t="shared" si="3"/>
        <v>1</v>
      </c>
      <c r="E21" s="120"/>
      <c r="F21" s="150">
        <v>1</v>
      </c>
      <c r="G21" s="150">
        <v>3</v>
      </c>
      <c r="H21" s="150">
        <f t="shared" si="4"/>
        <v>1</v>
      </c>
      <c r="I21" s="120"/>
      <c r="J21" s="150">
        <v>2</v>
      </c>
      <c r="K21" s="150">
        <v>2</v>
      </c>
      <c r="L21" s="150">
        <f t="shared" si="5"/>
        <v>0</v>
      </c>
      <c r="M21" s="120"/>
      <c r="N21" s="150">
        <v>1</v>
      </c>
      <c r="O21" s="150">
        <v>1</v>
      </c>
      <c r="P21" s="150">
        <f t="shared" si="6"/>
        <v>0</v>
      </c>
      <c r="Q21" s="120"/>
      <c r="R21" s="150">
        <v>2</v>
      </c>
      <c r="S21" s="150">
        <v>1</v>
      </c>
      <c r="T21" s="150">
        <f t="shared" si="7"/>
        <v>1</v>
      </c>
      <c r="U21" s="131"/>
      <c r="V21" s="150">
        <v>1</v>
      </c>
      <c r="W21" s="150">
        <v>2</v>
      </c>
      <c r="X21" s="150">
        <f t="shared" si="8"/>
        <v>1</v>
      </c>
      <c r="Y21" s="120"/>
      <c r="Z21" s="121">
        <f t="shared" si="9"/>
        <v>4</v>
      </c>
      <c r="AA21" s="116" t="str">
        <f t="shared" si="0"/>
        <v>Bélgica</v>
      </c>
      <c r="AB21" s="116">
        <f t="shared" si="10"/>
        <v>6</v>
      </c>
      <c r="AC21" s="116" t="str">
        <f t="shared" si="1"/>
        <v>Finlandia</v>
      </c>
      <c r="AD21" s="116">
        <f t="shared" si="11"/>
        <v>0</v>
      </c>
      <c r="AE21" s="156" t="str">
        <f>Terceros!C22</f>
        <v>Dinamarca</v>
      </c>
      <c r="AF21" s="116">
        <f t="shared" si="12"/>
        <v>3</v>
      </c>
      <c r="AG21" s="148">
        <f t="shared" si="13"/>
        <v>13</v>
      </c>
      <c r="AJ21" s="132">
        <f t="shared" si="14"/>
        <v>4.5039999999999996</v>
      </c>
      <c r="AK21" s="132">
        <f t="shared" si="15"/>
        <v>4.5049999999999999</v>
      </c>
      <c r="AL21" s="132">
        <f t="shared" si="16"/>
        <v>1.474</v>
      </c>
      <c r="AM21" s="132">
        <f t="shared" si="17"/>
        <v>7.5360000000000005</v>
      </c>
      <c r="AN21" s="113">
        <f t="shared" ref="AN21:AQ27" si="20">_xlfn.RANK.EQ(AJ21,$AJ21:$AM21,0)</f>
        <v>3</v>
      </c>
      <c r="AO21" s="113">
        <f t="shared" si="20"/>
        <v>2</v>
      </c>
      <c r="AP21" s="113">
        <f t="shared" si="20"/>
        <v>4</v>
      </c>
      <c r="AQ21" s="113">
        <f t="shared" si="20"/>
        <v>1</v>
      </c>
      <c r="AR21" s="113">
        <f t="shared" si="18"/>
        <v>1</v>
      </c>
      <c r="AS21" s="113">
        <f t="shared" si="19"/>
        <v>1</v>
      </c>
    </row>
    <row r="22" spans="1:45">
      <c r="A22" s="129" t="str">
        <f>Participantes!B19</f>
        <v>Bilis Cedeño</v>
      </c>
      <c r="B22" s="150">
        <v>2</v>
      </c>
      <c r="C22" s="150">
        <v>0</v>
      </c>
      <c r="D22" s="150">
        <f t="shared" si="3"/>
        <v>0</v>
      </c>
      <c r="E22" s="120"/>
      <c r="F22" s="150">
        <v>0</v>
      </c>
      <c r="G22" s="150">
        <v>2</v>
      </c>
      <c r="H22" s="150">
        <f t="shared" si="4"/>
        <v>1</v>
      </c>
      <c r="I22" s="120"/>
      <c r="J22" s="150">
        <v>0</v>
      </c>
      <c r="K22" s="150">
        <v>3</v>
      </c>
      <c r="L22" s="150">
        <f t="shared" si="5"/>
        <v>1</v>
      </c>
      <c r="M22" s="120"/>
      <c r="N22" s="150">
        <v>1</v>
      </c>
      <c r="O22" s="150">
        <v>0</v>
      </c>
      <c r="P22" s="150">
        <f t="shared" si="6"/>
        <v>1</v>
      </c>
      <c r="Q22" s="120"/>
      <c r="R22" s="150">
        <v>3</v>
      </c>
      <c r="S22" s="150">
        <v>1</v>
      </c>
      <c r="T22" s="150">
        <f t="shared" si="7"/>
        <v>1</v>
      </c>
      <c r="U22" s="131"/>
      <c r="V22" s="150">
        <v>0</v>
      </c>
      <c r="W22" s="150">
        <v>4</v>
      </c>
      <c r="X22" s="150">
        <f t="shared" si="8"/>
        <v>1</v>
      </c>
      <c r="Y22" s="120"/>
      <c r="Z22" s="121">
        <f t="shared" si="9"/>
        <v>5</v>
      </c>
      <c r="AA22" s="116" t="str">
        <f t="shared" si="0"/>
        <v>Bélgica</v>
      </c>
      <c r="AB22" s="116">
        <f t="shared" si="10"/>
        <v>6</v>
      </c>
      <c r="AC22" s="116" t="str">
        <f t="shared" si="1"/>
        <v>Dinamarca</v>
      </c>
      <c r="AD22" s="116">
        <f t="shared" si="11"/>
        <v>6</v>
      </c>
      <c r="AE22" s="156" t="str">
        <f>Terceros!C23</f>
        <v>Rusia</v>
      </c>
      <c r="AF22" s="116">
        <f t="shared" si="12"/>
        <v>0</v>
      </c>
      <c r="AG22" s="148">
        <f t="shared" si="13"/>
        <v>17</v>
      </c>
      <c r="AJ22" s="132">
        <f t="shared" si="14"/>
        <v>6.5350000000000001</v>
      </c>
      <c r="AK22" s="132">
        <f t="shared" si="15"/>
        <v>0.41000000000000003</v>
      </c>
      <c r="AL22" s="132">
        <f t="shared" si="16"/>
        <v>3.4940000000000002</v>
      </c>
      <c r="AM22" s="132">
        <f t="shared" si="17"/>
        <v>9.577</v>
      </c>
      <c r="AN22" s="113">
        <f t="shared" si="20"/>
        <v>2</v>
      </c>
      <c r="AO22" s="113">
        <f t="shared" si="20"/>
        <v>4</v>
      </c>
      <c r="AP22" s="113">
        <f t="shared" si="20"/>
        <v>3</v>
      </c>
      <c r="AQ22" s="113">
        <f t="shared" si="20"/>
        <v>1</v>
      </c>
      <c r="AR22" s="113">
        <f t="shared" si="18"/>
        <v>1</v>
      </c>
      <c r="AS22" s="113">
        <f t="shared" si="19"/>
        <v>1</v>
      </c>
    </row>
    <row r="23" spans="1:45">
      <c r="A23" s="129" t="str">
        <f>Participantes!B20</f>
        <v>Alfredo Quintero 1</v>
      </c>
      <c r="B23" s="150">
        <v>4</v>
      </c>
      <c r="C23" s="150">
        <v>0</v>
      </c>
      <c r="D23" s="150">
        <f t="shared" si="3"/>
        <v>0</v>
      </c>
      <c r="E23" s="120"/>
      <c r="F23" s="150">
        <v>1</v>
      </c>
      <c r="G23" s="150">
        <v>2</v>
      </c>
      <c r="H23" s="150">
        <f t="shared" si="4"/>
        <v>1</v>
      </c>
      <c r="I23" s="120"/>
      <c r="J23" s="150">
        <v>0</v>
      </c>
      <c r="K23" s="150">
        <v>3</v>
      </c>
      <c r="L23" s="150">
        <f t="shared" si="5"/>
        <v>1</v>
      </c>
      <c r="M23" s="120"/>
      <c r="N23" s="150">
        <v>1</v>
      </c>
      <c r="O23" s="150">
        <v>0</v>
      </c>
      <c r="P23" s="150">
        <f t="shared" si="6"/>
        <v>1</v>
      </c>
      <c r="Q23" s="120"/>
      <c r="R23" s="150">
        <v>1</v>
      </c>
      <c r="S23" s="150">
        <v>0</v>
      </c>
      <c r="T23" s="150">
        <f t="shared" si="7"/>
        <v>1</v>
      </c>
      <c r="U23" s="131"/>
      <c r="V23" s="150">
        <v>0</v>
      </c>
      <c r="W23" s="150">
        <v>3</v>
      </c>
      <c r="X23" s="150">
        <f t="shared" si="8"/>
        <v>1</v>
      </c>
      <c r="Y23" s="120"/>
      <c r="Z23" s="121">
        <f t="shared" si="9"/>
        <v>5</v>
      </c>
      <c r="AA23" s="116" t="str">
        <f t="shared" si="0"/>
        <v>Bélgica</v>
      </c>
      <c r="AB23" s="116">
        <f t="shared" si="10"/>
        <v>6</v>
      </c>
      <c r="AC23" s="116" t="str">
        <f t="shared" si="1"/>
        <v>Dinamarca</v>
      </c>
      <c r="AD23" s="116">
        <f t="shared" si="11"/>
        <v>6</v>
      </c>
      <c r="AE23" s="156" t="str">
        <f>Terceros!C24</f>
        <v>Rusia</v>
      </c>
      <c r="AF23" s="116">
        <f t="shared" si="12"/>
        <v>0</v>
      </c>
      <c r="AG23" s="148">
        <f t="shared" si="13"/>
        <v>17</v>
      </c>
      <c r="AJ23" s="132">
        <f t="shared" si="14"/>
        <v>6.5449999999999999</v>
      </c>
      <c r="AK23" s="132">
        <f t="shared" si="15"/>
        <v>0.4</v>
      </c>
      <c r="AL23" s="132">
        <f t="shared" si="16"/>
        <v>3.5139999999999998</v>
      </c>
      <c r="AM23" s="132">
        <f t="shared" si="17"/>
        <v>9.5560000000000009</v>
      </c>
      <c r="AN23" s="113">
        <f t="shared" si="20"/>
        <v>2</v>
      </c>
      <c r="AO23" s="113">
        <f t="shared" si="20"/>
        <v>4</v>
      </c>
      <c r="AP23" s="113">
        <f t="shared" si="20"/>
        <v>3</v>
      </c>
      <c r="AQ23" s="113">
        <f t="shared" si="20"/>
        <v>1</v>
      </c>
      <c r="AR23" s="113">
        <f t="shared" si="18"/>
        <v>1</v>
      </c>
      <c r="AS23" s="113">
        <f t="shared" si="19"/>
        <v>1</v>
      </c>
    </row>
    <row r="24" spans="1:45">
      <c r="A24" s="129" t="str">
        <f>Participantes!B21</f>
        <v>Alfredo Quintero 2</v>
      </c>
      <c r="B24" s="150">
        <v>3</v>
      </c>
      <c r="C24" s="150">
        <v>0</v>
      </c>
      <c r="D24" s="150">
        <f t="shared" si="3"/>
        <v>0</v>
      </c>
      <c r="E24" s="120"/>
      <c r="F24" s="150">
        <v>0</v>
      </c>
      <c r="G24" s="150">
        <v>2</v>
      </c>
      <c r="H24" s="150">
        <f t="shared" si="4"/>
        <v>1</v>
      </c>
      <c r="I24" s="120"/>
      <c r="J24" s="150">
        <v>0</v>
      </c>
      <c r="K24" s="150">
        <v>2</v>
      </c>
      <c r="L24" s="150">
        <f t="shared" si="5"/>
        <v>1</v>
      </c>
      <c r="M24" s="120"/>
      <c r="N24" s="150">
        <v>1</v>
      </c>
      <c r="O24" s="150">
        <v>1</v>
      </c>
      <c r="P24" s="150">
        <f t="shared" si="6"/>
        <v>0</v>
      </c>
      <c r="Q24" s="120"/>
      <c r="R24" s="150">
        <v>2</v>
      </c>
      <c r="S24" s="150">
        <v>1</v>
      </c>
      <c r="T24" s="150">
        <f t="shared" si="7"/>
        <v>1</v>
      </c>
      <c r="U24" s="131"/>
      <c r="V24" s="150">
        <v>0</v>
      </c>
      <c r="W24" s="150">
        <v>2</v>
      </c>
      <c r="X24" s="150">
        <f t="shared" si="8"/>
        <v>3</v>
      </c>
      <c r="Y24" s="120"/>
      <c r="Z24" s="121">
        <f t="shared" si="9"/>
        <v>6</v>
      </c>
      <c r="AA24" s="116" t="str">
        <f t="shared" si="0"/>
        <v>Dinamarca</v>
      </c>
      <c r="AB24" s="116">
        <f t="shared" si="10"/>
        <v>3</v>
      </c>
      <c r="AC24" s="116" t="str">
        <f t="shared" si="1"/>
        <v>Bélgica</v>
      </c>
      <c r="AD24" s="116">
        <f t="shared" si="11"/>
        <v>3</v>
      </c>
      <c r="AE24" s="156" t="str">
        <f>Terceros!C25</f>
        <v>Rusia</v>
      </c>
      <c r="AF24" s="116">
        <f t="shared" si="12"/>
        <v>0</v>
      </c>
      <c r="AG24" s="148">
        <f t="shared" si="13"/>
        <v>12</v>
      </c>
      <c r="AJ24" s="132">
        <f t="shared" si="14"/>
        <v>7.5460000000000003</v>
      </c>
      <c r="AK24" s="132">
        <f t="shared" si="15"/>
        <v>0.43</v>
      </c>
      <c r="AL24" s="132">
        <f t="shared" si="16"/>
        <v>3.4930000000000003</v>
      </c>
      <c r="AM24" s="132">
        <f t="shared" si="17"/>
        <v>7.5449999999999999</v>
      </c>
      <c r="AN24" s="113">
        <f t="shared" si="20"/>
        <v>1</v>
      </c>
      <c r="AO24" s="113">
        <f t="shared" si="20"/>
        <v>4</v>
      </c>
      <c r="AP24" s="113">
        <f t="shared" si="20"/>
        <v>3</v>
      </c>
      <c r="AQ24" s="113">
        <f t="shared" si="20"/>
        <v>2</v>
      </c>
      <c r="AR24" s="113">
        <f t="shared" si="18"/>
        <v>1</v>
      </c>
      <c r="AS24" s="113">
        <f t="shared" si="19"/>
        <v>1</v>
      </c>
    </row>
    <row r="25" spans="1:45">
      <c r="A25" s="129" t="str">
        <f>Participantes!B22</f>
        <v>Antonio Barahona</v>
      </c>
      <c r="B25" s="150">
        <v>1</v>
      </c>
      <c r="C25" s="150">
        <v>1</v>
      </c>
      <c r="D25" s="150">
        <f t="shared" si="3"/>
        <v>0</v>
      </c>
      <c r="E25" s="120"/>
      <c r="F25" s="150">
        <v>2</v>
      </c>
      <c r="G25" s="150">
        <v>1</v>
      </c>
      <c r="H25" s="150">
        <f t="shared" si="4"/>
        <v>0</v>
      </c>
      <c r="I25" s="120"/>
      <c r="J25" s="150">
        <v>0</v>
      </c>
      <c r="K25" s="150">
        <v>1</v>
      </c>
      <c r="L25" s="150">
        <f t="shared" si="5"/>
        <v>3</v>
      </c>
      <c r="M25" s="120"/>
      <c r="N25" s="150">
        <v>1</v>
      </c>
      <c r="O25" s="150">
        <v>2</v>
      </c>
      <c r="P25" s="150">
        <f t="shared" si="6"/>
        <v>0</v>
      </c>
      <c r="Q25" s="120"/>
      <c r="R25" s="150">
        <v>1</v>
      </c>
      <c r="S25" s="150">
        <v>1</v>
      </c>
      <c r="T25" s="150">
        <f t="shared" si="7"/>
        <v>0</v>
      </c>
      <c r="U25" s="131"/>
      <c r="V25" s="150">
        <v>0</v>
      </c>
      <c r="W25" s="150">
        <v>0</v>
      </c>
      <c r="X25" s="150">
        <f t="shared" si="8"/>
        <v>0</v>
      </c>
      <c r="Y25" s="120"/>
      <c r="Z25" s="121">
        <f t="shared" si="9"/>
        <v>3</v>
      </c>
      <c r="AA25" s="116" t="str">
        <f t="shared" si="0"/>
        <v>Rusia</v>
      </c>
      <c r="AB25" s="116">
        <f t="shared" si="10"/>
        <v>0</v>
      </c>
      <c r="AC25" s="116" t="str">
        <f t="shared" si="1"/>
        <v>Dinamarca</v>
      </c>
      <c r="AD25" s="116">
        <f t="shared" si="11"/>
        <v>6</v>
      </c>
      <c r="AE25" s="156" t="str">
        <f>Terceros!C26</f>
        <v/>
      </c>
      <c r="AF25" s="116">
        <f t="shared" si="12"/>
        <v>0</v>
      </c>
      <c r="AG25" s="148">
        <f t="shared" si="13"/>
        <v>9</v>
      </c>
      <c r="AJ25" s="132">
        <f t="shared" si="14"/>
        <v>5.5139999999999993</v>
      </c>
      <c r="AK25" s="132">
        <f t="shared" si="15"/>
        <v>2.4909999999999997</v>
      </c>
      <c r="AL25" s="132">
        <f t="shared" si="16"/>
        <v>7.5239999999999991</v>
      </c>
      <c r="AM25" s="132">
        <f t="shared" si="17"/>
        <v>1.482</v>
      </c>
      <c r="AN25" s="113">
        <f t="shared" si="20"/>
        <v>2</v>
      </c>
      <c r="AO25" s="113">
        <f t="shared" si="20"/>
        <v>3</v>
      </c>
      <c r="AP25" s="113">
        <f t="shared" si="20"/>
        <v>1</v>
      </c>
      <c r="AQ25" s="113">
        <f t="shared" si="20"/>
        <v>4</v>
      </c>
      <c r="AR25" s="113">
        <f t="shared" si="18"/>
        <v>1</v>
      </c>
      <c r="AS25" s="113">
        <f t="shared" si="19"/>
        <v>1</v>
      </c>
    </row>
    <row r="26" spans="1:45">
      <c r="A26" s="129" t="str">
        <f>Participantes!B23</f>
        <v>Jose Caballero 1</v>
      </c>
      <c r="B26" s="150">
        <v>3</v>
      </c>
      <c r="C26" s="150">
        <v>0</v>
      </c>
      <c r="D26" s="150">
        <f t="shared" si="3"/>
        <v>0</v>
      </c>
      <c r="E26" s="120"/>
      <c r="F26" s="150">
        <v>2</v>
      </c>
      <c r="G26" s="150">
        <v>3</v>
      </c>
      <c r="H26" s="150">
        <f t="shared" si="4"/>
        <v>1</v>
      </c>
      <c r="I26" s="120"/>
      <c r="J26" s="150">
        <v>0</v>
      </c>
      <c r="K26" s="150">
        <v>2</v>
      </c>
      <c r="L26" s="150">
        <f t="shared" si="5"/>
        <v>1</v>
      </c>
      <c r="M26" s="120"/>
      <c r="N26" s="150">
        <v>2</v>
      </c>
      <c r="O26" s="150">
        <v>2</v>
      </c>
      <c r="P26" s="150">
        <f t="shared" si="6"/>
        <v>0</v>
      </c>
      <c r="Q26" s="120"/>
      <c r="R26" s="150">
        <v>2</v>
      </c>
      <c r="S26" s="150">
        <v>1</v>
      </c>
      <c r="T26" s="150">
        <f t="shared" si="7"/>
        <v>1</v>
      </c>
      <c r="U26" s="131"/>
      <c r="V26" s="150">
        <v>0</v>
      </c>
      <c r="W26" s="150">
        <v>4</v>
      </c>
      <c r="X26" s="150">
        <f t="shared" si="8"/>
        <v>1</v>
      </c>
      <c r="Y26" s="120"/>
      <c r="Z26" s="121">
        <f t="shared" si="9"/>
        <v>4</v>
      </c>
      <c r="AA26" s="116" t="str">
        <f t="shared" si="0"/>
        <v>Bélgica</v>
      </c>
      <c r="AB26" s="116">
        <f t="shared" si="10"/>
        <v>6</v>
      </c>
      <c r="AC26" s="116" t="str">
        <f t="shared" si="1"/>
        <v>Dinamarca</v>
      </c>
      <c r="AD26" s="116">
        <f t="shared" si="11"/>
        <v>6</v>
      </c>
      <c r="AE26" s="156" t="str">
        <f>Terceros!C27</f>
        <v/>
      </c>
      <c r="AF26" s="116">
        <f t="shared" si="12"/>
        <v>0</v>
      </c>
      <c r="AG26" s="148">
        <f t="shared" si="13"/>
        <v>16</v>
      </c>
      <c r="AJ26" s="132">
        <f t="shared" si="14"/>
        <v>7.5469999999999997</v>
      </c>
      <c r="AK26" s="132">
        <f t="shared" si="15"/>
        <v>0.41000000000000003</v>
      </c>
      <c r="AL26" s="132">
        <f t="shared" si="16"/>
        <v>3.5049999999999999</v>
      </c>
      <c r="AM26" s="132">
        <f t="shared" si="17"/>
        <v>7.5590000000000002</v>
      </c>
      <c r="AN26" s="113">
        <f t="shared" si="20"/>
        <v>2</v>
      </c>
      <c r="AO26" s="113">
        <f t="shared" si="20"/>
        <v>4</v>
      </c>
      <c r="AP26" s="113">
        <f t="shared" si="20"/>
        <v>3</v>
      </c>
      <c r="AQ26" s="113">
        <f t="shared" si="20"/>
        <v>1</v>
      </c>
      <c r="AR26" s="113">
        <f t="shared" si="18"/>
        <v>1</v>
      </c>
      <c r="AS26" s="113">
        <f t="shared" si="19"/>
        <v>1</v>
      </c>
    </row>
    <row r="27" spans="1:45">
      <c r="A27" s="129" t="str">
        <f>Participantes!B24</f>
        <v>Jose Caballero 2(Betito)</v>
      </c>
      <c r="B27" s="150">
        <v>1</v>
      </c>
      <c r="C27" s="150">
        <v>0</v>
      </c>
      <c r="D27" s="150">
        <f t="shared" si="3"/>
        <v>0</v>
      </c>
      <c r="E27" s="120"/>
      <c r="F27" s="150">
        <v>1</v>
      </c>
      <c r="G27" s="150">
        <v>2</v>
      </c>
      <c r="H27" s="150">
        <f t="shared" si="4"/>
        <v>1</v>
      </c>
      <c r="I27" s="120"/>
      <c r="J27" s="150">
        <v>0</v>
      </c>
      <c r="K27" s="150">
        <v>3</v>
      </c>
      <c r="L27" s="150">
        <f t="shared" si="5"/>
        <v>1</v>
      </c>
      <c r="M27" s="120"/>
      <c r="N27" s="150">
        <v>3</v>
      </c>
      <c r="O27" s="150">
        <v>1</v>
      </c>
      <c r="P27" s="150">
        <f t="shared" si="6"/>
        <v>1</v>
      </c>
      <c r="Q27" s="120"/>
      <c r="R27" s="150">
        <v>1</v>
      </c>
      <c r="S27" s="150">
        <v>2</v>
      </c>
      <c r="T27" s="150">
        <f t="shared" si="7"/>
        <v>0</v>
      </c>
      <c r="U27" s="131"/>
      <c r="V27" s="150">
        <v>0</v>
      </c>
      <c r="W27" s="150">
        <v>4</v>
      </c>
      <c r="X27" s="150">
        <f t="shared" si="8"/>
        <v>1</v>
      </c>
      <c r="Y27" s="120"/>
      <c r="Z27" s="121">
        <f t="shared" si="9"/>
        <v>4</v>
      </c>
      <c r="AA27" s="116" t="str">
        <f t="shared" si="0"/>
        <v>Bélgica</v>
      </c>
      <c r="AB27" s="116">
        <f t="shared" si="10"/>
        <v>6</v>
      </c>
      <c r="AC27" s="116" t="str">
        <f t="shared" si="1"/>
        <v>Rusia</v>
      </c>
      <c r="AD27" s="116">
        <f t="shared" si="11"/>
        <v>0</v>
      </c>
      <c r="AE27" s="156" t="str">
        <f>Terceros!C28</f>
        <v/>
      </c>
      <c r="AF27" s="116">
        <f t="shared" si="12"/>
        <v>0</v>
      </c>
      <c r="AG27" s="148">
        <f t="shared" si="13"/>
        <v>10</v>
      </c>
      <c r="AJ27" s="132">
        <f t="shared" si="14"/>
        <v>3.4830000000000001</v>
      </c>
      <c r="AK27" s="132">
        <f t="shared" si="15"/>
        <v>0.42</v>
      </c>
      <c r="AL27" s="132">
        <f t="shared" si="16"/>
        <v>6.5360000000000005</v>
      </c>
      <c r="AM27" s="132">
        <f t="shared" si="17"/>
        <v>9.5790000000000006</v>
      </c>
      <c r="AN27" s="113">
        <f t="shared" si="20"/>
        <v>3</v>
      </c>
      <c r="AO27" s="113">
        <f t="shared" si="20"/>
        <v>4</v>
      </c>
      <c r="AP27" s="113">
        <f t="shared" si="20"/>
        <v>2</v>
      </c>
      <c r="AQ27" s="113">
        <f t="shared" si="20"/>
        <v>1</v>
      </c>
      <c r="AR27" s="113">
        <f t="shared" si="18"/>
        <v>1</v>
      </c>
      <c r="AS27" s="113">
        <f t="shared" si="19"/>
        <v>1</v>
      </c>
    </row>
    <row r="28" spans="1:45">
      <c r="A28" s="141"/>
      <c r="B28" s="119"/>
      <c r="C28" s="119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D28" s="133"/>
    </row>
    <row r="29" spans="1:45">
      <c r="A29" s="141"/>
      <c r="B29" s="119"/>
      <c r="C29" s="119"/>
      <c r="D29" s="133"/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D29" s="133"/>
    </row>
  </sheetData>
  <mergeCells count="14">
    <mergeCell ref="AG2:AG3"/>
    <mergeCell ref="V1:X1"/>
    <mergeCell ref="B1:D1"/>
    <mergeCell ref="F1:H1"/>
    <mergeCell ref="J1:L1"/>
    <mergeCell ref="N1:P1"/>
    <mergeCell ref="R1:T1"/>
    <mergeCell ref="Z2:Z3"/>
    <mergeCell ref="D2:D3"/>
    <mergeCell ref="H2:H3"/>
    <mergeCell ref="L2:L3"/>
    <mergeCell ref="P2:P3"/>
    <mergeCell ref="T2:T3"/>
    <mergeCell ref="X2:X3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6" id="{4D4CCD20-32DE-4143-A1D6-E6C9156D7C00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7" id="{371D5380-0F45-440A-A2A7-3C0F677A5E3E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8" id="{A12FE55A-5CA3-4261-84C4-365DF2E111C1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B3:C3</xm:sqref>
        </x14:conditionalFormatting>
        <x14:conditionalFormatting xmlns:xm="http://schemas.microsoft.com/office/excel/2006/main">
          <x14:cfRule type="expression" priority="13" id="{076321D8-18F6-4914-AA7B-24D30725BAA5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4" id="{274BEFC0-7A60-4477-A8D8-56D146088754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5" id="{01253F9C-CFB0-40B0-B432-CAC856808B2E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F3:G3</xm:sqref>
        </x14:conditionalFormatting>
        <x14:conditionalFormatting xmlns:xm="http://schemas.microsoft.com/office/excel/2006/main">
          <x14:cfRule type="expression" priority="10" id="{E02E0DF4-9FBA-468E-9E57-8E8283CCBE12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1" id="{21154753-AFE4-4862-8512-2A902D24D615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2" id="{FF55BD7F-3FB7-415B-B3EB-8D6BB3F89F0C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J3:K3</xm:sqref>
        </x14:conditionalFormatting>
        <x14:conditionalFormatting xmlns:xm="http://schemas.microsoft.com/office/excel/2006/main">
          <x14:cfRule type="expression" priority="7" id="{76E9ED34-3A47-46FF-A5A3-BB60DA959160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8" id="{408627E7-3D5B-4260-8C43-5D66F80AAB1A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9" id="{30AA251D-D051-4CAE-9E94-B56A77CF338F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N3:O3</xm:sqref>
        </x14:conditionalFormatting>
        <x14:conditionalFormatting xmlns:xm="http://schemas.microsoft.com/office/excel/2006/main">
          <x14:cfRule type="expression" priority="4" id="{7A8CD7FF-EA99-46E6-A1D7-2FE3AE3F9E2E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5" id="{156AADF2-9EEA-4BFD-B7C0-8048A4DE3A07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6" id="{65EDDCF2-DC4E-4274-8DBC-C4B9924A17FF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R3:S3</xm:sqref>
        </x14:conditionalFormatting>
        <x14:conditionalFormatting xmlns:xm="http://schemas.microsoft.com/office/excel/2006/main">
          <x14:cfRule type="expression" priority="1" id="{234CAD57-4BF4-4A2C-8734-31C1D9DC6E94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2" id="{1DDC4A11-8161-4360-91E1-88ADDC09DEBE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3" id="{C3F1A72F-58E1-4E8D-85FA-AB26D6CFCCE4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V3:W3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7"/>
  <sheetViews>
    <sheetView topLeftCell="G1" zoomScale="80" zoomScaleNormal="80" workbookViewId="0">
      <selection activeCell="AF5" sqref="AF5"/>
    </sheetView>
  </sheetViews>
  <sheetFormatPr baseColWidth="10" defaultRowHeight="15"/>
  <cols>
    <col min="1" max="1" width="24.28515625" style="119" customWidth="1"/>
    <col min="2" max="2" width="8.85546875" style="119" customWidth="1"/>
    <col min="3" max="3" width="11" style="119" customWidth="1"/>
    <col min="4" max="4" width="4.85546875" style="133" customWidth="1"/>
    <col min="5" max="5" width="0.5703125" style="133" customWidth="1"/>
    <col min="6" max="6" width="8.85546875" style="133" customWidth="1"/>
    <col min="7" max="7" width="11.42578125" style="133" customWidth="1"/>
    <col min="8" max="8" width="4.85546875" style="133" customWidth="1"/>
    <col min="9" max="9" width="0.5703125" style="133" customWidth="1"/>
    <col min="10" max="10" width="11.140625" style="133" customWidth="1"/>
    <col min="11" max="11" width="8.7109375" style="133" customWidth="1"/>
    <col min="12" max="12" width="4.85546875" style="133" customWidth="1"/>
    <col min="13" max="13" width="0.5703125" style="133" customWidth="1"/>
    <col min="14" max="14" width="10.7109375" style="133" customWidth="1"/>
    <col min="15" max="15" width="8.85546875" style="133" customWidth="1"/>
    <col min="16" max="16" width="5" style="133" customWidth="1"/>
    <col min="17" max="17" width="0.5703125" style="133" customWidth="1"/>
    <col min="18" max="18" width="10.5703125" style="133" customWidth="1"/>
    <col min="19" max="19" width="10.28515625" style="133" customWidth="1"/>
    <col min="20" max="20" width="4.7109375" style="133" customWidth="1"/>
    <col min="21" max="21" width="0.5703125" style="133" customWidth="1"/>
    <col min="22" max="22" width="9.5703125" style="119" customWidth="1"/>
    <col min="23" max="23" width="8.85546875" style="119" customWidth="1"/>
    <col min="24" max="24" width="5" style="133" customWidth="1"/>
    <col min="25" max="25" width="0.5703125" style="133" customWidth="1"/>
    <col min="26" max="26" width="9.5703125" style="119" customWidth="1"/>
    <col min="27" max="28" width="11.42578125" style="113"/>
    <col min="29" max="29" width="11.42578125" style="119"/>
    <col min="30" max="30" width="11.42578125" style="113"/>
    <col min="31" max="36" width="11.42578125" style="113" customWidth="1"/>
    <col min="37" max="37" width="6" style="113" customWidth="1"/>
    <col min="38" max="38" width="7" style="113" customWidth="1"/>
    <col min="39" max="39" width="6.7109375" style="113" customWidth="1"/>
    <col min="40" max="40" width="7.85546875" style="113" customWidth="1"/>
    <col min="41" max="41" width="7.140625" style="113" customWidth="1"/>
    <col min="42" max="42" width="5.85546875" style="113" customWidth="1"/>
    <col min="43" max="46" width="11.42578125" style="113" customWidth="1"/>
    <col min="47" max="16384" width="11.42578125" style="113"/>
  </cols>
  <sheetData>
    <row r="1" spans="1:45">
      <c r="B1" s="205">
        <v>1</v>
      </c>
      <c r="C1" s="205"/>
      <c r="D1" s="205"/>
      <c r="E1" s="120"/>
      <c r="F1" s="205">
        <v>2</v>
      </c>
      <c r="G1" s="205"/>
      <c r="H1" s="205"/>
      <c r="I1" s="120"/>
      <c r="J1" s="205">
        <v>3</v>
      </c>
      <c r="K1" s="205"/>
      <c r="L1" s="205"/>
      <c r="M1" s="120"/>
      <c r="N1" s="205">
        <v>4</v>
      </c>
      <c r="O1" s="205"/>
      <c r="P1" s="205"/>
      <c r="Q1" s="120"/>
      <c r="R1" s="205">
        <v>5</v>
      </c>
      <c r="S1" s="205"/>
      <c r="T1" s="205"/>
      <c r="U1" s="120"/>
      <c r="V1" s="205">
        <v>6</v>
      </c>
      <c r="W1" s="205"/>
      <c r="X1" s="205"/>
      <c r="Y1" s="120"/>
      <c r="Z1" s="121"/>
      <c r="AA1" s="148"/>
      <c r="AB1" s="148"/>
      <c r="AC1" s="148"/>
      <c r="AD1" s="148"/>
      <c r="AE1" s="148"/>
      <c r="AF1" s="134"/>
    </row>
    <row r="2" spans="1:45" ht="28.5" customHeight="1">
      <c r="A2" s="122"/>
      <c r="B2" s="123" t="str">
        <f>'H1'!$D19</f>
        <v>Austria</v>
      </c>
      <c r="C2" s="123" t="str">
        <f>'H1'!$F19</f>
        <v>Macedonia</v>
      </c>
      <c r="D2" s="208" t="s">
        <v>1</v>
      </c>
      <c r="E2" s="124"/>
      <c r="F2" s="123" t="str">
        <f>'H1'!D20</f>
        <v>Ucrania</v>
      </c>
      <c r="G2" s="123" t="str">
        <f>'H1'!F20</f>
        <v>Países Baj.</v>
      </c>
      <c r="H2" s="208" t="s">
        <v>1</v>
      </c>
      <c r="I2" s="124"/>
      <c r="J2" s="123" t="str">
        <f>'H1'!$D21</f>
        <v>Macedonia</v>
      </c>
      <c r="K2" s="123" t="str">
        <f>'H1'!$F21</f>
        <v>Ucrania</v>
      </c>
      <c r="L2" s="208" t="s">
        <v>1</v>
      </c>
      <c r="M2" s="124"/>
      <c r="N2" s="123" t="str">
        <f>'H1'!$D22</f>
        <v>Países Baj.</v>
      </c>
      <c r="O2" s="123" t="str">
        <f>'H1'!$F22</f>
        <v>Austria</v>
      </c>
      <c r="P2" s="208" t="s">
        <v>1</v>
      </c>
      <c r="Q2" s="124"/>
      <c r="R2" s="123" t="str">
        <f>'H1'!$D23</f>
        <v>Macedonia</v>
      </c>
      <c r="S2" s="123" t="str">
        <f>'H1'!$F23</f>
        <v>Países Baj.</v>
      </c>
      <c r="T2" s="210" t="s">
        <v>1</v>
      </c>
      <c r="U2" s="124"/>
      <c r="V2" s="123" t="str">
        <f>'H1'!$D24</f>
        <v>Ucrania</v>
      </c>
      <c r="W2" s="123" t="str">
        <f>'H1'!$F24</f>
        <v>Austria</v>
      </c>
      <c r="X2" s="208" t="s">
        <v>1</v>
      </c>
      <c r="Y2" s="124"/>
      <c r="Z2" s="206" t="s">
        <v>400</v>
      </c>
      <c r="AA2" s="149" t="s">
        <v>401</v>
      </c>
      <c r="AB2" s="149"/>
      <c r="AC2" s="149" t="s">
        <v>402</v>
      </c>
      <c r="AD2" s="149"/>
      <c r="AE2" s="149" t="s">
        <v>412</v>
      </c>
      <c r="AF2" s="149"/>
      <c r="AG2" s="206" t="s">
        <v>403</v>
      </c>
      <c r="AJ2" s="113" t="str">
        <f>B2</f>
        <v>Austria</v>
      </c>
      <c r="AK2" s="113" t="str">
        <f>C2</f>
        <v>Macedonia</v>
      </c>
      <c r="AL2" s="113" t="str">
        <f>F2</f>
        <v>Ucrania</v>
      </c>
      <c r="AM2" s="113" t="str">
        <f>G2</f>
        <v>Países Baj.</v>
      </c>
    </row>
    <row r="3" spans="1:45" ht="16.5" customHeight="1">
      <c r="A3" s="123" t="s">
        <v>404</v>
      </c>
      <c r="B3" s="126">
        <f>'H1'!$E19</f>
        <v>3</v>
      </c>
      <c r="C3" s="126">
        <f>'H1'!$G19</f>
        <v>1</v>
      </c>
      <c r="D3" s="209"/>
      <c r="E3" s="124"/>
      <c r="F3" s="126">
        <f>'H1'!$E20</f>
        <v>2</v>
      </c>
      <c r="G3" s="126">
        <f>'H1'!$G20</f>
        <v>3</v>
      </c>
      <c r="H3" s="209"/>
      <c r="I3" s="124"/>
      <c r="J3" s="126">
        <f>'H1'!$E21</f>
        <v>1</v>
      </c>
      <c r="K3" s="126">
        <f>'H1'!$G21</f>
        <v>2</v>
      </c>
      <c r="L3" s="209"/>
      <c r="M3" s="124"/>
      <c r="N3" s="126">
        <f>'H1'!$E22</f>
        <v>2</v>
      </c>
      <c r="O3" s="126">
        <f>'H1'!$G22</f>
        <v>0</v>
      </c>
      <c r="P3" s="209"/>
      <c r="Q3" s="124"/>
      <c r="R3" s="126">
        <f>'H1'!$E23</f>
        <v>0</v>
      </c>
      <c r="S3" s="126">
        <f>'H1'!$G23</f>
        <v>3</v>
      </c>
      <c r="T3" s="211"/>
      <c r="U3" s="124"/>
      <c r="V3" s="126">
        <f>'H1'!$E24</f>
        <v>0</v>
      </c>
      <c r="W3" s="126">
        <f>'H1'!$G24</f>
        <v>1</v>
      </c>
      <c r="X3" s="209"/>
      <c r="Y3" s="124"/>
      <c r="Z3" s="207"/>
      <c r="AA3" s="127" t="str">
        <f>IF('H1'!S13="1C","",'H1'!S13)</f>
        <v>Países Baj.</v>
      </c>
      <c r="AB3" s="127"/>
      <c r="AC3" s="127" t="str">
        <f>IF('H1'!S10="2C","",'H1'!S10)</f>
        <v>Austria</v>
      </c>
      <c r="AD3" s="127"/>
      <c r="AE3" s="127" t="s">
        <v>437</v>
      </c>
      <c r="AF3" s="163"/>
      <c r="AG3" s="207"/>
    </row>
    <row r="4" spans="1:45" ht="3.75" customHeight="1">
      <c r="A4" s="128" t="s">
        <v>406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</row>
    <row r="5" spans="1:45">
      <c r="A5" s="129" t="str">
        <f>Participantes!B2</f>
        <v>Luis Medica</v>
      </c>
      <c r="B5" s="150">
        <v>2</v>
      </c>
      <c r="C5" s="150">
        <v>1</v>
      </c>
      <c r="D5" s="150">
        <f>IF(AND($B5=$B$3, $C5=$C$3),3,IF(AND($B$3&gt;$C$3, $B5&gt;$C5),1,IF(AND($C5&gt;B5, $C$3&gt;$B$3), 1, IF(AND($B$3=$C$3, $B5=$C5),1,0))))*IF($B$3="",0,1)</f>
        <v>1</v>
      </c>
      <c r="E5" s="120"/>
      <c r="F5" s="150">
        <v>1</v>
      </c>
      <c r="G5" s="150">
        <v>2</v>
      </c>
      <c r="H5" s="150">
        <f>IF(AND($F5=$F$3, $G5=$G$3),3,IF(AND($F$3&gt;$G$3, $F5&gt;$G5),1,IF(AND($G5&gt;F5, $G$3&gt;$F$3), 1, IF(AND($F$3=$G$3, $F5=$G5),1,0))))*IF($F$3="",0,1)</f>
        <v>1</v>
      </c>
      <c r="I5" s="120"/>
      <c r="J5" s="150">
        <v>0</v>
      </c>
      <c r="K5" s="150">
        <v>1</v>
      </c>
      <c r="L5" s="150">
        <f>IF(AND($J5=$J$3, $K5=$K$3),3,IF(AND($J$3&gt;$K$3, $J5&gt;$K5),1,IF(AND($K5&gt;J5, $K$3&gt;$J$3), 1, IF(AND($J$3=$K$3, $J5=$K5),1,0))))*IF($J$3="",0,1)</f>
        <v>1</v>
      </c>
      <c r="M5" s="120"/>
      <c r="N5" s="150">
        <v>3</v>
      </c>
      <c r="O5" s="150">
        <v>1</v>
      </c>
      <c r="P5" s="150">
        <f>IF(AND($N5=$N$3, $O5=$O$3),3,IF(AND($N$3&gt;$O$3, $N5&gt;$O5),1,IF(AND($O5&gt;N5, $O$3&gt;$N$3), 1, IF(AND($N$3=$O$3, $N5=$O5),1,0))))*IF($N$3="",0,1)</f>
        <v>1</v>
      </c>
      <c r="Q5" s="120"/>
      <c r="R5" s="150">
        <v>0</v>
      </c>
      <c r="S5" s="150">
        <v>3</v>
      </c>
      <c r="T5" s="150">
        <f>IF(AND($R5=$R$3, $S5=$S$3),3,IF(AND($R$3&gt;$S$3, $R5&gt;$S5),1,IF(AND($S5&gt;R5, $S$3&gt;$R$3), 1, IF(AND($R$3=$S$3, $R5=$S5),1,0))))*IF($R$3="",0,1)</f>
        <v>3</v>
      </c>
      <c r="U5" s="150"/>
      <c r="V5" s="150">
        <v>1</v>
      </c>
      <c r="W5" s="150">
        <v>1</v>
      </c>
      <c r="X5" s="150">
        <f>IF(AND($V5=$V$3, $W5=$W$3),3,IF(AND($V$3&gt;$W$3, $V5&gt;$W5),1,IF(AND($W5&gt;V5, $W$3&gt;$V$3), 1, IF(AND($V$3=$W$3, $V5=$W5),1,0))))*IF($V$3="",0,1)</f>
        <v>0</v>
      </c>
      <c r="Y5" s="120"/>
      <c r="Z5" s="121">
        <f>D5+H5+L5+P5+T5+X5</f>
        <v>7</v>
      </c>
      <c r="AA5" s="116" t="str">
        <f t="shared" ref="AA5:AA27" si="0">CONCATENATE(IF(AR5&gt;2,"***",""),IF(AN5=1,$AJ$2,IF(AO5=1,$AK$2,IF(AP5=1,$AL$2,IF(AQ5=1,$AM$2,"error")))))</f>
        <v>Países Baj.</v>
      </c>
      <c r="AB5" s="116">
        <f>(IF($AA$3=AA5,6,0)+IF($AC$3=AA5,3,0)+IF(AA5=$AE$3,3,0))</f>
        <v>6</v>
      </c>
      <c r="AC5" s="116" t="str">
        <f t="shared" ref="AC5:AC27" si="1">CONCATENATE(IF(AS5&gt;1,"**",""),IF(AN5=2,$AJ$2,IF(AO5=2,$AK$2,IF(AP5=2,$AL$2,IF(AQ5=2,$AM$2,CONCATENATE(IF(AS5&gt;1,"*",""),"*",IF(AQ5=1,$AM$2,IF(AP5=1,$AL$2,$AK$2))))))))</f>
        <v>Ucrania</v>
      </c>
      <c r="AD5" s="116">
        <f>(IF($AA$3=AC5,3,0)+IF($AC$3=AC5,6,0)+IF(AC5=$AE$3,3,0))</f>
        <v>0</v>
      </c>
      <c r="AE5" s="156" t="str">
        <f>Terceros!D6</f>
        <v>Austria</v>
      </c>
      <c r="AF5" s="116">
        <f>IF($AA$3=AE5,3,0)+IF($AC$3=AE5,3,0)+IF(AE5=$AE$3,6,0)</f>
        <v>3</v>
      </c>
      <c r="AG5" s="148">
        <f>Z5+(AB5+AD5+AF5)*IF(AA3="",0,1)</f>
        <v>16</v>
      </c>
      <c r="AJ5" s="132">
        <f t="shared" ref="AJ5:AJ27" si="2">IF(B5&gt;C5,3,IF(B5=C5,1,0))+IF(O5&gt;N5,3,IF(O5=N5,1,0))+IF(W5&gt;V5,3,IF(W5=V5,1,0))+(B5+O5+W5)*0.001+(B5+O5+W5-C5-N5-V5)*0.01+0.5</f>
        <v>4.4939999999999998</v>
      </c>
      <c r="AK5" s="132">
        <f t="shared" ref="AK5:AK27" si="3">IF(C5&gt;B5,3,IF(C5=B5,1,0))+IF(J5&gt;K5,3,IF(J5=K5,1,0))+IF(R5&gt;S5,3,IF(R5=S5,1,0))+(C5+J5+R5)*0.001+(C5+J5+R5-B5-K5-S5)*0.01+0.5</f>
        <v>0.45100000000000001</v>
      </c>
      <c r="AL5" s="132">
        <f t="shared" ref="AL5:AL27" si="4">IF(F5&gt;G5,3,IF(F5=G5,1,0))+IF(K5&gt;J5,3,IF(K5=J5,1,0))+IF(V5&gt;W5,3,IF(V5=W5,1,0))+(F5+K5+V5)*0.001+(F5+K5+V5-G5-J5-W5)*0.01+0.5</f>
        <v>4.5030000000000001</v>
      </c>
      <c r="AM5" s="132">
        <f t="shared" ref="AM5:AM27" si="5">IF(G5&gt;F5,3,IF(G5=F5,1,0))+IF(N5&gt;O5,3,IF(O5=N5,1,0))+IF(S5&gt;R5,3,IF(S5=R5,1,0))+(G5+N5+S5)*0.001+(G5+N5+S5-F5-O5-R5)*0.01+0.5</f>
        <v>9.5679999999999996</v>
      </c>
      <c r="AN5" s="113">
        <f t="shared" ref="AN5:AQ5" si="6">_xlfn.RANK.EQ(AJ5,$AJ5:$AM5,0)</f>
        <v>3</v>
      </c>
      <c r="AO5" s="113">
        <f t="shared" si="6"/>
        <v>4</v>
      </c>
      <c r="AP5" s="113">
        <f t="shared" si="6"/>
        <v>2</v>
      </c>
      <c r="AQ5" s="113">
        <f t="shared" si="6"/>
        <v>1</v>
      </c>
      <c r="AR5" s="113">
        <f>COUNTIF(AN5:AQ5,1)</f>
        <v>1</v>
      </c>
      <c r="AS5" s="113">
        <f>COUNTIF(AN5:AQ5,2)</f>
        <v>1</v>
      </c>
    </row>
    <row r="6" spans="1:45">
      <c r="A6" s="129" t="str">
        <f>Participantes!B3</f>
        <v>Isaac Solanilla</v>
      </c>
      <c r="B6" s="150">
        <v>1</v>
      </c>
      <c r="C6" s="150">
        <v>0</v>
      </c>
      <c r="D6" s="150">
        <f t="shared" ref="D6:D27" si="7">IF(AND($B6=$B$3, $C6=$C$3),3,IF(AND($B$3&gt;$C$3, $B6&gt;$C6),1,IF(AND($C6&gt;B6, $C$3&gt;$B$3), 1, IF(AND($B$3=$C$3, $B6=$C6),1,0))))*IF($B$3="",0,1)</f>
        <v>1</v>
      </c>
      <c r="E6" s="120"/>
      <c r="F6" s="150">
        <v>1</v>
      </c>
      <c r="G6" s="150">
        <v>2</v>
      </c>
      <c r="H6" s="150">
        <f t="shared" ref="H6:H27" si="8">IF(AND($F6=$F$3, $G6=$G$3),3,IF(AND($F$3&gt;$G$3, $F6&gt;$G6),1,IF(AND($G6&gt;F6, $G$3&gt;$F$3), 1, IF(AND($F$3=$G$3, $F6=$G6),1,0))))*IF($F$3="",0,1)</f>
        <v>1</v>
      </c>
      <c r="I6" s="120"/>
      <c r="J6" s="150">
        <v>0</v>
      </c>
      <c r="K6" s="150">
        <v>2</v>
      </c>
      <c r="L6" s="150">
        <f t="shared" ref="L6:L27" si="9">IF(AND($J6=$J$3, $K6=$K$3),3,IF(AND($J$3&gt;$K$3, $J6&gt;$K6),1,IF(AND($K6&gt;J6, $K$3&gt;$J$3), 1, IF(AND($J$3=$K$3, $J6=$K6),1,0))))*IF($J$3="",0,1)</f>
        <v>1</v>
      </c>
      <c r="M6" s="120"/>
      <c r="N6" s="150">
        <v>3</v>
      </c>
      <c r="O6" s="150">
        <v>0</v>
      </c>
      <c r="P6" s="150">
        <f t="shared" ref="P6:P27" si="10">IF(AND($N6=$N$3, $O6=$O$3),3,IF(AND($N$3&gt;$O$3, $N6&gt;$O6),1,IF(AND($O6&gt;N6, $O$3&gt;$N$3), 1, IF(AND($N$3=$O$3, $N6=$O6),1,0))))*IF($N$3="",0,1)</f>
        <v>1</v>
      </c>
      <c r="Q6" s="120"/>
      <c r="R6" s="150">
        <v>0</v>
      </c>
      <c r="S6" s="150">
        <v>2</v>
      </c>
      <c r="T6" s="150">
        <f t="shared" ref="T6:T27" si="11">IF(AND($R6=$R$3, $S6=$S$3),3,IF(AND($R$3&gt;$S$3, $R6&gt;$S6),1,IF(AND($S6&gt;R6, $S$3&gt;$R$3), 1, IF(AND($R$3=$S$3, $R6=$S6),1,0))))*IF($R$3="",0,1)</f>
        <v>1</v>
      </c>
      <c r="U6" s="150"/>
      <c r="V6" s="150">
        <v>3</v>
      </c>
      <c r="W6" s="150">
        <v>1</v>
      </c>
      <c r="X6" s="150">
        <f t="shared" ref="X6:X27" si="12">IF(AND($V6=$V$3, $W6=$W$3),3,IF(AND($V$3&gt;$W$3, $V6&gt;$W6),1,IF(AND($W6&gt;V6, $W$3&gt;$V$3), 1, IF(AND($V$3=$W$3, $V6=$W6),1,0))))*IF($V$3="",0,1)</f>
        <v>0</v>
      </c>
      <c r="Y6" s="120"/>
      <c r="Z6" s="121">
        <f t="shared" ref="Z6:Z27" si="13">D6+H6+L6+P6+T6+X6</f>
        <v>5</v>
      </c>
      <c r="AA6" s="116" t="str">
        <f t="shared" si="0"/>
        <v>Países Baj.</v>
      </c>
      <c r="AB6" s="116">
        <f t="shared" ref="AB6:AB27" si="14">(IF($AA$3=AA6,6,0)+IF($AC$3=AA6,3,0)+IF(AA6=$AE$3,3,0))</f>
        <v>6</v>
      </c>
      <c r="AC6" s="116" t="str">
        <f t="shared" si="1"/>
        <v>Ucrania</v>
      </c>
      <c r="AD6" s="116">
        <f t="shared" ref="AD6:AD27" si="15">(IF($AA$3=AC6,3,0)+IF($AC$3=AC6,6,0)+IF(AC6=$AE$3,3,0))</f>
        <v>0</v>
      </c>
      <c r="AE6" s="156" t="str">
        <f>Terceros!D7</f>
        <v>Austria</v>
      </c>
      <c r="AF6" s="116">
        <f t="shared" ref="AF6:AF27" si="16">IF($AA$3=AE6,3,0)+IF($AC$3=AE6,3,0)+IF(AE6=$AE$3,6,0)</f>
        <v>3</v>
      </c>
      <c r="AG6" s="148">
        <f t="shared" ref="AG6:AG27" si="17">Z6+(AB6+AD6+AF6)*IF(AA4="",0,1)</f>
        <v>5</v>
      </c>
      <c r="AJ6" s="132">
        <f t="shared" si="2"/>
        <v>3.4619999999999997</v>
      </c>
      <c r="AK6" s="132">
        <f t="shared" si="3"/>
        <v>0.45</v>
      </c>
      <c r="AL6" s="132">
        <f t="shared" si="4"/>
        <v>6.5360000000000005</v>
      </c>
      <c r="AM6" s="132">
        <f t="shared" si="5"/>
        <v>9.5670000000000002</v>
      </c>
      <c r="AN6" s="113">
        <f t="shared" ref="AN6:AN27" si="18">_xlfn.RANK.EQ(AJ6,$AJ6:$AM6,0)</f>
        <v>3</v>
      </c>
      <c r="AO6" s="113">
        <f t="shared" ref="AO6:AO27" si="19">_xlfn.RANK.EQ(AK6,$AJ6:$AM6,0)</f>
        <v>4</v>
      </c>
      <c r="AP6" s="113">
        <f t="shared" ref="AP6:AP27" si="20">_xlfn.RANK.EQ(AL6,$AJ6:$AM6,0)</f>
        <v>2</v>
      </c>
      <c r="AQ6" s="113">
        <f t="shared" ref="AQ6:AQ27" si="21">_xlfn.RANK.EQ(AM6,$AJ6:$AM6,0)</f>
        <v>1</v>
      </c>
      <c r="AR6" s="113">
        <f t="shared" ref="AR6:AR27" si="22">COUNTIF(AN6:AQ6,1)</f>
        <v>1</v>
      </c>
      <c r="AS6" s="113">
        <f t="shared" ref="AS6:AS27" si="23">COUNTIF(AN6:AQ6,2)</f>
        <v>1</v>
      </c>
    </row>
    <row r="7" spans="1:45">
      <c r="A7" s="129" t="str">
        <f>Participantes!B4</f>
        <v>Andres Corcho</v>
      </c>
      <c r="B7" s="150">
        <v>1</v>
      </c>
      <c r="C7" s="150">
        <v>2</v>
      </c>
      <c r="D7" s="150">
        <f t="shared" si="7"/>
        <v>0</v>
      </c>
      <c r="E7" s="120"/>
      <c r="F7" s="150">
        <v>1</v>
      </c>
      <c r="G7" s="150">
        <v>2</v>
      </c>
      <c r="H7" s="150">
        <f t="shared" si="8"/>
        <v>1</v>
      </c>
      <c r="I7" s="120"/>
      <c r="J7" s="150">
        <v>2</v>
      </c>
      <c r="K7" s="150">
        <v>2</v>
      </c>
      <c r="L7" s="150">
        <f t="shared" si="9"/>
        <v>0</v>
      </c>
      <c r="M7" s="120"/>
      <c r="N7" s="150">
        <v>2</v>
      </c>
      <c r="O7" s="150">
        <v>1</v>
      </c>
      <c r="P7" s="150">
        <f t="shared" si="10"/>
        <v>1</v>
      </c>
      <c r="Q7" s="120"/>
      <c r="R7" s="150">
        <v>1</v>
      </c>
      <c r="S7" s="150">
        <v>3</v>
      </c>
      <c r="T7" s="150">
        <f t="shared" si="11"/>
        <v>1</v>
      </c>
      <c r="U7" s="150"/>
      <c r="V7" s="150">
        <v>1</v>
      </c>
      <c r="W7" s="150">
        <v>0</v>
      </c>
      <c r="X7" s="150">
        <f t="shared" si="12"/>
        <v>0</v>
      </c>
      <c r="Y7" s="120"/>
      <c r="Z7" s="121">
        <f t="shared" si="13"/>
        <v>3</v>
      </c>
      <c r="AA7" s="116" t="str">
        <f t="shared" si="0"/>
        <v>Países Baj.</v>
      </c>
      <c r="AB7" s="116">
        <f t="shared" si="14"/>
        <v>6</v>
      </c>
      <c r="AC7" s="116" t="str">
        <f t="shared" si="1"/>
        <v>Ucrania</v>
      </c>
      <c r="AD7" s="116">
        <f t="shared" si="15"/>
        <v>0</v>
      </c>
      <c r="AE7" s="156" t="str">
        <f>Terceros!D8</f>
        <v>Macedonia</v>
      </c>
      <c r="AF7" s="116">
        <f t="shared" si="16"/>
        <v>0</v>
      </c>
      <c r="AG7" s="148">
        <f t="shared" si="17"/>
        <v>9</v>
      </c>
      <c r="AJ7" s="132">
        <f t="shared" si="2"/>
        <v>0.47199999999999998</v>
      </c>
      <c r="AK7" s="132">
        <f t="shared" si="3"/>
        <v>4.4950000000000001</v>
      </c>
      <c r="AL7" s="132">
        <f t="shared" si="4"/>
        <v>4.5039999999999996</v>
      </c>
      <c r="AM7" s="132">
        <f t="shared" si="5"/>
        <v>9.5469999999999988</v>
      </c>
      <c r="AN7" s="113">
        <f t="shared" si="18"/>
        <v>4</v>
      </c>
      <c r="AO7" s="113">
        <f t="shared" si="19"/>
        <v>3</v>
      </c>
      <c r="AP7" s="113">
        <f t="shared" si="20"/>
        <v>2</v>
      </c>
      <c r="AQ7" s="113">
        <f t="shared" si="21"/>
        <v>1</v>
      </c>
      <c r="AR7" s="113">
        <f t="shared" si="22"/>
        <v>1</v>
      </c>
      <c r="AS7" s="113">
        <f t="shared" si="23"/>
        <v>1</v>
      </c>
    </row>
    <row r="8" spans="1:45">
      <c r="A8" s="129" t="str">
        <f>Participantes!B5</f>
        <v>Rodrigo Palavicini</v>
      </c>
      <c r="B8" s="150">
        <v>3</v>
      </c>
      <c r="C8" s="150">
        <v>0</v>
      </c>
      <c r="D8" s="150">
        <f t="shared" si="7"/>
        <v>1</v>
      </c>
      <c r="E8" s="120"/>
      <c r="F8" s="150">
        <v>3</v>
      </c>
      <c r="G8" s="150">
        <v>1</v>
      </c>
      <c r="H8" s="150">
        <f t="shared" si="8"/>
        <v>0</v>
      </c>
      <c r="I8" s="120"/>
      <c r="J8" s="150">
        <v>1</v>
      </c>
      <c r="K8" s="150">
        <v>3</v>
      </c>
      <c r="L8" s="150">
        <f t="shared" si="9"/>
        <v>1</v>
      </c>
      <c r="M8" s="120"/>
      <c r="N8" s="150">
        <v>3</v>
      </c>
      <c r="O8" s="150">
        <v>2</v>
      </c>
      <c r="P8" s="150">
        <f t="shared" si="10"/>
        <v>1</v>
      </c>
      <c r="Q8" s="120"/>
      <c r="R8" s="150">
        <v>0</v>
      </c>
      <c r="S8" s="150">
        <v>3</v>
      </c>
      <c r="T8" s="150">
        <f t="shared" si="11"/>
        <v>3</v>
      </c>
      <c r="U8" s="150"/>
      <c r="V8" s="150">
        <v>1</v>
      </c>
      <c r="W8" s="150">
        <v>0</v>
      </c>
      <c r="X8" s="150">
        <f t="shared" si="12"/>
        <v>0</v>
      </c>
      <c r="Y8" s="120"/>
      <c r="Z8" s="121">
        <f t="shared" si="13"/>
        <v>6</v>
      </c>
      <c r="AA8" s="116" t="str">
        <f t="shared" si="0"/>
        <v>Ucrania</v>
      </c>
      <c r="AB8" s="116">
        <f t="shared" si="14"/>
        <v>0</v>
      </c>
      <c r="AC8" s="116" t="str">
        <f t="shared" si="1"/>
        <v>Países Baj.</v>
      </c>
      <c r="AD8" s="116">
        <f t="shared" si="15"/>
        <v>3</v>
      </c>
      <c r="AE8" s="156" t="str">
        <f>Terceros!D9</f>
        <v>Austria</v>
      </c>
      <c r="AF8" s="116">
        <f t="shared" si="16"/>
        <v>3</v>
      </c>
      <c r="AG8" s="148">
        <f t="shared" si="17"/>
        <v>12</v>
      </c>
      <c r="AJ8" s="132">
        <f t="shared" si="2"/>
        <v>3.5149999999999997</v>
      </c>
      <c r="AK8" s="132">
        <f t="shared" si="3"/>
        <v>0.42099999999999999</v>
      </c>
      <c r="AL8" s="132">
        <f t="shared" si="4"/>
        <v>9.5570000000000004</v>
      </c>
      <c r="AM8" s="132">
        <f t="shared" si="5"/>
        <v>6.5269999999999992</v>
      </c>
      <c r="AN8" s="113">
        <f t="shared" si="18"/>
        <v>3</v>
      </c>
      <c r="AO8" s="113">
        <f t="shared" si="19"/>
        <v>4</v>
      </c>
      <c r="AP8" s="113">
        <f t="shared" si="20"/>
        <v>1</v>
      </c>
      <c r="AQ8" s="113">
        <f t="shared" si="21"/>
        <v>2</v>
      </c>
      <c r="AR8" s="113">
        <f t="shared" si="22"/>
        <v>1</v>
      </c>
      <c r="AS8" s="113">
        <f t="shared" si="23"/>
        <v>1</v>
      </c>
    </row>
    <row r="9" spans="1:45">
      <c r="A9" s="129" t="str">
        <f>Participantes!B6</f>
        <v>Carlos Medina</v>
      </c>
      <c r="B9" s="150">
        <v>4</v>
      </c>
      <c r="C9" s="150">
        <v>0</v>
      </c>
      <c r="D9" s="150">
        <f t="shared" si="7"/>
        <v>1</v>
      </c>
      <c r="E9" s="120"/>
      <c r="F9" s="150">
        <v>1</v>
      </c>
      <c r="G9" s="150">
        <v>1</v>
      </c>
      <c r="H9" s="150">
        <f t="shared" si="8"/>
        <v>0</v>
      </c>
      <c r="I9" s="120"/>
      <c r="J9" s="150">
        <v>0</v>
      </c>
      <c r="K9" s="150">
        <v>2</v>
      </c>
      <c r="L9" s="150">
        <f t="shared" si="9"/>
        <v>1</v>
      </c>
      <c r="M9" s="120"/>
      <c r="N9" s="150">
        <v>2</v>
      </c>
      <c r="O9" s="150">
        <v>1</v>
      </c>
      <c r="P9" s="150">
        <f t="shared" si="10"/>
        <v>1</v>
      </c>
      <c r="Q9" s="120"/>
      <c r="R9" s="150">
        <v>0</v>
      </c>
      <c r="S9" s="150">
        <v>4</v>
      </c>
      <c r="T9" s="150">
        <f t="shared" si="11"/>
        <v>1</v>
      </c>
      <c r="U9" s="150"/>
      <c r="V9" s="150">
        <v>2</v>
      </c>
      <c r="W9" s="150">
        <v>0</v>
      </c>
      <c r="X9" s="150">
        <f t="shared" si="12"/>
        <v>0</v>
      </c>
      <c r="Y9" s="120"/>
      <c r="Z9" s="121">
        <f t="shared" si="13"/>
        <v>4</v>
      </c>
      <c r="AA9" s="116" t="str">
        <f t="shared" si="0"/>
        <v>Países Baj.</v>
      </c>
      <c r="AB9" s="116">
        <f t="shared" si="14"/>
        <v>6</v>
      </c>
      <c r="AC9" s="116" t="str">
        <f t="shared" si="1"/>
        <v>Ucrania</v>
      </c>
      <c r="AD9" s="116">
        <f t="shared" si="15"/>
        <v>0</v>
      </c>
      <c r="AE9" s="156" t="str">
        <f>Terceros!D10</f>
        <v>Austria</v>
      </c>
      <c r="AF9" s="116">
        <f t="shared" si="16"/>
        <v>3</v>
      </c>
      <c r="AG9" s="148">
        <f t="shared" si="17"/>
        <v>13</v>
      </c>
      <c r="AJ9" s="132">
        <f t="shared" si="2"/>
        <v>3.5149999999999997</v>
      </c>
      <c r="AK9" s="132">
        <f t="shared" si="3"/>
        <v>0.4</v>
      </c>
      <c r="AL9" s="132">
        <f t="shared" si="4"/>
        <v>7.5449999999999999</v>
      </c>
      <c r="AM9" s="132">
        <f t="shared" si="5"/>
        <v>7.5569999999999995</v>
      </c>
      <c r="AN9" s="113">
        <f t="shared" si="18"/>
        <v>3</v>
      </c>
      <c r="AO9" s="113">
        <f t="shared" si="19"/>
        <v>4</v>
      </c>
      <c r="AP9" s="113">
        <f t="shared" si="20"/>
        <v>2</v>
      </c>
      <c r="AQ9" s="113">
        <f t="shared" si="21"/>
        <v>1</v>
      </c>
      <c r="AR9" s="113">
        <f t="shared" si="22"/>
        <v>1</v>
      </c>
      <c r="AS9" s="113">
        <f t="shared" si="23"/>
        <v>1</v>
      </c>
    </row>
    <row r="10" spans="1:45">
      <c r="A10" s="129" t="str">
        <f>Participantes!B7</f>
        <v>July Batista</v>
      </c>
      <c r="B10" s="150">
        <v>1</v>
      </c>
      <c r="C10" s="150">
        <v>0</v>
      </c>
      <c r="D10" s="150">
        <f t="shared" si="7"/>
        <v>1</v>
      </c>
      <c r="E10" s="120"/>
      <c r="F10" s="150">
        <v>0</v>
      </c>
      <c r="G10" s="150">
        <v>2</v>
      </c>
      <c r="H10" s="150">
        <f t="shared" si="8"/>
        <v>1</v>
      </c>
      <c r="I10" s="120"/>
      <c r="J10" s="150">
        <v>0</v>
      </c>
      <c r="K10" s="150">
        <v>0</v>
      </c>
      <c r="L10" s="150">
        <f t="shared" si="9"/>
        <v>0</v>
      </c>
      <c r="M10" s="120"/>
      <c r="N10" s="150">
        <v>1</v>
      </c>
      <c r="O10" s="150">
        <v>0</v>
      </c>
      <c r="P10" s="150">
        <f t="shared" si="10"/>
        <v>1</v>
      </c>
      <c r="Q10" s="120"/>
      <c r="R10" s="150">
        <v>0</v>
      </c>
      <c r="S10" s="150">
        <v>1</v>
      </c>
      <c r="T10" s="150">
        <f t="shared" si="11"/>
        <v>1</v>
      </c>
      <c r="U10" s="150"/>
      <c r="V10" s="150">
        <v>0</v>
      </c>
      <c r="W10" s="150">
        <v>1</v>
      </c>
      <c r="X10" s="150">
        <f t="shared" si="12"/>
        <v>3</v>
      </c>
      <c r="Y10" s="120"/>
      <c r="Z10" s="121">
        <f t="shared" si="13"/>
        <v>7</v>
      </c>
      <c r="AA10" s="116" t="str">
        <f t="shared" si="0"/>
        <v>Países Baj.</v>
      </c>
      <c r="AB10" s="116">
        <f t="shared" si="14"/>
        <v>6</v>
      </c>
      <c r="AC10" s="116" t="str">
        <f t="shared" si="1"/>
        <v>Austria</v>
      </c>
      <c r="AD10" s="116">
        <f t="shared" si="15"/>
        <v>6</v>
      </c>
      <c r="AE10" s="156" t="str">
        <f>Terceros!D11</f>
        <v/>
      </c>
      <c r="AF10" s="116">
        <f t="shared" si="16"/>
        <v>0</v>
      </c>
      <c r="AG10" s="148">
        <f t="shared" si="17"/>
        <v>19</v>
      </c>
      <c r="AJ10" s="132">
        <f t="shared" si="2"/>
        <v>6.5119999999999996</v>
      </c>
      <c r="AK10" s="132">
        <f t="shared" si="3"/>
        <v>1.48</v>
      </c>
      <c r="AL10" s="132">
        <f t="shared" si="4"/>
        <v>1.47</v>
      </c>
      <c r="AM10" s="132">
        <f t="shared" si="5"/>
        <v>9.5439999999999987</v>
      </c>
      <c r="AN10" s="113">
        <f t="shared" si="18"/>
        <v>2</v>
      </c>
      <c r="AO10" s="113">
        <f t="shared" si="19"/>
        <v>3</v>
      </c>
      <c r="AP10" s="113">
        <f t="shared" si="20"/>
        <v>4</v>
      </c>
      <c r="AQ10" s="113">
        <f t="shared" si="21"/>
        <v>1</v>
      </c>
      <c r="AR10" s="113">
        <f t="shared" si="22"/>
        <v>1</v>
      </c>
      <c r="AS10" s="113">
        <f t="shared" si="23"/>
        <v>1</v>
      </c>
    </row>
    <row r="11" spans="1:45">
      <c r="A11" s="129" t="str">
        <f>Participantes!B8</f>
        <v>Carlos Quiel</v>
      </c>
      <c r="B11" s="150">
        <v>1</v>
      </c>
      <c r="C11" s="150">
        <v>1</v>
      </c>
      <c r="D11" s="150">
        <f t="shared" si="7"/>
        <v>0</v>
      </c>
      <c r="E11" s="120"/>
      <c r="F11" s="150">
        <v>2</v>
      </c>
      <c r="G11" s="150">
        <v>2</v>
      </c>
      <c r="H11" s="150">
        <f t="shared" si="8"/>
        <v>0</v>
      </c>
      <c r="I11" s="120"/>
      <c r="J11" s="150">
        <v>0</v>
      </c>
      <c r="K11" s="150">
        <v>1</v>
      </c>
      <c r="L11" s="150">
        <f t="shared" si="9"/>
        <v>1</v>
      </c>
      <c r="M11" s="120"/>
      <c r="N11" s="150">
        <v>2</v>
      </c>
      <c r="O11" s="150">
        <v>0</v>
      </c>
      <c r="P11" s="150">
        <f t="shared" si="10"/>
        <v>3</v>
      </c>
      <c r="Q11" s="120"/>
      <c r="R11" s="150">
        <v>0</v>
      </c>
      <c r="S11" s="150">
        <v>1</v>
      </c>
      <c r="T11" s="150">
        <f t="shared" si="11"/>
        <v>1</v>
      </c>
      <c r="U11" s="150"/>
      <c r="V11" s="150">
        <v>1</v>
      </c>
      <c r="W11" s="150">
        <v>0</v>
      </c>
      <c r="X11" s="150">
        <f t="shared" si="12"/>
        <v>0</v>
      </c>
      <c r="Y11" s="120"/>
      <c r="Z11" s="121">
        <f t="shared" si="13"/>
        <v>5</v>
      </c>
      <c r="AA11" s="116" t="str">
        <f t="shared" si="0"/>
        <v>Países Baj.</v>
      </c>
      <c r="AB11" s="116">
        <f t="shared" si="14"/>
        <v>6</v>
      </c>
      <c r="AC11" s="116" t="str">
        <f t="shared" si="1"/>
        <v>Ucrania</v>
      </c>
      <c r="AD11" s="116">
        <f t="shared" si="15"/>
        <v>0</v>
      </c>
      <c r="AE11" s="156" t="str">
        <f>Terceros!D12</f>
        <v/>
      </c>
      <c r="AF11" s="116">
        <f t="shared" si="16"/>
        <v>0</v>
      </c>
      <c r="AG11" s="148">
        <f t="shared" si="17"/>
        <v>11</v>
      </c>
      <c r="AJ11" s="132">
        <f t="shared" si="2"/>
        <v>1.4709999999999999</v>
      </c>
      <c r="AK11" s="132">
        <f t="shared" si="3"/>
        <v>1.4809999999999999</v>
      </c>
      <c r="AL11" s="132">
        <f t="shared" si="4"/>
        <v>7.5239999999999991</v>
      </c>
      <c r="AM11" s="132">
        <f t="shared" si="5"/>
        <v>7.5350000000000001</v>
      </c>
      <c r="AN11" s="113">
        <f t="shared" si="18"/>
        <v>4</v>
      </c>
      <c r="AO11" s="113">
        <f t="shared" si="19"/>
        <v>3</v>
      </c>
      <c r="AP11" s="113">
        <f t="shared" si="20"/>
        <v>2</v>
      </c>
      <c r="AQ11" s="113">
        <f t="shared" si="21"/>
        <v>1</v>
      </c>
      <c r="AR11" s="113">
        <f t="shared" si="22"/>
        <v>1</v>
      </c>
      <c r="AS11" s="113">
        <f t="shared" si="23"/>
        <v>1</v>
      </c>
    </row>
    <row r="12" spans="1:45">
      <c r="A12" s="129" t="str">
        <f>Participantes!B9</f>
        <v>Oliver Amaya</v>
      </c>
      <c r="B12" s="150">
        <v>1</v>
      </c>
      <c r="C12" s="150">
        <v>0</v>
      </c>
      <c r="D12" s="150">
        <f t="shared" si="7"/>
        <v>1</v>
      </c>
      <c r="E12" s="120"/>
      <c r="F12" s="150">
        <v>0</v>
      </c>
      <c r="G12" s="150">
        <v>2</v>
      </c>
      <c r="H12" s="150">
        <f t="shared" si="8"/>
        <v>1</v>
      </c>
      <c r="I12" s="120"/>
      <c r="J12" s="150">
        <v>1</v>
      </c>
      <c r="K12" s="150">
        <v>3</v>
      </c>
      <c r="L12" s="150">
        <f t="shared" si="9"/>
        <v>1</v>
      </c>
      <c r="M12" s="120"/>
      <c r="N12" s="150">
        <v>3</v>
      </c>
      <c r="O12" s="150">
        <v>1</v>
      </c>
      <c r="P12" s="150">
        <f t="shared" si="10"/>
        <v>1</v>
      </c>
      <c r="Q12" s="120"/>
      <c r="R12" s="150">
        <v>0</v>
      </c>
      <c r="S12" s="150">
        <v>4</v>
      </c>
      <c r="T12" s="150">
        <f t="shared" si="11"/>
        <v>1</v>
      </c>
      <c r="U12" s="150"/>
      <c r="V12" s="150">
        <v>0</v>
      </c>
      <c r="W12" s="150">
        <v>1</v>
      </c>
      <c r="X12" s="150">
        <f t="shared" si="12"/>
        <v>3</v>
      </c>
      <c r="Y12" s="120"/>
      <c r="Z12" s="121">
        <f t="shared" si="13"/>
        <v>8</v>
      </c>
      <c r="AA12" s="116" t="str">
        <f t="shared" si="0"/>
        <v>Países Baj.</v>
      </c>
      <c r="AB12" s="116">
        <f t="shared" si="14"/>
        <v>6</v>
      </c>
      <c r="AC12" s="116" t="str">
        <f t="shared" si="1"/>
        <v>Austria</v>
      </c>
      <c r="AD12" s="116">
        <f t="shared" si="15"/>
        <v>6</v>
      </c>
      <c r="AE12" s="156" t="str">
        <f>Terceros!D13</f>
        <v>Ucrania</v>
      </c>
      <c r="AF12" s="116">
        <f t="shared" si="16"/>
        <v>0</v>
      </c>
      <c r="AG12" s="148">
        <f t="shared" si="17"/>
        <v>20</v>
      </c>
      <c r="AJ12" s="132">
        <f t="shared" si="2"/>
        <v>6.5030000000000001</v>
      </c>
      <c r="AK12" s="132">
        <f t="shared" si="3"/>
        <v>0.43099999999999999</v>
      </c>
      <c r="AL12" s="132">
        <f t="shared" si="4"/>
        <v>3.4930000000000003</v>
      </c>
      <c r="AM12" s="132">
        <f t="shared" si="5"/>
        <v>9.5890000000000004</v>
      </c>
      <c r="AN12" s="113">
        <f t="shared" si="18"/>
        <v>2</v>
      </c>
      <c r="AO12" s="113">
        <f t="shared" si="19"/>
        <v>4</v>
      </c>
      <c r="AP12" s="113">
        <f t="shared" si="20"/>
        <v>3</v>
      </c>
      <c r="AQ12" s="113">
        <f t="shared" si="21"/>
        <v>1</v>
      </c>
      <c r="AR12" s="113">
        <f t="shared" si="22"/>
        <v>1</v>
      </c>
      <c r="AS12" s="113">
        <f t="shared" si="23"/>
        <v>1</v>
      </c>
    </row>
    <row r="13" spans="1:45">
      <c r="A13" s="129" t="str">
        <f>Participantes!B10</f>
        <v>Radames Guerrero</v>
      </c>
      <c r="B13" s="150">
        <v>3</v>
      </c>
      <c r="C13" s="150">
        <v>0</v>
      </c>
      <c r="D13" s="150">
        <f t="shared" si="7"/>
        <v>1</v>
      </c>
      <c r="E13" s="120"/>
      <c r="F13" s="150">
        <v>1</v>
      </c>
      <c r="G13" s="150">
        <v>3</v>
      </c>
      <c r="H13" s="150">
        <f t="shared" si="8"/>
        <v>1</v>
      </c>
      <c r="I13" s="120"/>
      <c r="J13" s="150">
        <v>0</v>
      </c>
      <c r="K13" s="150">
        <v>4</v>
      </c>
      <c r="L13" s="150">
        <f t="shared" si="9"/>
        <v>1</v>
      </c>
      <c r="M13" s="120"/>
      <c r="N13" s="150">
        <v>2</v>
      </c>
      <c r="O13" s="150">
        <v>2</v>
      </c>
      <c r="P13" s="150">
        <f t="shared" si="10"/>
        <v>0</v>
      </c>
      <c r="Q13" s="120"/>
      <c r="R13" s="150">
        <v>0</v>
      </c>
      <c r="S13" s="150">
        <v>3</v>
      </c>
      <c r="T13" s="150">
        <f t="shared" si="11"/>
        <v>3</v>
      </c>
      <c r="U13" s="150"/>
      <c r="V13" s="150">
        <v>1</v>
      </c>
      <c r="W13" s="150">
        <v>1</v>
      </c>
      <c r="X13" s="150">
        <f t="shared" si="12"/>
        <v>0</v>
      </c>
      <c r="Y13" s="120"/>
      <c r="Z13" s="121">
        <f t="shared" si="13"/>
        <v>6</v>
      </c>
      <c r="AA13" s="116" t="str">
        <f t="shared" si="0"/>
        <v>Países Baj.</v>
      </c>
      <c r="AB13" s="116">
        <f t="shared" si="14"/>
        <v>6</v>
      </c>
      <c r="AC13" s="116" t="str">
        <f t="shared" si="1"/>
        <v>Austria</v>
      </c>
      <c r="AD13" s="116">
        <f t="shared" si="15"/>
        <v>6</v>
      </c>
      <c r="AE13" s="156" t="str">
        <f>Terceros!D14</f>
        <v>Ucrania</v>
      </c>
      <c r="AF13" s="116">
        <f t="shared" si="16"/>
        <v>0</v>
      </c>
      <c r="AG13" s="148">
        <f t="shared" si="17"/>
        <v>18</v>
      </c>
      <c r="AJ13" s="132">
        <f t="shared" si="2"/>
        <v>5.5360000000000005</v>
      </c>
      <c r="AK13" s="132">
        <f t="shared" si="3"/>
        <v>0.4</v>
      </c>
      <c r="AL13" s="132">
        <f t="shared" si="4"/>
        <v>4.5259999999999998</v>
      </c>
      <c r="AM13" s="132">
        <f t="shared" si="5"/>
        <v>7.5579999999999998</v>
      </c>
      <c r="AN13" s="113">
        <f t="shared" si="18"/>
        <v>2</v>
      </c>
      <c r="AO13" s="113">
        <f t="shared" si="19"/>
        <v>4</v>
      </c>
      <c r="AP13" s="113">
        <f t="shared" si="20"/>
        <v>3</v>
      </c>
      <c r="AQ13" s="113">
        <f t="shared" si="21"/>
        <v>1</v>
      </c>
      <c r="AR13" s="113">
        <f t="shared" si="22"/>
        <v>1</v>
      </c>
      <c r="AS13" s="113">
        <f t="shared" si="23"/>
        <v>1</v>
      </c>
    </row>
    <row r="14" spans="1:45">
      <c r="A14" s="129" t="str">
        <f>Participantes!B11</f>
        <v>Effie Latouche</v>
      </c>
      <c r="B14" s="150">
        <v>2</v>
      </c>
      <c r="C14" s="150">
        <v>1</v>
      </c>
      <c r="D14" s="150">
        <f t="shared" si="7"/>
        <v>1</v>
      </c>
      <c r="E14" s="120"/>
      <c r="F14" s="150">
        <v>2</v>
      </c>
      <c r="G14" s="150">
        <v>1</v>
      </c>
      <c r="H14" s="150">
        <f t="shared" si="8"/>
        <v>0</v>
      </c>
      <c r="I14" s="120"/>
      <c r="J14" s="150">
        <v>1</v>
      </c>
      <c r="K14" s="150">
        <v>2</v>
      </c>
      <c r="L14" s="150">
        <f t="shared" si="9"/>
        <v>3</v>
      </c>
      <c r="M14" s="120"/>
      <c r="N14" s="150">
        <v>1</v>
      </c>
      <c r="O14" s="150">
        <v>1</v>
      </c>
      <c r="P14" s="150">
        <f t="shared" si="10"/>
        <v>0</v>
      </c>
      <c r="Q14" s="120"/>
      <c r="R14" s="150">
        <v>1</v>
      </c>
      <c r="S14" s="150">
        <v>1</v>
      </c>
      <c r="T14" s="150">
        <f t="shared" si="11"/>
        <v>0</v>
      </c>
      <c r="U14" s="150"/>
      <c r="V14" s="150">
        <v>2</v>
      </c>
      <c r="W14" s="150">
        <v>2</v>
      </c>
      <c r="X14" s="150">
        <f t="shared" si="12"/>
        <v>0</v>
      </c>
      <c r="Y14" s="120"/>
      <c r="Z14" s="121">
        <f t="shared" si="13"/>
        <v>4</v>
      </c>
      <c r="AA14" s="116" t="str">
        <f t="shared" si="0"/>
        <v>Ucrania</v>
      </c>
      <c r="AB14" s="116">
        <f t="shared" si="14"/>
        <v>0</v>
      </c>
      <c r="AC14" s="116" t="str">
        <f t="shared" si="1"/>
        <v>Austria</v>
      </c>
      <c r="AD14" s="116">
        <f t="shared" si="15"/>
        <v>6</v>
      </c>
      <c r="AE14" s="156" t="str">
        <f>Terceros!D15</f>
        <v/>
      </c>
      <c r="AF14" s="116">
        <f t="shared" si="16"/>
        <v>0</v>
      </c>
      <c r="AG14" s="148">
        <f t="shared" si="17"/>
        <v>10</v>
      </c>
      <c r="AJ14" s="132">
        <f t="shared" si="2"/>
        <v>5.5149999999999997</v>
      </c>
      <c r="AK14" s="132">
        <f t="shared" si="3"/>
        <v>1.4829999999999999</v>
      </c>
      <c r="AL14" s="132">
        <f t="shared" si="4"/>
        <v>7.5259999999999998</v>
      </c>
      <c r="AM14" s="132">
        <f t="shared" si="5"/>
        <v>2.4930000000000003</v>
      </c>
      <c r="AN14" s="113">
        <f t="shared" si="18"/>
        <v>2</v>
      </c>
      <c r="AO14" s="113">
        <f t="shared" si="19"/>
        <v>4</v>
      </c>
      <c r="AP14" s="113">
        <f t="shared" si="20"/>
        <v>1</v>
      </c>
      <c r="AQ14" s="113">
        <f t="shared" si="21"/>
        <v>3</v>
      </c>
      <c r="AR14" s="113">
        <f t="shared" si="22"/>
        <v>1</v>
      </c>
      <c r="AS14" s="113">
        <f t="shared" si="23"/>
        <v>1</v>
      </c>
    </row>
    <row r="15" spans="1:45">
      <c r="A15" s="129" t="str">
        <f>Participantes!B12</f>
        <v>Sandra Badilla</v>
      </c>
      <c r="B15" s="150">
        <v>1</v>
      </c>
      <c r="C15" s="150">
        <v>0</v>
      </c>
      <c r="D15" s="150">
        <f t="shared" si="7"/>
        <v>1</v>
      </c>
      <c r="E15" s="120"/>
      <c r="F15" s="150">
        <v>1</v>
      </c>
      <c r="G15" s="150">
        <v>2</v>
      </c>
      <c r="H15" s="150">
        <f t="shared" si="8"/>
        <v>1</v>
      </c>
      <c r="I15" s="120"/>
      <c r="J15" s="150">
        <v>0</v>
      </c>
      <c r="K15" s="150">
        <v>1</v>
      </c>
      <c r="L15" s="150">
        <f t="shared" si="9"/>
        <v>1</v>
      </c>
      <c r="M15" s="120"/>
      <c r="N15" s="150">
        <v>2</v>
      </c>
      <c r="O15" s="150">
        <v>0</v>
      </c>
      <c r="P15" s="150">
        <f t="shared" si="10"/>
        <v>3</v>
      </c>
      <c r="Q15" s="120"/>
      <c r="R15" s="150">
        <v>0</v>
      </c>
      <c r="S15" s="150">
        <v>1</v>
      </c>
      <c r="T15" s="150">
        <f t="shared" si="11"/>
        <v>1</v>
      </c>
      <c r="U15" s="150"/>
      <c r="V15" s="150">
        <v>1</v>
      </c>
      <c r="W15" s="150">
        <v>0</v>
      </c>
      <c r="X15" s="150">
        <f t="shared" si="12"/>
        <v>0</v>
      </c>
      <c r="Y15" s="120"/>
      <c r="Z15" s="121">
        <f t="shared" si="13"/>
        <v>7</v>
      </c>
      <c r="AA15" s="116" t="str">
        <f t="shared" si="0"/>
        <v>Países Baj.</v>
      </c>
      <c r="AB15" s="116">
        <f t="shared" si="14"/>
        <v>6</v>
      </c>
      <c r="AC15" s="116" t="str">
        <f t="shared" si="1"/>
        <v>Ucrania</v>
      </c>
      <c r="AD15" s="116">
        <f t="shared" si="15"/>
        <v>0</v>
      </c>
      <c r="AE15" s="156" t="str">
        <f>Terceros!D16</f>
        <v>Austria</v>
      </c>
      <c r="AF15" s="116">
        <f t="shared" si="16"/>
        <v>3</v>
      </c>
      <c r="AG15" s="148">
        <f t="shared" si="17"/>
        <v>16</v>
      </c>
      <c r="AJ15" s="132">
        <f t="shared" si="2"/>
        <v>3.4809999999999999</v>
      </c>
      <c r="AK15" s="132">
        <f t="shared" si="3"/>
        <v>0.47</v>
      </c>
      <c r="AL15" s="132">
        <f t="shared" si="4"/>
        <v>6.5129999999999999</v>
      </c>
      <c r="AM15" s="132">
        <f t="shared" si="5"/>
        <v>9.5449999999999999</v>
      </c>
      <c r="AN15" s="113">
        <f t="shared" si="18"/>
        <v>3</v>
      </c>
      <c r="AO15" s="113">
        <f t="shared" si="19"/>
        <v>4</v>
      </c>
      <c r="AP15" s="113">
        <f t="shared" si="20"/>
        <v>2</v>
      </c>
      <c r="AQ15" s="113">
        <f t="shared" si="21"/>
        <v>1</v>
      </c>
      <c r="AR15" s="113">
        <f t="shared" si="22"/>
        <v>1</v>
      </c>
      <c r="AS15" s="113">
        <f t="shared" si="23"/>
        <v>1</v>
      </c>
    </row>
    <row r="16" spans="1:45">
      <c r="A16" s="129" t="str">
        <f>Participantes!B13</f>
        <v>Samantha Montero 1</v>
      </c>
      <c r="B16" s="150">
        <v>3</v>
      </c>
      <c r="C16" s="150">
        <v>0</v>
      </c>
      <c r="D16" s="150">
        <f t="shared" si="7"/>
        <v>1</v>
      </c>
      <c r="E16" s="120"/>
      <c r="F16" s="150">
        <v>2</v>
      </c>
      <c r="G16" s="150">
        <v>2</v>
      </c>
      <c r="H16" s="150">
        <f t="shared" si="8"/>
        <v>0</v>
      </c>
      <c r="I16" s="120"/>
      <c r="J16" s="150">
        <v>1</v>
      </c>
      <c r="K16" s="150">
        <v>2</v>
      </c>
      <c r="L16" s="150">
        <f t="shared" si="9"/>
        <v>3</v>
      </c>
      <c r="M16" s="120"/>
      <c r="N16" s="150">
        <v>3</v>
      </c>
      <c r="O16" s="150">
        <v>1</v>
      </c>
      <c r="P16" s="150">
        <f t="shared" si="10"/>
        <v>1</v>
      </c>
      <c r="Q16" s="120"/>
      <c r="R16" s="150">
        <v>0</v>
      </c>
      <c r="S16" s="150">
        <v>3</v>
      </c>
      <c r="T16" s="150">
        <f t="shared" si="11"/>
        <v>3</v>
      </c>
      <c r="U16" s="150"/>
      <c r="V16" s="150">
        <v>1</v>
      </c>
      <c r="W16" s="150">
        <v>2</v>
      </c>
      <c r="X16" s="150">
        <f t="shared" si="12"/>
        <v>1</v>
      </c>
      <c r="Y16" s="120"/>
      <c r="Z16" s="121">
        <f t="shared" si="13"/>
        <v>9</v>
      </c>
      <c r="AA16" s="116" t="str">
        <f t="shared" si="0"/>
        <v>Países Baj.</v>
      </c>
      <c r="AB16" s="116">
        <f t="shared" si="14"/>
        <v>6</v>
      </c>
      <c r="AC16" s="116" t="str">
        <f t="shared" si="1"/>
        <v>Austria</v>
      </c>
      <c r="AD16" s="116">
        <f t="shared" si="15"/>
        <v>6</v>
      </c>
      <c r="AE16" s="156" t="str">
        <f>Terceros!D17</f>
        <v>Ucrania</v>
      </c>
      <c r="AF16" s="116">
        <f t="shared" si="16"/>
        <v>0</v>
      </c>
      <c r="AG16" s="148">
        <f t="shared" si="17"/>
        <v>21</v>
      </c>
      <c r="AJ16" s="132">
        <f t="shared" si="2"/>
        <v>6.5259999999999998</v>
      </c>
      <c r="AK16" s="132">
        <f t="shared" si="3"/>
        <v>0.43099999999999999</v>
      </c>
      <c r="AL16" s="132">
        <f t="shared" si="4"/>
        <v>4.5049999999999999</v>
      </c>
      <c r="AM16" s="132">
        <f t="shared" si="5"/>
        <v>7.5579999999999998</v>
      </c>
      <c r="AN16" s="113">
        <f t="shared" si="18"/>
        <v>2</v>
      </c>
      <c r="AO16" s="113">
        <f t="shared" si="19"/>
        <v>4</v>
      </c>
      <c r="AP16" s="113">
        <f t="shared" si="20"/>
        <v>3</v>
      </c>
      <c r="AQ16" s="113">
        <f t="shared" si="21"/>
        <v>1</v>
      </c>
      <c r="AR16" s="113">
        <f t="shared" si="22"/>
        <v>1</v>
      </c>
      <c r="AS16" s="113">
        <f t="shared" si="23"/>
        <v>1</v>
      </c>
    </row>
    <row r="17" spans="1:45">
      <c r="A17" s="129" t="str">
        <f>Participantes!B14</f>
        <v>Samantha Mont. 2 (Jairo)</v>
      </c>
      <c r="B17" s="150">
        <v>2</v>
      </c>
      <c r="C17" s="150">
        <v>0</v>
      </c>
      <c r="D17" s="150">
        <f t="shared" si="7"/>
        <v>1</v>
      </c>
      <c r="E17" s="120"/>
      <c r="F17" s="150">
        <v>0</v>
      </c>
      <c r="G17" s="150">
        <v>2</v>
      </c>
      <c r="H17" s="150">
        <f t="shared" si="8"/>
        <v>1</v>
      </c>
      <c r="I17" s="120"/>
      <c r="J17" s="150">
        <v>2</v>
      </c>
      <c r="K17" s="150">
        <v>2</v>
      </c>
      <c r="L17" s="150">
        <f t="shared" si="9"/>
        <v>0</v>
      </c>
      <c r="M17" s="120"/>
      <c r="N17" s="150">
        <v>3</v>
      </c>
      <c r="O17" s="150">
        <v>1</v>
      </c>
      <c r="P17" s="150">
        <f t="shared" si="10"/>
        <v>1</v>
      </c>
      <c r="Q17" s="120"/>
      <c r="R17" s="150">
        <v>1</v>
      </c>
      <c r="S17" s="150">
        <v>3</v>
      </c>
      <c r="T17" s="150">
        <f t="shared" si="11"/>
        <v>1</v>
      </c>
      <c r="U17" s="150"/>
      <c r="V17" s="150">
        <v>1</v>
      </c>
      <c r="W17" s="150">
        <v>1</v>
      </c>
      <c r="X17" s="150">
        <f t="shared" si="12"/>
        <v>0</v>
      </c>
      <c r="Y17" s="120"/>
      <c r="Z17" s="121">
        <f t="shared" si="13"/>
        <v>4</v>
      </c>
      <c r="AA17" s="116" t="str">
        <f t="shared" si="0"/>
        <v>Países Baj.</v>
      </c>
      <c r="AB17" s="116">
        <f t="shared" si="14"/>
        <v>6</v>
      </c>
      <c r="AC17" s="116" t="str">
        <f t="shared" si="1"/>
        <v>Austria</v>
      </c>
      <c r="AD17" s="116">
        <f t="shared" si="15"/>
        <v>6</v>
      </c>
      <c r="AE17" s="156" t="str">
        <f>Terceros!D18</f>
        <v/>
      </c>
      <c r="AF17" s="116">
        <f t="shared" si="16"/>
        <v>0</v>
      </c>
      <c r="AG17" s="148">
        <f t="shared" si="17"/>
        <v>16</v>
      </c>
      <c r="AJ17" s="132">
        <f t="shared" si="2"/>
        <v>4.5039999999999996</v>
      </c>
      <c r="AK17" s="132">
        <f t="shared" si="3"/>
        <v>1.4629999999999999</v>
      </c>
      <c r="AL17" s="132">
        <f t="shared" si="4"/>
        <v>2.4830000000000001</v>
      </c>
      <c r="AM17" s="132">
        <f t="shared" si="5"/>
        <v>9.5679999999999996</v>
      </c>
      <c r="AN17" s="113">
        <f t="shared" si="18"/>
        <v>2</v>
      </c>
      <c r="AO17" s="113">
        <f t="shared" si="19"/>
        <v>4</v>
      </c>
      <c r="AP17" s="113">
        <f t="shared" si="20"/>
        <v>3</v>
      </c>
      <c r="AQ17" s="113">
        <f t="shared" si="21"/>
        <v>1</v>
      </c>
      <c r="AR17" s="113">
        <f t="shared" si="22"/>
        <v>1</v>
      </c>
      <c r="AS17" s="113">
        <f t="shared" si="23"/>
        <v>1</v>
      </c>
    </row>
    <row r="18" spans="1:45">
      <c r="A18" s="129" t="str">
        <f>Participantes!B15</f>
        <v>Samantha Mont. 3(Jafet)</v>
      </c>
      <c r="B18" s="150">
        <v>1</v>
      </c>
      <c r="C18" s="150">
        <v>0</v>
      </c>
      <c r="D18" s="150">
        <f t="shared" si="7"/>
        <v>1</v>
      </c>
      <c r="E18" s="120"/>
      <c r="F18" s="150">
        <v>1</v>
      </c>
      <c r="G18" s="150">
        <v>1</v>
      </c>
      <c r="H18" s="150">
        <f t="shared" si="8"/>
        <v>0</v>
      </c>
      <c r="I18" s="120"/>
      <c r="J18" s="150">
        <v>0</v>
      </c>
      <c r="K18" s="150">
        <v>1</v>
      </c>
      <c r="L18" s="150">
        <f t="shared" si="9"/>
        <v>1</v>
      </c>
      <c r="M18" s="120"/>
      <c r="N18" s="150">
        <v>2</v>
      </c>
      <c r="O18" s="150">
        <v>1</v>
      </c>
      <c r="P18" s="150">
        <f t="shared" si="10"/>
        <v>1</v>
      </c>
      <c r="Q18" s="120"/>
      <c r="R18" s="150">
        <v>0</v>
      </c>
      <c r="S18" s="150">
        <v>3</v>
      </c>
      <c r="T18" s="150">
        <f t="shared" si="11"/>
        <v>3</v>
      </c>
      <c r="U18" s="150"/>
      <c r="V18" s="150">
        <v>1</v>
      </c>
      <c r="W18" s="150">
        <v>0</v>
      </c>
      <c r="X18" s="150">
        <f t="shared" si="12"/>
        <v>0</v>
      </c>
      <c r="Y18" s="120"/>
      <c r="Z18" s="121">
        <f t="shared" si="13"/>
        <v>6</v>
      </c>
      <c r="AA18" s="116" t="str">
        <f t="shared" si="0"/>
        <v>Países Baj.</v>
      </c>
      <c r="AB18" s="116">
        <f t="shared" si="14"/>
        <v>6</v>
      </c>
      <c r="AC18" s="116" t="str">
        <f t="shared" si="1"/>
        <v>Ucrania</v>
      </c>
      <c r="AD18" s="116">
        <f t="shared" si="15"/>
        <v>0</v>
      </c>
      <c r="AE18" s="156" t="str">
        <f>Terceros!D19</f>
        <v>Austria</v>
      </c>
      <c r="AF18" s="116">
        <f t="shared" si="16"/>
        <v>3</v>
      </c>
      <c r="AG18" s="148">
        <f t="shared" si="17"/>
        <v>15</v>
      </c>
      <c r="AJ18" s="132">
        <f t="shared" si="2"/>
        <v>3.492</v>
      </c>
      <c r="AK18" s="132">
        <f t="shared" si="3"/>
        <v>0.45</v>
      </c>
      <c r="AL18" s="132">
        <f t="shared" si="4"/>
        <v>7.5229999999999997</v>
      </c>
      <c r="AM18" s="132">
        <f t="shared" si="5"/>
        <v>7.5460000000000003</v>
      </c>
      <c r="AN18" s="113">
        <f t="shared" si="18"/>
        <v>3</v>
      </c>
      <c r="AO18" s="113">
        <f t="shared" si="19"/>
        <v>4</v>
      </c>
      <c r="AP18" s="113">
        <f t="shared" si="20"/>
        <v>2</v>
      </c>
      <c r="AQ18" s="113">
        <f t="shared" si="21"/>
        <v>1</v>
      </c>
      <c r="AR18" s="113">
        <f t="shared" si="22"/>
        <v>1</v>
      </c>
      <c r="AS18" s="113">
        <f t="shared" si="23"/>
        <v>1</v>
      </c>
    </row>
    <row r="19" spans="1:45">
      <c r="A19" s="129" t="str">
        <f>Participantes!B16</f>
        <v>Mileny Acosta</v>
      </c>
      <c r="B19" s="150">
        <v>1</v>
      </c>
      <c r="C19" s="150">
        <v>0</v>
      </c>
      <c r="D19" s="150">
        <f t="shared" si="7"/>
        <v>1</v>
      </c>
      <c r="E19" s="120"/>
      <c r="F19" s="150">
        <v>2</v>
      </c>
      <c r="G19" s="150">
        <v>0</v>
      </c>
      <c r="H19" s="150">
        <f t="shared" si="8"/>
        <v>0</v>
      </c>
      <c r="I19" s="120"/>
      <c r="J19" s="150">
        <v>1</v>
      </c>
      <c r="K19" s="150">
        <v>3</v>
      </c>
      <c r="L19" s="150">
        <f t="shared" si="9"/>
        <v>1</v>
      </c>
      <c r="M19" s="120"/>
      <c r="N19" s="150">
        <v>1</v>
      </c>
      <c r="O19" s="150">
        <v>2</v>
      </c>
      <c r="P19" s="150">
        <f t="shared" si="10"/>
        <v>0</v>
      </c>
      <c r="Q19" s="120"/>
      <c r="R19" s="150">
        <v>1</v>
      </c>
      <c r="S19" s="150">
        <v>0</v>
      </c>
      <c r="T19" s="150">
        <f t="shared" si="11"/>
        <v>0</v>
      </c>
      <c r="U19" s="150"/>
      <c r="V19" s="150">
        <v>3</v>
      </c>
      <c r="W19" s="150">
        <v>2</v>
      </c>
      <c r="X19" s="150">
        <f t="shared" si="12"/>
        <v>0</v>
      </c>
      <c r="Y19" s="120"/>
      <c r="Z19" s="121">
        <f t="shared" si="13"/>
        <v>2</v>
      </c>
      <c r="AA19" s="116" t="str">
        <f t="shared" si="0"/>
        <v>Ucrania</v>
      </c>
      <c r="AB19" s="116">
        <f t="shared" si="14"/>
        <v>0</v>
      </c>
      <c r="AC19" s="116" t="str">
        <f t="shared" si="1"/>
        <v>Austria</v>
      </c>
      <c r="AD19" s="116">
        <f t="shared" si="15"/>
        <v>6</v>
      </c>
      <c r="AE19" s="156" t="str">
        <f>Terceros!D20</f>
        <v>Macedonia</v>
      </c>
      <c r="AF19" s="116">
        <f t="shared" si="16"/>
        <v>0</v>
      </c>
      <c r="AG19" s="148">
        <f t="shared" si="17"/>
        <v>8</v>
      </c>
      <c r="AJ19" s="132">
        <f t="shared" si="2"/>
        <v>6.5149999999999997</v>
      </c>
      <c r="AK19" s="132">
        <f t="shared" si="3"/>
        <v>3.4819999999999998</v>
      </c>
      <c r="AL19" s="132">
        <f t="shared" si="4"/>
        <v>9.5579999999999998</v>
      </c>
      <c r="AM19" s="132">
        <f t="shared" si="5"/>
        <v>0.46100000000000002</v>
      </c>
      <c r="AN19" s="113">
        <f t="shared" si="18"/>
        <v>2</v>
      </c>
      <c r="AO19" s="113">
        <f t="shared" si="19"/>
        <v>3</v>
      </c>
      <c r="AP19" s="113">
        <f t="shared" si="20"/>
        <v>1</v>
      </c>
      <c r="AQ19" s="113">
        <f t="shared" si="21"/>
        <v>4</v>
      </c>
      <c r="AR19" s="113">
        <f t="shared" si="22"/>
        <v>1</v>
      </c>
      <c r="AS19" s="113">
        <f t="shared" si="23"/>
        <v>1</v>
      </c>
    </row>
    <row r="20" spans="1:45">
      <c r="A20" s="129" t="str">
        <f>Participantes!B17</f>
        <v>Mileny Acosta(CF)</v>
      </c>
      <c r="B20" s="150">
        <v>0</v>
      </c>
      <c r="C20" s="150">
        <v>0</v>
      </c>
      <c r="D20" s="150">
        <f t="shared" si="7"/>
        <v>0</v>
      </c>
      <c r="E20" s="120"/>
      <c r="F20" s="150">
        <v>2</v>
      </c>
      <c r="G20" s="150">
        <v>0</v>
      </c>
      <c r="H20" s="150">
        <f t="shared" si="8"/>
        <v>0</v>
      </c>
      <c r="I20" s="120"/>
      <c r="J20" s="150">
        <v>1</v>
      </c>
      <c r="K20" s="150">
        <v>3</v>
      </c>
      <c r="L20" s="150">
        <f t="shared" si="9"/>
        <v>1</v>
      </c>
      <c r="M20" s="120"/>
      <c r="N20" s="150">
        <v>1</v>
      </c>
      <c r="O20" s="150">
        <v>2</v>
      </c>
      <c r="P20" s="150">
        <f t="shared" si="10"/>
        <v>0</v>
      </c>
      <c r="Q20" s="120"/>
      <c r="R20" s="150">
        <v>1</v>
      </c>
      <c r="S20" s="150">
        <v>1</v>
      </c>
      <c r="T20" s="150">
        <f t="shared" si="11"/>
        <v>0</v>
      </c>
      <c r="U20" s="150"/>
      <c r="V20" s="150">
        <v>2</v>
      </c>
      <c r="W20" s="150">
        <v>0</v>
      </c>
      <c r="X20" s="150">
        <f t="shared" si="12"/>
        <v>0</v>
      </c>
      <c r="Y20" s="120"/>
      <c r="Z20" s="121">
        <f t="shared" si="13"/>
        <v>1</v>
      </c>
      <c r="AA20" s="116" t="str">
        <f t="shared" si="0"/>
        <v>Ucrania</v>
      </c>
      <c r="AB20" s="116">
        <f t="shared" si="14"/>
        <v>0</v>
      </c>
      <c r="AC20" s="116" t="str">
        <f t="shared" si="1"/>
        <v>Austria</v>
      </c>
      <c r="AD20" s="116">
        <f t="shared" si="15"/>
        <v>6</v>
      </c>
      <c r="AE20" s="156" t="str">
        <f>Terceros!D21</f>
        <v/>
      </c>
      <c r="AF20" s="116">
        <f t="shared" si="16"/>
        <v>0</v>
      </c>
      <c r="AG20" s="148">
        <f t="shared" si="17"/>
        <v>7</v>
      </c>
      <c r="AJ20" s="132">
        <f t="shared" si="2"/>
        <v>4.492</v>
      </c>
      <c r="AK20" s="132">
        <f t="shared" si="3"/>
        <v>2.4819999999999998</v>
      </c>
      <c r="AL20" s="132">
        <f t="shared" si="4"/>
        <v>9.5670000000000002</v>
      </c>
      <c r="AM20" s="132">
        <f t="shared" si="5"/>
        <v>1.472</v>
      </c>
      <c r="AN20" s="113">
        <f t="shared" si="18"/>
        <v>2</v>
      </c>
      <c r="AO20" s="113">
        <f t="shared" si="19"/>
        <v>3</v>
      </c>
      <c r="AP20" s="113">
        <f t="shared" si="20"/>
        <v>1</v>
      </c>
      <c r="AQ20" s="113">
        <f t="shared" si="21"/>
        <v>4</v>
      </c>
      <c r="AR20" s="113">
        <f t="shared" si="22"/>
        <v>1</v>
      </c>
      <c r="AS20" s="113">
        <f t="shared" si="23"/>
        <v>1</v>
      </c>
    </row>
    <row r="21" spans="1:45">
      <c r="A21" s="129" t="str">
        <f>Participantes!B18</f>
        <v>Juan Rojas</v>
      </c>
      <c r="B21" s="150">
        <v>3</v>
      </c>
      <c r="C21" s="150">
        <v>0</v>
      </c>
      <c r="D21" s="150">
        <f t="shared" si="7"/>
        <v>1</v>
      </c>
      <c r="E21" s="120"/>
      <c r="F21" s="150">
        <v>1</v>
      </c>
      <c r="G21" s="150">
        <v>2</v>
      </c>
      <c r="H21" s="150">
        <f t="shared" si="8"/>
        <v>1</v>
      </c>
      <c r="I21" s="120"/>
      <c r="J21" s="150">
        <v>1</v>
      </c>
      <c r="K21" s="150">
        <v>2</v>
      </c>
      <c r="L21" s="150">
        <f t="shared" si="9"/>
        <v>3</v>
      </c>
      <c r="M21" s="120"/>
      <c r="N21" s="150">
        <v>3</v>
      </c>
      <c r="O21" s="150">
        <v>1</v>
      </c>
      <c r="P21" s="150">
        <f t="shared" si="10"/>
        <v>1</v>
      </c>
      <c r="Q21" s="120"/>
      <c r="R21" s="150">
        <v>0</v>
      </c>
      <c r="S21" s="150">
        <v>4</v>
      </c>
      <c r="T21" s="150">
        <f t="shared" si="11"/>
        <v>1</v>
      </c>
      <c r="U21" s="150"/>
      <c r="V21" s="150">
        <v>1</v>
      </c>
      <c r="W21" s="150">
        <v>3</v>
      </c>
      <c r="X21" s="150">
        <f t="shared" si="12"/>
        <v>1</v>
      </c>
      <c r="Y21" s="120"/>
      <c r="Z21" s="121">
        <f t="shared" si="13"/>
        <v>8</v>
      </c>
      <c r="AA21" s="116" t="str">
        <f t="shared" si="0"/>
        <v>Países Baj.</v>
      </c>
      <c r="AB21" s="116">
        <f t="shared" si="14"/>
        <v>6</v>
      </c>
      <c r="AC21" s="116" t="str">
        <f t="shared" si="1"/>
        <v>Austria</v>
      </c>
      <c r="AD21" s="116">
        <f t="shared" si="15"/>
        <v>6</v>
      </c>
      <c r="AE21" s="156" t="str">
        <f>Terceros!D22</f>
        <v>Ucrania</v>
      </c>
      <c r="AF21" s="116">
        <f t="shared" si="16"/>
        <v>0</v>
      </c>
      <c r="AG21" s="148">
        <f t="shared" si="17"/>
        <v>20</v>
      </c>
      <c r="AJ21" s="132">
        <f t="shared" si="2"/>
        <v>6.5369999999999999</v>
      </c>
      <c r="AK21" s="132">
        <f t="shared" si="3"/>
        <v>0.42099999999999999</v>
      </c>
      <c r="AL21" s="132">
        <f t="shared" si="4"/>
        <v>3.484</v>
      </c>
      <c r="AM21" s="132">
        <f t="shared" si="5"/>
        <v>9.5790000000000006</v>
      </c>
      <c r="AN21" s="113">
        <f t="shared" si="18"/>
        <v>2</v>
      </c>
      <c r="AO21" s="113">
        <f t="shared" si="19"/>
        <v>4</v>
      </c>
      <c r="AP21" s="113">
        <f t="shared" si="20"/>
        <v>3</v>
      </c>
      <c r="AQ21" s="113">
        <f t="shared" si="21"/>
        <v>1</v>
      </c>
      <c r="AR21" s="113">
        <f t="shared" si="22"/>
        <v>1</v>
      </c>
      <c r="AS21" s="113">
        <f t="shared" si="23"/>
        <v>1</v>
      </c>
    </row>
    <row r="22" spans="1:45">
      <c r="A22" s="129" t="str">
        <f>Participantes!B19</f>
        <v>Bilis Cedeño</v>
      </c>
      <c r="B22" s="150">
        <v>2</v>
      </c>
      <c r="C22" s="150">
        <v>0</v>
      </c>
      <c r="D22" s="150">
        <f t="shared" si="7"/>
        <v>1</v>
      </c>
      <c r="E22" s="120"/>
      <c r="F22" s="150">
        <v>1</v>
      </c>
      <c r="G22" s="150">
        <v>2</v>
      </c>
      <c r="H22" s="150">
        <f t="shared" si="8"/>
        <v>1</v>
      </c>
      <c r="I22" s="120"/>
      <c r="J22" s="150">
        <v>0</v>
      </c>
      <c r="K22" s="150">
        <v>2</v>
      </c>
      <c r="L22" s="150">
        <f t="shared" si="9"/>
        <v>1</v>
      </c>
      <c r="M22" s="120"/>
      <c r="N22" s="150">
        <v>2</v>
      </c>
      <c r="O22" s="150">
        <v>1</v>
      </c>
      <c r="P22" s="150">
        <f t="shared" si="10"/>
        <v>1</v>
      </c>
      <c r="Q22" s="120"/>
      <c r="R22" s="150">
        <v>1</v>
      </c>
      <c r="S22" s="150">
        <v>3</v>
      </c>
      <c r="T22" s="150">
        <f t="shared" si="11"/>
        <v>1</v>
      </c>
      <c r="U22" s="150"/>
      <c r="V22" s="150">
        <v>0</v>
      </c>
      <c r="W22" s="150">
        <v>2</v>
      </c>
      <c r="X22" s="150">
        <f t="shared" si="12"/>
        <v>1</v>
      </c>
      <c r="Y22" s="120"/>
      <c r="Z22" s="121">
        <f t="shared" si="13"/>
        <v>6</v>
      </c>
      <c r="AA22" s="116" t="str">
        <f t="shared" si="0"/>
        <v>Países Baj.</v>
      </c>
      <c r="AB22" s="116">
        <f t="shared" si="14"/>
        <v>6</v>
      </c>
      <c r="AC22" s="116" t="str">
        <f t="shared" si="1"/>
        <v>Austria</v>
      </c>
      <c r="AD22" s="116">
        <f t="shared" si="15"/>
        <v>6</v>
      </c>
      <c r="AE22" s="156" t="str">
        <f>Terceros!D23</f>
        <v>Ucrania</v>
      </c>
      <c r="AF22" s="116">
        <f t="shared" si="16"/>
        <v>0</v>
      </c>
      <c r="AG22" s="148">
        <f t="shared" si="17"/>
        <v>18</v>
      </c>
      <c r="AJ22" s="132">
        <f t="shared" si="2"/>
        <v>6.5350000000000001</v>
      </c>
      <c r="AK22" s="132">
        <f t="shared" si="3"/>
        <v>0.441</v>
      </c>
      <c r="AL22" s="132">
        <f t="shared" si="4"/>
        <v>3.4930000000000003</v>
      </c>
      <c r="AM22" s="132">
        <f t="shared" si="5"/>
        <v>9.5469999999999988</v>
      </c>
      <c r="AN22" s="113">
        <f t="shared" si="18"/>
        <v>2</v>
      </c>
      <c r="AO22" s="113">
        <f t="shared" si="19"/>
        <v>4</v>
      </c>
      <c r="AP22" s="113">
        <f t="shared" si="20"/>
        <v>3</v>
      </c>
      <c r="AQ22" s="113">
        <f t="shared" si="21"/>
        <v>1</v>
      </c>
      <c r="AR22" s="113">
        <f t="shared" si="22"/>
        <v>1</v>
      </c>
      <c r="AS22" s="113">
        <f t="shared" si="23"/>
        <v>1</v>
      </c>
    </row>
    <row r="23" spans="1:45">
      <c r="A23" s="129" t="str">
        <f>Participantes!B20</f>
        <v>Alfredo Quintero 1</v>
      </c>
      <c r="B23" s="150">
        <v>1</v>
      </c>
      <c r="C23" s="150">
        <v>1</v>
      </c>
      <c r="D23" s="150">
        <f t="shared" si="7"/>
        <v>0</v>
      </c>
      <c r="E23" s="120"/>
      <c r="F23" s="150">
        <v>1</v>
      </c>
      <c r="G23" s="150">
        <v>2</v>
      </c>
      <c r="H23" s="150">
        <f t="shared" si="8"/>
        <v>1</v>
      </c>
      <c r="I23" s="120"/>
      <c r="J23" s="150">
        <v>1</v>
      </c>
      <c r="K23" s="150">
        <v>2</v>
      </c>
      <c r="L23" s="150">
        <f t="shared" si="9"/>
        <v>3</v>
      </c>
      <c r="M23" s="120"/>
      <c r="N23" s="150">
        <v>2</v>
      </c>
      <c r="O23" s="150">
        <v>0</v>
      </c>
      <c r="P23" s="150">
        <f t="shared" si="10"/>
        <v>3</v>
      </c>
      <c r="Q23" s="120"/>
      <c r="R23" s="150">
        <v>1</v>
      </c>
      <c r="S23" s="150">
        <v>3</v>
      </c>
      <c r="T23" s="150">
        <f t="shared" si="11"/>
        <v>1</v>
      </c>
      <c r="U23" s="150"/>
      <c r="V23" s="150">
        <v>2</v>
      </c>
      <c r="W23" s="150">
        <v>1</v>
      </c>
      <c r="X23" s="150">
        <f t="shared" si="12"/>
        <v>0</v>
      </c>
      <c r="Y23" s="120"/>
      <c r="Z23" s="121">
        <f t="shared" si="13"/>
        <v>8</v>
      </c>
      <c r="AA23" s="116" t="str">
        <f t="shared" si="0"/>
        <v>Países Baj.</v>
      </c>
      <c r="AB23" s="116">
        <f t="shared" si="14"/>
        <v>6</v>
      </c>
      <c r="AC23" s="116" t="str">
        <f t="shared" si="1"/>
        <v>Ucrania</v>
      </c>
      <c r="AD23" s="116">
        <f t="shared" si="15"/>
        <v>0</v>
      </c>
      <c r="AE23" s="156" t="str">
        <f>Terceros!D24</f>
        <v/>
      </c>
      <c r="AF23" s="116">
        <f t="shared" si="16"/>
        <v>0</v>
      </c>
      <c r="AG23" s="148">
        <f t="shared" si="17"/>
        <v>14</v>
      </c>
      <c r="AJ23" s="132">
        <f t="shared" si="2"/>
        <v>1.472</v>
      </c>
      <c r="AK23" s="132">
        <f t="shared" si="3"/>
        <v>1.4729999999999999</v>
      </c>
      <c r="AL23" s="132">
        <f t="shared" si="4"/>
        <v>6.5149999999999997</v>
      </c>
      <c r="AM23" s="132">
        <f t="shared" si="5"/>
        <v>9.5570000000000004</v>
      </c>
      <c r="AN23" s="113">
        <f t="shared" si="18"/>
        <v>4</v>
      </c>
      <c r="AO23" s="113">
        <f t="shared" si="19"/>
        <v>3</v>
      </c>
      <c r="AP23" s="113">
        <f t="shared" si="20"/>
        <v>2</v>
      </c>
      <c r="AQ23" s="113">
        <f t="shared" si="21"/>
        <v>1</v>
      </c>
      <c r="AR23" s="113">
        <f t="shared" si="22"/>
        <v>1</v>
      </c>
      <c r="AS23" s="113">
        <f t="shared" si="23"/>
        <v>1</v>
      </c>
    </row>
    <row r="24" spans="1:45">
      <c r="A24" s="129" t="str">
        <f>Participantes!B21</f>
        <v>Alfredo Quintero 2</v>
      </c>
      <c r="B24" s="150">
        <v>2</v>
      </c>
      <c r="C24" s="150">
        <v>1</v>
      </c>
      <c r="D24" s="150">
        <f t="shared" si="7"/>
        <v>1</v>
      </c>
      <c r="E24" s="120"/>
      <c r="F24" s="150">
        <v>2</v>
      </c>
      <c r="G24" s="150">
        <v>3</v>
      </c>
      <c r="H24" s="150">
        <f t="shared" si="8"/>
        <v>3</v>
      </c>
      <c r="I24" s="120"/>
      <c r="J24" s="150">
        <v>0</v>
      </c>
      <c r="K24" s="150">
        <v>1</v>
      </c>
      <c r="L24" s="150">
        <f t="shared" si="9"/>
        <v>1</v>
      </c>
      <c r="M24" s="120"/>
      <c r="N24" s="150">
        <v>1</v>
      </c>
      <c r="O24" s="150">
        <v>0</v>
      </c>
      <c r="P24" s="150">
        <f t="shared" si="10"/>
        <v>1</v>
      </c>
      <c r="Q24" s="120"/>
      <c r="R24" s="150">
        <v>0</v>
      </c>
      <c r="S24" s="150">
        <v>3</v>
      </c>
      <c r="T24" s="150">
        <f t="shared" si="11"/>
        <v>3</v>
      </c>
      <c r="U24" s="150"/>
      <c r="V24" s="150">
        <v>1</v>
      </c>
      <c r="W24" s="150">
        <v>1</v>
      </c>
      <c r="X24" s="150">
        <f t="shared" si="12"/>
        <v>0</v>
      </c>
      <c r="Y24" s="120"/>
      <c r="Z24" s="121">
        <f t="shared" si="13"/>
        <v>9</v>
      </c>
      <c r="AA24" s="116" t="str">
        <f t="shared" si="0"/>
        <v>Países Baj.</v>
      </c>
      <c r="AB24" s="116">
        <f t="shared" si="14"/>
        <v>6</v>
      </c>
      <c r="AC24" s="116" t="str">
        <f t="shared" si="1"/>
        <v>Ucrania</v>
      </c>
      <c r="AD24" s="116">
        <f t="shared" si="15"/>
        <v>0</v>
      </c>
      <c r="AE24" s="156" t="str">
        <f>Terceros!D25</f>
        <v>Austria</v>
      </c>
      <c r="AF24" s="116">
        <f t="shared" si="16"/>
        <v>3</v>
      </c>
      <c r="AG24" s="148">
        <f t="shared" si="17"/>
        <v>18</v>
      </c>
      <c r="AJ24" s="132">
        <f t="shared" si="2"/>
        <v>4.5030000000000001</v>
      </c>
      <c r="AK24" s="132">
        <f t="shared" si="3"/>
        <v>0.45100000000000001</v>
      </c>
      <c r="AL24" s="132">
        <f t="shared" si="4"/>
        <v>4.5039999999999996</v>
      </c>
      <c r="AM24" s="132">
        <f t="shared" si="5"/>
        <v>9.5570000000000004</v>
      </c>
      <c r="AN24" s="113">
        <f t="shared" si="18"/>
        <v>3</v>
      </c>
      <c r="AO24" s="113">
        <f t="shared" si="19"/>
        <v>4</v>
      </c>
      <c r="AP24" s="113">
        <f t="shared" si="20"/>
        <v>2</v>
      </c>
      <c r="AQ24" s="113">
        <f t="shared" si="21"/>
        <v>1</v>
      </c>
      <c r="AR24" s="113">
        <f t="shared" si="22"/>
        <v>1</v>
      </c>
      <c r="AS24" s="113">
        <f t="shared" si="23"/>
        <v>1</v>
      </c>
    </row>
    <row r="25" spans="1:45">
      <c r="A25" s="129" t="str">
        <f>Participantes!B22</f>
        <v>Antonio Barahona</v>
      </c>
      <c r="B25" s="150">
        <v>1</v>
      </c>
      <c r="C25" s="150">
        <v>1</v>
      </c>
      <c r="D25" s="150">
        <f t="shared" si="7"/>
        <v>0</v>
      </c>
      <c r="E25" s="120"/>
      <c r="F25" s="150">
        <v>2</v>
      </c>
      <c r="G25" s="150">
        <v>1</v>
      </c>
      <c r="H25" s="150">
        <f t="shared" si="8"/>
        <v>0</v>
      </c>
      <c r="I25" s="120"/>
      <c r="J25" s="150">
        <v>0</v>
      </c>
      <c r="K25" s="150">
        <v>1</v>
      </c>
      <c r="L25" s="150">
        <f t="shared" si="9"/>
        <v>1</v>
      </c>
      <c r="M25" s="120"/>
      <c r="N25" s="150">
        <v>1</v>
      </c>
      <c r="O25" s="150">
        <v>2</v>
      </c>
      <c r="P25" s="150">
        <f t="shared" si="10"/>
        <v>0</v>
      </c>
      <c r="Q25" s="120"/>
      <c r="R25" s="150">
        <v>1</v>
      </c>
      <c r="S25" s="150">
        <v>1</v>
      </c>
      <c r="T25" s="150">
        <f t="shared" si="11"/>
        <v>0</v>
      </c>
      <c r="U25" s="150"/>
      <c r="V25" s="150">
        <v>2</v>
      </c>
      <c r="W25" s="150">
        <v>1</v>
      </c>
      <c r="X25" s="150">
        <f t="shared" si="12"/>
        <v>0</v>
      </c>
      <c r="Y25" s="120"/>
      <c r="Z25" s="121">
        <f t="shared" si="13"/>
        <v>1</v>
      </c>
      <c r="AA25" s="116" t="str">
        <f t="shared" si="0"/>
        <v>Ucrania</v>
      </c>
      <c r="AB25" s="116">
        <f t="shared" si="14"/>
        <v>0</v>
      </c>
      <c r="AC25" s="116" t="str">
        <f t="shared" si="1"/>
        <v>Austria</v>
      </c>
      <c r="AD25" s="116">
        <f t="shared" si="15"/>
        <v>6</v>
      </c>
      <c r="AE25" s="156" t="str">
        <f>Terceros!D26</f>
        <v>Macedonia</v>
      </c>
      <c r="AF25" s="116">
        <f t="shared" si="16"/>
        <v>0</v>
      </c>
      <c r="AG25" s="148">
        <f t="shared" si="17"/>
        <v>7</v>
      </c>
      <c r="AJ25" s="132">
        <f t="shared" si="2"/>
        <v>4.5039999999999996</v>
      </c>
      <c r="AK25" s="132">
        <f t="shared" si="3"/>
        <v>2.492</v>
      </c>
      <c r="AL25" s="132">
        <f t="shared" si="4"/>
        <v>9.5350000000000001</v>
      </c>
      <c r="AM25" s="132">
        <f t="shared" si="5"/>
        <v>1.4829999999999999</v>
      </c>
      <c r="AN25" s="113">
        <f t="shared" si="18"/>
        <v>2</v>
      </c>
      <c r="AO25" s="113">
        <f t="shared" si="19"/>
        <v>3</v>
      </c>
      <c r="AP25" s="113">
        <f t="shared" si="20"/>
        <v>1</v>
      </c>
      <c r="AQ25" s="113">
        <f t="shared" si="21"/>
        <v>4</v>
      </c>
      <c r="AR25" s="113">
        <f t="shared" si="22"/>
        <v>1</v>
      </c>
      <c r="AS25" s="113">
        <f t="shared" si="23"/>
        <v>1</v>
      </c>
    </row>
    <row r="26" spans="1:45">
      <c r="A26" s="129" t="str">
        <f>Participantes!B23</f>
        <v>Jose Caballero 1</v>
      </c>
      <c r="B26" s="150">
        <v>4</v>
      </c>
      <c r="C26" s="150">
        <v>3</v>
      </c>
      <c r="D26" s="150">
        <f t="shared" si="7"/>
        <v>1</v>
      </c>
      <c r="E26" s="120"/>
      <c r="F26" s="150">
        <v>0</v>
      </c>
      <c r="G26" s="150">
        <v>3</v>
      </c>
      <c r="H26" s="150">
        <f t="shared" si="8"/>
        <v>1</v>
      </c>
      <c r="I26" s="120"/>
      <c r="J26" s="150">
        <v>0</v>
      </c>
      <c r="K26" s="150">
        <v>1</v>
      </c>
      <c r="L26" s="150">
        <f t="shared" si="9"/>
        <v>1</v>
      </c>
      <c r="M26" s="120"/>
      <c r="N26" s="150">
        <v>3</v>
      </c>
      <c r="O26" s="150">
        <v>0</v>
      </c>
      <c r="P26" s="150">
        <f t="shared" si="10"/>
        <v>1</v>
      </c>
      <c r="Q26" s="120"/>
      <c r="R26" s="150">
        <v>0</v>
      </c>
      <c r="S26" s="150">
        <v>4</v>
      </c>
      <c r="T26" s="150">
        <f t="shared" si="11"/>
        <v>1</v>
      </c>
      <c r="U26" s="150"/>
      <c r="V26" s="150">
        <v>2</v>
      </c>
      <c r="W26" s="150">
        <v>1</v>
      </c>
      <c r="X26" s="150">
        <f t="shared" si="12"/>
        <v>0</v>
      </c>
      <c r="Y26" s="120"/>
      <c r="Z26" s="121">
        <f t="shared" si="13"/>
        <v>5</v>
      </c>
      <c r="AA26" s="116" t="str">
        <f t="shared" si="0"/>
        <v>Países Baj.</v>
      </c>
      <c r="AB26" s="116">
        <f t="shared" si="14"/>
        <v>6</v>
      </c>
      <c r="AC26" s="116" t="str">
        <f t="shared" si="1"/>
        <v>Ucrania</v>
      </c>
      <c r="AD26" s="116">
        <f t="shared" si="15"/>
        <v>0</v>
      </c>
      <c r="AE26" s="156" t="str">
        <f>Terceros!D27</f>
        <v/>
      </c>
      <c r="AF26" s="116">
        <f t="shared" si="16"/>
        <v>0</v>
      </c>
      <c r="AG26" s="148">
        <f t="shared" si="17"/>
        <v>11</v>
      </c>
      <c r="AJ26" s="132">
        <f t="shared" si="2"/>
        <v>3.4750000000000001</v>
      </c>
      <c r="AK26" s="132">
        <f t="shared" si="3"/>
        <v>0.443</v>
      </c>
      <c r="AL26" s="132">
        <f t="shared" si="4"/>
        <v>6.4930000000000003</v>
      </c>
      <c r="AM26" s="132">
        <f t="shared" si="5"/>
        <v>9.61</v>
      </c>
      <c r="AN26" s="113">
        <f t="shared" si="18"/>
        <v>3</v>
      </c>
      <c r="AO26" s="113">
        <f t="shared" si="19"/>
        <v>4</v>
      </c>
      <c r="AP26" s="113">
        <f t="shared" si="20"/>
        <v>2</v>
      </c>
      <c r="AQ26" s="113">
        <f t="shared" si="21"/>
        <v>1</v>
      </c>
      <c r="AR26" s="113">
        <f t="shared" si="22"/>
        <v>1</v>
      </c>
      <c r="AS26" s="113">
        <f t="shared" si="23"/>
        <v>1</v>
      </c>
    </row>
    <row r="27" spans="1:45">
      <c r="A27" s="129" t="str">
        <f>Participantes!B24</f>
        <v>Jose Caballero 2(Betito)</v>
      </c>
      <c r="B27" s="150">
        <v>2</v>
      </c>
      <c r="C27" s="150">
        <v>0</v>
      </c>
      <c r="D27" s="150">
        <f t="shared" si="7"/>
        <v>1</v>
      </c>
      <c r="E27" s="120"/>
      <c r="F27" s="150">
        <v>2</v>
      </c>
      <c r="G27" s="150">
        <v>3</v>
      </c>
      <c r="H27" s="150">
        <f t="shared" si="8"/>
        <v>3</v>
      </c>
      <c r="I27" s="120"/>
      <c r="J27" s="150">
        <v>0</v>
      </c>
      <c r="K27" s="150">
        <v>1</v>
      </c>
      <c r="L27" s="150">
        <f t="shared" si="9"/>
        <v>1</v>
      </c>
      <c r="M27" s="120"/>
      <c r="N27" s="150">
        <v>2</v>
      </c>
      <c r="O27" s="150">
        <v>0</v>
      </c>
      <c r="P27" s="150">
        <f t="shared" si="10"/>
        <v>3</v>
      </c>
      <c r="Q27" s="120"/>
      <c r="R27" s="150">
        <v>0</v>
      </c>
      <c r="S27" s="150">
        <v>2</v>
      </c>
      <c r="T27" s="150">
        <f t="shared" si="11"/>
        <v>1</v>
      </c>
      <c r="U27" s="150"/>
      <c r="V27" s="150">
        <v>1</v>
      </c>
      <c r="W27" s="150">
        <v>1</v>
      </c>
      <c r="X27" s="150">
        <f t="shared" si="12"/>
        <v>0</v>
      </c>
      <c r="Y27" s="120"/>
      <c r="Z27" s="121">
        <f t="shared" si="13"/>
        <v>9</v>
      </c>
      <c r="AA27" s="116" t="str">
        <f t="shared" si="0"/>
        <v>Países Baj.</v>
      </c>
      <c r="AB27" s="116">
        <f t="shared" si="14"/>
        <v>6</v>
      </c>
      <c r="AC27" s="116" t="str">
        <f t="shared" si="1"/>
        <v>Ucrania</v>
      </c>
      <c r="AD27" s="116">
        <f t="shared" si="15"/>
        <v>0</v>
      </c>
      <c r="AE27" s="156" t="str">
        <f>Terceros!D28</f>
        <v>Austria</v>
      </c>
      <c r="AF27" s="116">
        <f t="shared" si="16"/>
        <v>3</v>
      </c>
      <c r="AG27" s="148">
        <f t="shared" si="17"/>
        <v>18</v>
      </c>
      <c r="AJ27" s="132">
        <f t="shared" si="2"/>
        <v>4.5030000000000001</v>
      </c>
      <c r="AK27" s="132">
        <f t="shared" si="3"/>
        <v>0.45</v>
      </c>
      <c r="AL27" s="132">
        <f t="shared" si="4"/>
        <v>4.5039999999999996</v>
      </c>
      <c r="AM27" s="132">
        <f t="shared" si="5"/>
        <v>9.5570000000000004</v>
      </c>
      <c r="AN27" s="113">
        <f t="shared" si="18"/>
        <v>3</v>
      </c>
      <c r="AO27" s="113">
        <f t="shared" si="19"/>
        <v>4</v>
      </c>
      <c r="AP27" s="113">
        <f t="shared" si="20"/>
        <v>2</v>
      </c>
      <c r="AQ27" s="113">
        <f t="shared" si="21"/>
        <v>1</v>
      </c>
      <c r="AR27" s="113">
        <f t="shared" si="22"/>
        <v>1</v>
      </c>
      <c r="AS27" s="113">
        <f t="shared" si="23"/>
        <v>1</v>
      </c>
    </row>
  </sheetData>
  <mergeCells count="14">
    <mergeCell ref="AG2:AG3"/>
    <mergeCell ref="V1:X1"/>
    <mergeCell ref="B1:D1"/>
    <mergeCell ref="F1:H1"/>
    <mergeCell ref="J1:L1"/>
    <mergeCell ref="N1:P1"/>
    <mergeCell ref="R1:T1"/>
    <mergeCell ref="Z2:Z3"/>
    <mergeCell ref="D2:D3"/>
    <mergeCell ref="H2:H3"/>
    <mergeCell ref="L2:L3"/>
    <mergeCell ref="P2:P3"/>
    <mergeCell ref="T2:T3"/>
    <mergeCell ref="X2:X3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3FB6CFB2-7156-4BA6-B6B2-B0884495BC75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2" id="{13FD53EF-FEDD-42A8-8372-FFF0DAE2DC39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3" id="{436DB564-9F44-4B22-80A1-44CCEAE156CC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V3:W3</xm:sqref>
        </x14:conditionalFormatting>
        <x14:conditionalFormatting xmlns:xm="http://schemas.microsoft.com/office/excel/2006/main">
          <x14:cfRule type="expression" priority="16" id="{F3149A9E-1F2C-4AD1-BFBC-7AB8AA95AD3D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7" id="{1834FD47-3160-4389-89BD-67331D774B79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8" id="{19CFD702-ED18-490E-8C99-1854116894BE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B3:C3</xm:sqref>
        </x14:conditionalFormatting>
        <x14:conditionalFormatting xmlns:xm="http://schemas.microsoft.com/office/excel/2006/main">
          <x14:cfRule type="expression" priority="13" id="{FA940157-4F29-41FE-8B6C-220AE5D36C09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4" id="{BD22583F-5274-4116-ADFD-E3E21C6617A2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5" id="{0C6BAFF6-389C-44E4-8FA3-6BBFCE0A130F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F3:G3</xm:sqref>
        </x14:conditionalFormatting>
        <x14:conditionalFormatting xmlns:xm="http://schemas.microsoft.com/office/excel/2006/main">
          <x14:cfRule type="expression" priority="10" id="{7BF2C236-5FA3-4CF7-BB84-5E3D602F5B51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1" id="{0971F615-2C29-48BB-95EF-78E12FCCB05D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2" id="{4BE0D1B2-15C6-4362-ADC3-7FDD30DCF13D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J3:K3</xm:sqref>
        </x14:conditionalFormatting>
        <x14:conditionalFormatting xmlns:xm="http://schemas.microsoft.com/office/excel/2006/main">
          <x14:cfRule type="expression" priority="7" id="{88FF9ADA-A94D-41D9-9CB5-3A0E4E3321D8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8" id="{D9E52AC5-F243-4B93-B151-4524C44C7D06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9" id="{93BCD3F1-346E-4ABB-BEBD-8B7905964469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N3:O3</xm:sqref>
        </x14:conditionalFormatting>
        <x14:conditionalFormatting xmlns:xm="http://schemas.microsoft.com/office/excel/2006/main">
          <x14:cfRule type="expression" priority="4" id="{AD1E1661-E7C1-4A92-9733-F4728408A440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5" id="{7B95ED43-82F0-4879-BC3C-CA864E15C16F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6" id="{8045C096-3703-49CF-B5F9-EC5A10FE8A62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R3:S3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27"/>
  <sheetViews>
    <sheetView zoomScale="80" zoomScaleNormal="80" workbookViewId="0">
      <pane xSplit="1" topLeftCell="K1" activePane="topRight" state="frozen"/>
      <selection pane="topRight" activeCell="AE3" sqref="AE3"/>
    </sheetView>
  </sheetViews>
  <sheetFormatPr baseColWidth="10" defaultRowHeight="15"/>
  <cols>
    <col min="1" max="1" width="22" style="119" customWidth="1"/>
    <col min="2" max="2" width="10.5703125" style="119" customWidth="1"/>
    <col min="3" max="3" width="8.7109375" style="119" customWidth="1"/>
    <col min="4" max="4" width="5.85546875" style="133" customWidth="1"/>
    <col min="5" max="5" width="0.5703125" style="133" customWidth="1"/>
    <col min="6" max="6" width="10.7109375" style="133" customWidth="1"/>
    <col min="7" max="7" width="8.7109375" style="133" customWidth="1"/>
    <col min="8" max="8" width="5.85546875" style="133" customWidth="1"/>
    <col min="9" max="9" width="0.5703125" style="133" customWidth="1"/>
    <col min="10" max="10" width="11" style="133" customWidth="1"/>
    <col min="11" max="11" width="11.28515625" style="133" customWidth="1"/>
    <col min="12" max="12" width="5.85546875" style="133" customWidth="1"/>
    <col min="13" max="13" width="0.5703125" style="133" customWidth="1"/>
    <col min="14" max="14" width="8.7109375" style="133" customWidth="1"/>
    <col min="15" max="15" width="11.5703125" style="133" customWidth="1"/>
    <col min="16" max="16" width="5.85546875" style="133" customWidth="1"/>
    <col min="17" max="17" width="0.5703125" style="133" customWidth="1"/>
    <col min="18" max="19" width="8.7109375" style="133" customWidth="1"/>
    <col min="20" max="20" width="5.85546875" style="133" customWidth="1"/>
    <col min="21" max="21" width="0.5703125" style="133" customWidth="1"/>
    <col min="22" max="22" width="10.28515625" style="119" customWidth="1"/>
    <col min="23" max="23" width="12" style="119" customWidth="1"/>
    <col min="24" max="24" width="5.85546875" style="133" customWidth="1"/>
    <col min="25" max="25" width="0.5703125" style="133" customWidth="1"/>
    <col min="26" max="26" width="11.42578125" style="119"/>
    <col min="27" max="28" width="11.42578125" style="113"/>
    <col min="29" max="29" width="11.42578125" style="119"/>
    <col min="30" max="30" width="11.42578125" style="113"/>
    <col min="31" max="37" width="11.42578125" style="113" customWidth="1"/>
    <col min="38" max="38" width="6" style="113" customWidth="1"/>
    <col min="39" max="39" width="7" style="113" customWidth="1"/>
    <col min="40" max="40" width="6.7109375" style="113" customWidth="1"/>
    <col min="41" max="41" width="7.85546875" style="113" customWidth="1"/>
    <col min="42" max="42" width="7.140625" style="113" customWidth="1"/>
    <col min="43" max="43" width="5.85546875" style="113" customWidth="1"/>
    <col min="44" max="46" width="11.42578125" style="113" customWidth="1"/>
    <col min="47" max="16384" width="11.42578125" style="113"/>
  </cols>
  <sheetData>
    <row r="1" spans="1:45">
      <c r="B1" s="205">
        <v>1</v>
      </c>
      <c r="C1" s="205"/>
      <c r="D1" s="205"/>
      <c r="E1" s="120"/>
      <c r="F1" s="205">
        <v>2</v>
      </c>
      <c r="G1" s="205"/>
      <c r="H1" s="205"/>
      <c r="I1" s="120"/>
      <c r="J1" s="205">
        <v>3</v>
      </c>
      <c r="K1" s="205"/>
      <c r="L1" s="205"/>
      <c r="M1" s="120"/>
      <c r="N1" s="205">
        <v>4</v>
      </c>
      <c r="O1" s="205"/>
      <c r="P1" s="205"/>
      <c r="Q1" s="120"/>
      <c r="R1" s="205">
        <v>5</v>
      </c>
      <c r="S1" s="205"/>
      <c r="T1" s="205"/>
      <c r="U1" s="120"/>
      <c r="V1" s="205">
        <v>6</v>
      </c>
      <c r="W1" s="205"/>
      <c r="X1" s="205"/>
      <c r="Y1" s="120"/>
      <c r="Z1" s="121"/>
      <c r="AA1" s="148"/>
      <c r="AB1" s="148"/>
      <c r="AC1" s="148"/>
      <c r="AD1" s="148"/>
      <c r="AE1" s="148"/>
      <c r="AF1" s="134"/>
    </row>
    <row r="2" spans="1:45" ht="28.5" customHeight="1">
      <c r="A2" s="122"/>
      <c r="B2" s="123" t="str">
        <f>'H1'!$D26</f>
        <v>Inglaterra</v>
      </c>
      <c r="C2" s="123" t="str">
        <f>'H1'!$F26</f>
        <v>Croacia</v>
      </c>
      <c r="D2" s="208" t="s">
        <v>1</v>
      </c>
      <c r="E2" s="124"/>
      <c r="F2" s="123" t="str">
        <f>'H1'!D27</f>
        <v>Rep.Checa</v>
      </c>
      <c r="G2" s="123" t="str">
        <f>'H1'!F27</f>
        <v>Escocia</v>
      </c>
      <c r="H2" s="208" t="s">
        <v>1</v>
      </c>
      <c r="I2" s="124"/>
      <c r="J2" s="123" t="str">
        <f>'H1'!$D28</f>
        <v>Croacia</v>
      </c>
      <c r="K2" s="123" t="str">
        <f>'H1'!$F28</f>
        <v>Rep.Checa</v>
      </c>
      <c r="L2" s="208" t="s">
        <v>1</v>
      </c>
      <c r="M2" s="124"/>
      <c r="N2" s="123" t="str">
        <f>'H1'!$D29</f>
        <v>Escocia</v>
      </c>
      <c r="O2" s="123" t="str">
        <f>'H1'!$F29</f>
        <v>Inglaterra</v>
      </c>
      <c r="P2" s="208" t="s">
        <v>1</v>
      </c>
      <c r="Q2" s="124"/>
      <c r="R2" s="123" t="str">
        <f>'H1'!$D30</f>
        <v>Croacia</v>
      </c>
      <c r="S2" s="123" t="str">
        <f>'H1'!$F30</f>
        <v>Escocia</v>
      </c>
      <c r="T2" s="210" t="s">
        <v>1</v>
      </c>
      <c r="U2" s="124"/>
      <c r="V2" s="123" t="str">
        <f>'H1'!$D31</f>
        <v>Inglaterra</v>
      </c>
      <c r="W2" s="123" t="str">
        <f>'H1'!$F31</f>
        <v>Rep.Checa</v>
      </c>
      <c r="X2" s="208" t="s">
        <v>1</v>
      </c>
      <c r="Y2" s="124"/>
      <c r="Z2" s="206" t="s">
        <v>400</v>
      </c>
      <c r="AA2" s="149" t="s">
        <v>401</v>
      </c>
      <c r="AB2" s="149"/>
      <c r="AC2" s="149" t="s">
        <v>402</v>
      </c>
      <c r="AD2" s="149"/>
      <c r="AE2" s="149" t="s">
        <v>412</v>
      </c>
      <c r="AF2" s="149"/>
      <c r="AG2" s="206" t="s">
        <v>403</v>
      </c>
      <c r="AJ2" s="113" t="str">
        <f>B2</f>
        <v>Inglaterra</v>
      </c>
      <c r="AK2" s="113" t="str">
        <f>C2</f>
        <v>Croacia</v>
      </c>
      <c r="AL2" s="113" t="str">
        <f>F2</f>
        <v>Rep.Checa</v>
      </c>
      <c r="AM2" s="113" t="str">
        <f>G2</f>
        <v>Escocia</v>
      </c>
    </row>
    <row r="3" spans="1:45" ht="16.5" customHeight="1">
      <c r="A3" s="123" t="s">
        <v>404</v>
      </c>
      <c r="B3" s="126">
        <f>'H1'!$E26</f>
        <v>1</v>
      </c>
      <c r="C3" s="126">
        <f>'H1'!$G26</f>
        <v>0</v>
      </c>
      <c r="D3" s="209"/>
      <c r="E3" s="124"/>
      <c r="F3" s="126">
        <f>'H1'!$E27</f>
        <v>2</v>
      </c>
      <c r="G3" s="126">
        <f>'H1'!$G27</f>
        <v>0</v>
      </c>
      <c r="H3" s="209"/>
      <c r="I3" s="124"/>
      <c r="J3" s="126">
        <f>'H1'!$E28</f>
        <v>1</v>
      </c>
      <c r="K3" s="126">
        <f>'H1'!$G28</f>
        <v>1</v>
      </c>
      <c r="L3" s="209"/>
      <c r="M3" s="124"/>
      <c r="N3" s="126">
        <f>'H1'!$E29</f>
        <v>0</v>
      </c>
      <c r="O3" s="126">
        <f>'H1'!$G29</f>
        <v>0</v>
      </c>
      <c r="P3" s="209"/>
      <c r="Q3" s="124"/>
      <c r="R3" s="126">
        <f>'H1'!$E30</f>
        <v>0</v>
      </c>
      <c r="S3" s="126">
        <f>'H1'!$G30</f>
        <v>0</v>
      </c>
      <c r="T3" s="211"/>
      <c r="U3" s="124"/>
      <c r="V3" s="126">
        <f>'H1'!$E31</f>
        <v>1</v>
      </c>
      <c r="W3" s="126">
        <f>'H1'!$G31</f>
        <v>0</v>
      </c>
      <c r="X3" s="209"/>
      <c r="Y3" s="124"/>
      <c r="Z3" s="207"/>
      <c r="AA3" s="127" t="str">
        <f>IF('H1'!S27="1D","",'H1'!S27)</f>
        <v>Inglaterra</v>
      </c>
      <c r="AB3" s="127"/>
      <c r="AC3" s="127" t="str">
        <f>IF('H1'!S20="2D","",'H1'!S20)</f>
        <v>Rep.Checa</v>
      </c>
      <c r="AD3" s="127"/>
      <c r="AE3" s="127" t="s">
        <v>437</v>
      </c>
      <c r="AF3" s="163"/>
      <c r="AG3" s="207"/>
    </row>
    <row r="4" spans="1:45" ht="3.75" customHeight="1">
      <c r="A4" s="128" t="s">
        <v>406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</row>
    <row r="5" spans="1:45">
      <c r="A5" s="129" t="str">
        <f>Participantes!B2</f>
        <v>Luis Medica</v>
      </c>
      <c r="B5" s="150">
        <v>2</v>
      </c>
      <c r="C5" s="150">
        <v>1</v>
      </c>
      <c r="D5" s="150">
        <f>IF(AND($B5=$B$3, $C5=$C$3),3,IF(AND($B$3&gt;$C$3, $B5&gt;$C5),1,IF(AND($C5&gt;B5, $C$3&gt;$B$3), 1, IF(AND($B$3=$C$3, $B5=$C5),1,0))))*IF($B$3="",0,1)</f>
        <v>1</v>
      </c>
      <c r="E5" s="120"/>
      <c r="F5" s="150">
        <v>0</v>
      </c>
      <c r="G5" s="150">
        <v>1</v>
      </c>
      <c r="H5" s="150">
        <f>IF(AND($F5=$F$3, $G5=$G$3),3,IF(AND($F$3&gt;$G$3, $F5&gt;$G5),1,IF(AND($G5&gt;F5, $G$3&gt;$F$3), 1, IF(AND($F$3=$G$3, $F5=$G5),1,0))))*IF($F$3="",0,1)</f>
        <v>0</v>
      </c>
      <c r="I5" s="120"/>
      <c r="J5" s="150">
        <v>2</v>
      </c>
      <c r="K5" s="150">
        <v>0</v>
      </c>
      <c r="L5" s="150">
        <f>IF(AND($J5=$J$3, $K5=$K$3),3,IF(AND($J$3&gt;$K$3, $J5&gt;$K5),1,IF(AND($K5&gt;J5, $K$3&gt;$J$3), 1, IF(AND($J$3=$K$3, $J5=$K5),1,0))))*IF($J$3="",0,1)</f>
        <v>0</v>
      </c>
      <c r="M5" s="131"/>
      <c r="N5" s="150">
        <v>1</v>
      </c>
      <c r="O5" s="150">
        <v>1</v>
      </c>
      <c r="P5" s="150">
        <f>IF(AND($N5=$N$3, $O5=$O$3),3,IF(AND($N$3&gt;$O$3, $N5&gt;$O5),1,IF(AND($O5&gt;N5, $O$3&gt;$N$3), 1, IF(AND($N$3=$O$3, $N5=$O5),1,0))))*IF($N$3="",0,1)</f>
        <v>1</v>
      </c>
      <c r="Q5" s="120"/>
      <c r="R5" s="131">
        <v>2</v>
      </c>
      <c r="S5" s="131">
        <v>1</v>
      </c>
      <c r="T5" s="131">
        <f>IF(AND($R5=$R$3, $S5=$S$3),3,IF(AND($R$3&gt;$S$3, $R5&gt;$S5),1,IF(AND($S5&gt;R5, $S$3&gt;$R$3), 1, IF(AND($R$3=$S$3, $R5=$S5),1,0))))*IF($R$3="",0,1)</f>
        <v>0</v>
      </c>
      <c r="U5" s="120"/>
      <c r="V5" s="131">
        <v>3</v>
      </c>
      <c r="W5" s="131">
        <v>0</v>
      </c>
      <c r="X5" s="131">
        <f>IF(AND($V5=$V$3, $W5=$W$3),3,IF(AND($V$3&gt;$W$3, $V5&gt;$W5),1,IF(AND($W5&gt;V5, $W$3&gt;$V$3), 1, IF(AND($V$3=$W$3, $V5=$W5),1,0))))*IF($V$3="",0,1)</f>
        <v>1</v>
      </c>
      <c r="Y5" s="120"/>
      <c r="Z5" s="121">
        <f>D5+H5+L5+P5+T5+X5</f>
        <v>3</v>
      </c>
      <c r="AA5" s="116" t="str">
        <f t="shared" ref="AA5:AA27" si="0">CONCATENATE(IF(AR5&gt;2,"***",""),IF(AN5=1,$AJ$2,IF(AO5=1,$AK$2,IF(AP5=1,$AL$2,IF(AQ5=1,$AM$2,"error")))))</f>
        <v>Inglaterra</v>
      </c>
      <c r="AB5" s="116">
        <f>(IF($AA$3=AA5,6,0)+IF($AC$3=AA5,3,0)+IF(AA5=$AE$3,3,0))</f>
        <v>6</v>
      </c>
      <c r="AC5" s="116" t="str">
        <f t="shared" ref="AC5:AC27" si="1">CONCATENATE(IF(AS5&gt;1,"**",""),IF(AN5=2,$AJ$2,IF(AO5=2,$AK$2,IF(AP5=2,$AL$2,IF(AQ5=2,$AM$2,CONCATENATE(IF(AS5&gt;1,"*",""),"*",IF(AQ5=1,$AM$2,IF(AP5=1,$AL$2,$AK$2))))))))</f>
        <v>Croacia</v>
      </c>
      <c r="AD5" s="116">
        <f>(IF($AA$3=AC5,3,0)+IF($AC$3=AC5,6,0)+IF(AC5=$AE$3,3,0))</f>
        <v>0</v>
      </c>
      <c r="AE5" s="156" t="str">
        <f>Terceros!E6</f>
        <v>Escocia</v>
      </c>
      <c r="AF5" s="116">
        <f>IF($AA$3=AE5,3,0)+IF($AC$3=AE5,3,0)+IF(AE5=$AE$3,6,0)</f>
        <v>0</v>
      </c>
      <c r="AG5" s="148">
        <f>Z5+(AB5+AD5+AF5)*IF(AA3="",0,1)</f>
        <v>9</v>
      </c>
      <c r="AJ5" s="132">
        <f>IF(B5&gt;C5,3,IF(B5=C5,1,0))+IF(O5&gt;N5,3,IF(O5=N5,1,0))+IF(V5&gt;W5,3,IF(W5=V5,1,0))+(B5+O5+V5)*0.001+(B5+O5+V5-C5-N5-W5)*0.01+0.5</f>
        <v>7.5460000000000003</v>
      </c>
      <c r="AK5" s="132">
        <f>IF(C5&gt;B5,3,IF(C5=B5,1,0))+IF(J5&gt;K5,3,IF(J5=K5,1,0))+IF(R5&gt;S5,3,IF(R5=S5,1,0))+(C5+J5+R5)*0.001+(C5+J5+R5-B5-K5-S5)*0.01+0.5</f>
        <v>6.5249999999999995</v>
      </c>
      <c r="AL5" s="132">
        <f>IF(F5&gt;G5,3,IF(F5=G5,1,0))+IF(K5&gt;J5,3,IF(K5=J5,1,0))+IF(W5&gt;V5,3,IF(W5=V5,1,0))+(F5+K5+W5)*0.001+(F5+K5+W5-G5-J5-V5)*0.01+0.5</f>
        <v>0.44</v>
      </c>
      <c r="AM5" s="132">
        <f>IF(G5&gt;F5,3,IF(G5=F5,1,0))+IF(N5&gt;O5,3,IF(O5=N5,1,0))+IF(S5&gt;R5,3,IF(S5=R5,1,0))+(G5+N5+S5)*0.001+(G5+N5+S5-F5-O5-R5)*0.01+0.5</f>
        <v>4.5030000000000001</v>
      </c>
      <c r="AN5" s="113">
        <f t="shared" ref="AN5:AQ5" si="2">_xlfn.RANK.EQ(AJ5,$AJ5:$AM5,0)</f>
        <v>1</v>
      </c>
      <c r="AO5" s="113">
        <f t="shared" si="2"/>
        <v>2</v>
      </c>
      <c r="AP5" s="113">
        <f t="shared" si="2"/>
        <v>4</v>
      </c>
      <c r="AQ5" s="113">
        <f t="shared" si="2"/>
        <v>3</v>
      </c>
      <c r="AR5" s="113">
        <f>COUNTIF(AN5:AQ5,1)</f>
        <v>1</v>
      </c>
      <c r="AS5" s="113">
        <f>COUNTIF(AN5:AQ5,2)</f>
        <v>1</v>
      </c>
    </row>
    <row r="6" spans="1:45">
      <c r="A6" s="129" t="str">
        <f>Participantes!B3</f>
        <v>Isaac Solanilla</v>
      </c>
      <c r="B6" s="150">
        <v>1</v>
      </c>
      <c r="C6" s="150">
        <v>1</v>
      </c>
      <c r="D6" s="150">
        <f t="shared" ref="D6:D27" si="3">IF(AND($B6=$B$3, $C6=$C$3),3,IF(AND($B$3&gt;$C$3, $B6&gt;$C6),1,IF(AND($C6&gt;B6, $C$3&gt;$B$3), 1, IF(AND($B$3=$C$3, $B6=$C6),1,0))))*IF($B$3="",0,1)</f>
        <v>0</v>
      </c>
      <c r="E6" s="120"/>
      <c r="F6" s="150">
        <v>2</v>
      </c>
      <c r="G6" s="150">
        <v>2</v>
      </c>
      <c r="H6" s="150">
        <f t="shared" ref="H6:H27" si="4">IF(AND($F6=$F$3, $G6=$G$3),3,IF(AND($F$3&gt;$G$3, $F6&gt;$G6),1,IF(AND($G6&gt;F6, $G$3&gt;$F$3), 1, IF(AND($F$3=$G$3, $F6=$G6),1,0))))*IF($F$3="",0,1)</f>
        <v>0</v>
      </c>
      <c r="I6" s="120"/>
      <c r="J6" s="150">
        <v>2</v>
      </c>
      <c r="K6" s="150">
        <v>1</v>
      </c>
      <c r="L6" s="150">
        <f t="shared" ref="L6:L27" si="5">IF(AND($J6=$J$3, $K6=$K$3),3,IF(AND($J$3&gt;$K$3, $J6&gt;$K6),1,IF(AND($K6&gt;J6, $K$3&gt;$J$3), 1, IF(AND($J$3=$K$3, $J6=$K6),1,0))))*IF($J$3="",0,1)</f>
        <v>0</v>
      </c>
      <c r="M6" s="131"/>
      <c r="N6" s="150">
        <v>2</v>
      </c>
      <c r="O6" s="150">
        <v>2</v>
      </c>
      <c r="P6" s="150">
        <f t="shared" ref="P6:P27" si="6">IF(AND($N6=$N$3, $O6=$O$3),3,IF(AND($N$3&gt;$O$3, $N6&gt;$O6),1,IF(AND($O6&gt;N6, $O$3&gt;$N$3), 1, IF(AND($N$3=$O$3, $N6=$O6),1,0))))*IF($N$3="",0,1)</f>
        <v>1</v>
      </c>
      <c r="Q6" s="120"/>
      <c r="R6" s="131">
        <v>1</v>
      </c>
      <c r="S6" s="131">
        <v>0</v>
      </c>
      <c r="T6" s="131">
        <f t="shared" ref="T6:T27" si="7">IF(AND($R6=$R$3, $S6=$S$3),3,IF(AND($R$3&gt;$S$3, $R6&gt;$S6),1,IF(AND($S6&gt;R6, $S$3&gt;$R$3), 1, IF(AND($R$3=$S$3, $R6=$S6),1,0))))*IF($R$3="",0,1)</f>
        <v>0</v>
      </c>
      <c r="U6" s="120"/>
      <c r="V6" s="131">
        <v>1</v>
      </c>
      <c r="W6" s="131">
        <v>0</v>
      </c>
      <c r="X6" s="131">
        <f t="shared" ref="X6:X27" si="8">IF(AND($V6=$V$3, $W6=$W$3),3,IF(AND($V$3&gt;$W$3, $V6&gt;$W6),1,IF(AND($W6&gt;V6, $W$3&gt;$V$3), 1, IF(AND($V$3=$W$3, $V6=$W6),1,0))))*IF($V$3="",0,1)</f>
        <v>3</v>
      </c>
      <c r="Y6" s="120"/>
      <c r="Z6" s="121">
        <f t="shared" ref="Z6:Z27" si="9">D6+H6+L6+P6+T6+X6</f>
        <v>4</v>
      </c>
      <c r="AA6" s="116" t="str">
        <f t="shared" si="0"/>
        <v>Croacia</v>
      </c>
      <c r="AB6" s="116">
        <f t="shared" ref="AB6:AB27" si="10">(IF($AA$3=AA6,6,0)+IF($AC$3=AA6,3,0)+IF(AA6=$AE$3,3,0))</f>
        <v>0</v>
      </c>
      <c r="AC6" s="116" t="str">
        <f t="shared" si="1"/>
        <v>Inglaterra</v>
      </c>
      <c r="AD6" s="116">
        <f t="shared" ref="AD6:AD27" si="11">(IF($AA$3=AC6,3,0)+IF($AC$3=AC6,6,0)+IF(AC6=$AE$3,3,0))</f>
        <v>3</v>
      </c>
      <c r="AE6" s="156" t="str">
        <f>Terceros!E7</f>
        <v>Escocia</v>
      </c>
      <c r="AF6" s="116">
        <f t="shared" ref="AF6:AF27" si="12">IF($AA$3=AE6,3,0)+IF($AC$3=AE6,3,0)+IF(AE6=$AE$3,6,0)</f>
        <v>0</v>
      </c>
      <c r="AG6" s="148">
        <f t="shared" ref="AG6:AG27" si="13">Z6+(AB6+AD6+AF6)*IF(AA4="",0,1)</f>
        <v>4</v>
      </c>
      <c r="AJ6" s="132">
        <f t="shared" ref="AJ6:AJ27" si="14">IF(B6&gt;C6,3,IF(B6=C6,1,0))+IF(O6&gt;N6,3,IF(O6=N6,1,0))+IF(V6&gt;W6,3,IF(W6=V6,1,0))+(B6+O6+V6)*0.001+(B6+O6+V6-C6-N6-W6)*0.01+0.5</f>
        <v>5.5139999999999993</v>
      </c>
      <c r="AK6" s="132">
        <f t="shared" ref="AK6:AK27" si="15">IF(C6&gt;B6,3,IF(C6=B6,1,0))+IF(J6&gt;K6,3,IF(J6=K6,1,0))+IF(R6&gt;S6,3,IF(R6=S6,1,0))+(C6+J6+R6)*0.001+(C6+J6+R6-B6-K6-S6)*0.01+0.5</f>
        <v>7.5239999999999991</v>
      </c>
      <c r="AL6" s="132">
        <f t="shared" ref="AL6:AL27" si="16">IF(F6&gt;G6,3,IF(F6=G6,1,0))+IF(K6&gt;J6,3,IF(K6=J6,1,0))+IF(W6&gt;V6,3,IF(W6=V6,1,0))+(F6+K6+W6)*0.001+(F6+K6+W6-G6-J6-V6)*0.01+0.5</f>
        <v>1.4829999999999999</v>
      </c>
      <c r="AM6" s="132">
        <f t="shared" ref="AM6:AM27" si="17">IF(G6&gt;F6,3,IF(G6=F6,1,0))+IF(N6&gt;O6,3,IF(O6=N6,1,0))+IF(S6&gt;R6,3,IF(S6=R6,1,0))+(G6+N6+S6)*0.001+(G6+N6+S6-F6-O6-R6)*0.01+0.5</f>
        <v>2.4939999999999998</v>
      </c>
      <c r="AN6" s="113">
        <f t="shared" ref="AN6:AQ20" si="18">_xlfn.RANK.EQ(AJ6,$AJ6:$AM6,0)</f>
        <v>2</v>
      </c>
      <c r="AO6" s="113">
        <f t="shared" si="18"/>
        <v>1</v>
      </c>
      <c r="AP6" s="113">
        <f t="shared" si="18"/>
        <v>4</v>
      </c>
      <c r="AQ6" s="113">
        <f t="shared" si="18"/>
        <v>3</v>
      </c>
      <c r="AR6" s="113">
        <f t="shared" ref="AR6:AR27" si="19">COUNTIF(AN6:AQ6,1)</f>
        <v>1</v>
      </c>
      <c r="AS6" s="113">
        <f t="shared" ref="AS6:AS27" si="20">COUNTIF(AN6:AQ6,2)</f>
        <v>1</v>
      </c>
    </row>
    <row r="7" spans="1:45">
      <c r="A7" s="129" t="str">
        <f>Participantes!B4</f>
        <v>Andres Corcho</v>
      </c>
      <c r="B7" s="150">
        <v>3</v>
      </c>
      <c r="C7" s="150">
        <v>1</v>
      </c>
      <c r="D7" s="150">
        <f t="shared" si="3"/>
        <v>1</v>
      </c>
      <c r="E7" s="120"/>
      <c r="F7" s="150">
        <v>2</v>
      </c>
      <c r="G7" s="150">
        <v>3</v>
      </c>
      <c r="H7" s="150">
        <f t="shared" si="4"/>
        <v>0</v>
      </c>
      <c r="I7" s="120"/>
      <c r="J7" s="150">
        <v>2</v>
      </c>
      <c r="K7" s="150">
        <v>0</v>
      </c>
      <c r="L7" s="150">
        <f t="shared" si="5"/>
        <v>0</v>
      </c>
      <c r="M7" s="131"/>
      <c r="N7" s="150">
        <v>0</v>
      </c>
      <c r="O7" s="150">
        <v>2</v>
      </c>
      <c r="P7" s="150">
        <f t="shared" si="6"/>
        <v>0</v>
      </c>
      <c r="Q7" s="120"/>
      <c r="R7" s="131">
        <v>1</v>
      </c>
      <c r="S7" s="131">
        <v>1</v>
      </c>
      <c r="T7" s="131">
        <f t="shared" si="7"/>
        <v>1</v>
      </c>
      <c r="U7" s="120"/>
      <c r="V7" s="131">
        <v>3</v>
      </c>
      <c r="W7" s="131">
        <v>0</v>
      </c>
      <c r="X7" s="131">
        <f t="shared" si="8"/>
        <v>1</v>
      </c>
      <c r="Y7" s="120"/>
      <c r="Z7" s="121">
        <f t="shared" si="9"/>
        <v>3</v>
      </c>
      <c r="AA7" s="116" t="str">
        <f t="shared" si="0"/>
        <v>Inglaterra</v>
      </c>
      <c r="AB7" s="116">
        <f t="shared" si="10"/>
        <v>6</v>
      </c>
      <c r="AC7" s="116" t="str">
        <f t="shared" si="1"/>
        <v>Croacia</v>
      </c>
      <c r="AD7" s="116">
        <f t="shared" si="11"/>
        <v>0</v>
      </c>
      <c r="AE7" s="156" t="str">
        <f>Terceros!E8</f>
        <v>Escocia</v>
      </c>
      <c r="AF7" s="116">
        <f t="shared" si="12"/>
        <v>0</v>
      </c>
      <c r="AG7" s="148">
        <f t="shared" si="13"/>
        <v>9</v>
      </c>
      <c r="AJ7" s="132">
        <f t="shared" si="14"/>
        <v>9.5779999999999994</v>
      </c>
      <c r="AK7" s="132">
        <f t="shared" si="15"/>
        <v>4.5039999999999996</v>
      </c>
      <c r="AL7" s="132">
        <f t="shared" si="16"/>
        <v>0.442</v>
      </c>
      <c r="AM7" s="132">
        <f t="shared" si="17"/>
        <v>4.4939999999999998</v>
      </c>
      <c r="AN7" s="113">
        <f t="shared" si="18"/>
        <v>1</v>
      </c>
      <c r="AO7" s="113">
        <f t="shared" si="18"/>
        <v>2</v>
      </c>
      <c r="AP7" s="113">
        <f t="shared" si="18"/>
        <v>4</v>
      </c>
      <c r="AQ7" s="113">
        <f t="shared" si="18"/>
        <v>3</v>
      </c>
      <c r="AR7" s="113">
        <f t="shared" si="19"/>
        <v>1</v>
      </c>
      <c r="AS7" s="113">
        <f t="shared" si="20"/>
        <v>1</v>
      </c>
    </row>
    <row r="8" spans="1:45">
      <c r="A8" s="129" t="str">
        <f>Participantes!B5</f>
        <v>Rodrigo Palavicini</v>
      </c>
      <c r="B8" s="150">
        <v>2</v>
      </c>
      <c r="C8" s="150">
        <v>1</v>
      </c>
      <c r="D8" s="150">
        <f t="shared" si="3"/>
        <v>1</v>
      </c>
      <c r="E8" s="120"/>
      <c r="F8" s="150">
        <v>1</v>
      </c>
      <c r="G8" s="150">
        <v>1</v>
      </c>
      <c r="H8" s="150">
        <f t="shared" si="4"/>
        <v>0</v>
      </c>
      <c r="I8" s="120"/>
      <c r="J8" s="150">
        <v>2</v>
      </c>
      <c r="K8" s="150">
        <v>0</v>
      </c>
      <c r="L8" s="150">
        <f t="shared" si="5"/>
        <v>0</v>
      </c>
      <c r="M8" s="131"/>
      <c r="N8" s="150">
        <v>1</v>
      </c>
      <c r="O8" s="150">
        <v>3</v>
      </c>
      <c r="P8" s="150">
        <f t="shared" si="6"/>
        <v>0</v>
      </c>
      <c r="Q8" s="120"/>
      <c r="R8" s="131">
        <v>3</v>
      </c>
      <c r="S8" s="131">
        <v>0</v>
      </c>
      <c r="T8" s="131">
        <f t="shared" si="7"/>
        <v>0</v>
      </c>
      <c r="U8" s="120"/>
      <c r="V8" s="131">
        <v>2</v>
      </c>
      <c r="W8" s="131">
        <v>0</v>
      </c>
      <c r="X8" s="131">
        <f t="shared" si="8"/>
        <v>1</v>
      </c>
      <c r="Y8" s="120"/>
      <c r="Z8" s="121">
        <f t="shared" si="9"/>
        <v>2</v>
      </c>
      <c r="AA8" s="116" t="str">
        <f t="shared" si="0"/>
        <v>Inglaterra</v>
      </c>
      <c r="AB8" s="116">
        <f t="shared" si="10"/>
        <v>6</v>
      </c>
      <c r="AC8" s="116" t="str">
        <f t="shared" si="1"/>
        <v>Croacia</v>
      </c>
      <c r="AD8" s="116">
        <f t="shared" si="11"/>
        <v>0</v>
      </c>
      <c r="AE8" s="156" t="str">
        <f>Terceros!E9</f>
        <v/>
      </c>
      <c r="AF8" s="116">
        <f t="shared" si="12"/>
        <v>0</v>
      </c>
      <c r="AG8" s="148">
        <f t="shared" si="13"/>
        <v>8</v>
      </c>
      <c r="AJ8" s="132">
        <f t="shared" si="14"/>
        <v>9.5570000000000004</v>
      </c>
      <c r="AK8" s="132">
        <f t="shared" si="15"/>
        <v>6.5460000000000003</v>
      </c>
      <c r="AL8" s="132">
        <f t="shared" si="16"/>
        <v>1.4609999999999999</v>
      </c>
      <c r="AM8" s="132">
        <f t="shared" si="17"/>
        <v>1.452</v>
      </c>
      <c r="AN8" s="113">
        <f t="shared" si="18"/>
        <v>1</v>
      </c>
      <c r="AO8" s="113">
        <f t="shared" si="18"/>
        <v>2</v>
      </c>
      <c r="AP8" s="113">
        <f t="shared" si="18"/>
        <v>3</v>
      </c>
      <c r="AQ8" s="113">
        <f t="shared" si="18"/>
        <v>4</v>
      </c>
      <c r="AR8" s="113">
        <f t="shared" si="19"/>
        <v>1</v>
      </c>
      <c r="AS8" s="113">
        <f t="shared" si="20"/>
        <v>1</v>
      </c>
    </row>
    <row r="9" spans="1:45">
      <c r="A9" s="129" t="str">
        <f>Participantes!B6</f>
        <v>Carlos Medina</v>
      </c>
      <c r="B9" s="150">
        <v>2</v>
      </c>
      <c r="C9" s="150">
        <v>1</v>
      </c>
      <c r="D9" s="150">
        <f t="shared" si="3"/>
        <v>1</v>
      </c>
      <c r="E9" s="120"/>
      <c r="F9" s="150">
        <v>1</v>
      </c>
      <c r="G9" s="150">
        <v>1</v>
      </c>
      <c r="H9" s="150">
        <f t="shared" si="4"/>
        <v>0</v>
      </c>
      <c r="I9" s="120"/>
      <c r="J9" s="150">
        <v>2</v>
      </c>
      <c r="K9" s="150">
        <v>1</v>
      </c>
      <c r="L9" s="150">
        <f t="shared" si="5"/>
        <v>0</v>
      </c>
      <c r="M9" s="131"/>
      <c r="N9" s="150">
        <v>1</v>
      </c>
      <c r="O9" s="150">
        <v>3</v>
      </c>
      <c r="P9" s="150">
        <f t="shared" si="6"/>
        <v>0</v>
      </c>
      <c r="Q9" s="120"/>
      <c r="R9" s="131">
        <v>2</v>
      </c>
      <c r="S9" s="131">
        <v>1</v>
      </c>
      <c r="T9" s="131">
        <f t="shared" si="7"/>
        <v>0</v>
      </c>
      <c r="U9" s="120"/>
      <c r="V9" s="131">
        <v>3</v>
      </c>
      <c r="W9" s="131">
        <v>1</v>
      </c>
      <c r="X9" s="131">
        <f t="shared" si="8"/>
        <v>1</v>
      </c>
      <c r="Y9" s="120"/>
      <c r="Z9" s="121">
        <f t="shared" si="9"/>
        <v>2</v>
      </c>
      <c r="AA9" s="116" t="str">
        <f t="shared" si="0"/>
        <v>Inglaterra</v>
      </c>
      <c r="AB9" s="116">
        <f t="shared" si="10"/>
        <v>6</v>
      </c>
      <c r="AC9" s="116" t="str">
        <f t="shared" si="1"/>
        <v>Croacia</v>
      </c>
      <c r="AD9" s="116">
        <f t="shared" si="11"/>
        <v>0</v>
      </c>
      <c r="AE9" s="156" t="str">
        <f>Terceros!E10</f>
        <v/>
      </c>
      <c r="AF9" s="116">
        <f t="shared" si="12"/>
        <v>0</v>
      </c>
      <c r="AG9" s="148">
        <f t="shared" si="13"/>
        <v>8</v>
      </c>
      <c r="AJ9" s="132">
        <f t="shared" si="14"/>
        <v>9.5579999999999998</v>
      </c>
      <c r="AK9" s="132">
        <f t="shared" si="15"/>
        <v>6.5149999999999997</v>
      </c>
      <c r="AL9" s="132">
        <f t="shared" si="16"/>
        <v>1.4729999999999999</v>
      </c>
      <c r="AM9" s="132">
        <f t="shared" si="17"/>
        <v>1.4729999999999999</v>
      </c>
      <c r="AN9" s="113">
        <f t="shared" si="18"/>
        <v>1</v>
      </c>
      <c r="AO9" s="113">
        <f t="shared" si="18"/>
        <v>2</v>
      </c>
      <c r="AP9" s="113">
        <f t="shared" si="18"/>
        <v>3</v>
      </c>
      <c r="AQ9" s="113">
        <f t="shared" si="18"/>
        <v>3</v>
      </c>
      <c r="AR9" s="113">
        <f t="shared" si="19"/>
        <v>1</v>
      </c>
      <c r="AS9" s="113">
        <f t="shared" si="20"/>
        <v>1</v>
      </c>
    </row>
    <row r="10" spans="1:45">
      <c r="A10" s="129" t="str">
        <f>Participantes!B7</f>
        <v>July Batista</v>
      </c>
      <c r="B10" s="150">
        <v>1</v>
      </c>
      <c r="C10" s="150">
        <v>1</v>
      </c>
      <c r="D10" s="150">
        <f t="shared" si="3"/>
        <v>0</v>
      </c>
      <c r="E10" s="120"/>
      <c r="F10" s="150">
        <v>0</v>
      </c>
      <c r="G10" s="150">
        <v>0</v>
      </c>
      <c r="H10" s="150">
        <f t="shared" si="4"/>
        <v>0</v>
      </c>
      <c r="I10" s="120"/>
      <c r="J10" s="150">
        <v>1</v>
      </c>
      <c r="K10" s="150">
        <v>0</v>
      </c>
      <c r="L10" s="150">
        <f t="shared" si="5"/>
        <v>0</v>
      </c>
      <c r="M10" s="131"/>
      <c r="N10" s="150">
        <v>0</v>
      </c>
      <c r="O10" s="150">
        <v>1</v>
      </c>
      <c r="P10" s="150">
        <f t="shared" si="6"/>
        <v>0</v>
      </c>
      <c r="Q10" s="120"/>
      <c r="R10" s="131">
        <v>2</v>
      </c>
      <c r="S10" s="131">
        <v>0</v>
      </c>
      <c r="T10" s="131">
        <f t="shared" si="7"/>
        <v>0</v>
      </c>
      <c r="U10" s="120"/>
      <c r="V10" s="131">
        <v>2</v>
      </c>
      <c r="W10" s="131">
        <v>1</v>
      </c>
      <c r="X10" s="131">
        <f t="shared" si="8"/>
        <v>1</v>
      </c>
      <c r="Y10" s="120"/>
      <c r="Z10" s="121">
        <f t="shared" si="9"/>
        <v>1</v>
      </c>
      <c r="AA10" s="116" t="str">
        <f t="shared" si="0"/>
        <v>Croacia</v>
      </c>
      <c r="AB10" s="116">
        <f t="shared" si="10"/>
        <v>0</v>
      </c>
      <c r="AC10" s="116" t="str">
        <f t="shared" si="1"/>
        <v>Inglaterra</v>
      </c>
      <c r="AD10" s="116">
        <f t="shared" si="11"/>
        <v>3</v>
      </c>
      <c r="AE10" s="156" t="str">
        <f>Terceros!E11</f>
        <v>Rep.Checa</v>
      </c>
      <c r="AF10" s="116">
        <f t="shared" si="12"/>
        <v>3</v>
      </c>
      <c r="AG10" s="148">
        <f t="shared" si="13"/>
        <v>7</v>
      </c>
      <c r="AJ10" s="132">
        <f t="shared" si="14"/>
        <v>7.5239999999999991</v>
      </c>
      <c r="AK10" s="132">
        <f t="shared" si="15"/>
        <v>7.5339999999999998</v>
      </c>
      <c r="AL10" s="132">
        <f t="shared" si="16"/>
        <v>1.4809999999999999</v>
      </c>
      <c r="AM10" s="132">
        <f t="shared" si="17"/>
        <v>1.47</v>
      </c>
      <c r="AN10" s="113">
        <f t="shared" si="18"/>
        <v>2</v>
      </c>
      <c r="AO10" s="113">
        <f t="shared" si="18"/>
        <v>1</v>
      </c>
      <c r="AP10" s="113">
        <f t="shared" si="18"/>
        <v>3</v>
      </c>
      <c r="AQ10" s="113">
        <f t="shared" si="18"/>
        <v>4</v>
      </c>
      <c r="AR10" s="113">
        <f t="shared" si="19"/>
        <v>1</v>
      </c>
      <c r="AS10" s="113">
        <f t="shared" si="20"/>
        <v>1</v>
      </c>
    </row>
    <row r="11" spans="1:45">
      <c r="A11" s="129" t="str">
        <f>Participantes!B8</f>
        <v>Carlos Quiel</v>
      </c>
      <c r="B11" s="150">
        <v>2</v>
      </c>
      <c r="C11" s="150">
        <v>2</v>
      </c>
      <c r="D11" s="150">
        <f t="shared" si="3"/>
        <v>0</v>
      </c>
      <c r="E11" s="120"/>
      <c r="F11" s="150">
        <v>1</v>
      </c>
      <c r="G11" s="150">
        <v>1</v>
      </c>
      <c r="H11" s="150">
        <f t="shared" si="4"/>
        <v>0</v>
      </c>
      <c r="I11" s="120"/>
      <c r="J11" s="150">
        <v>2</v>
      </c>
      <c r="K11" s="150">
        <v>0</v>
      </c>
      <c r="L11" s="150">
        <f t="shared" si="5"/>
        <v>0</v>
      </c>
      <c r="M11" s="131"/>
      <c r="N11" s="150">
        <v>0</v>
      </c>
      <c r="O11" s="150">
        <v>2</v>
      </c>
      <c r="P11" s="150">
        <f t="shared" si="6"/>
        <v>0</v>
      </c>
      <c r="Q11" s="120"/>
      <c r="R11" s="131">
        <v>3</v>
      </c>
      <c r="S11" s="131">
        <v>0</v>
      </c>
      <c r="T11" s="131">
        <f t="shared" si="7"/>
        <v>0</v>
      </c>
      <c r="U11" s="120"/>
      <c r="V11" s="131">
        <v>1</v>
      </c>
      <c r="W11" s="131">
        <v>1</v>
      </c>
      <c r="X11" s="131">
        <f t="shared" si="8"/>
        <v>0</v>
      </c>
      <c r="Y11" s="120"/>
      <c r="Z11" s="121">
        <f t="shared" si="9"/>
        <v>0</v>
      </c>
      <c r="AA11" s="116" t="str">
        <f t="shared" si="0"/>
        <v>Croacia</v>
      </c>
      <c r="AB11" s="116">
        <f t="shared" si="10"/>
        <v>0</v>
      </c>
      <c r="AC11" s="116" t="str">
        <f t="shared" si="1"/>
        <v>Inglaterra</v>
      </c>
      <c r="AD11" s="116">
        <f t="shared" si="11"/>
        <v>3</v>
      </c>
      <c r="AE11" s="156" t="str">
        <f>Terceros!E12</f>
        <v>Rep.Checa</v>
      </c>
      <c r="AF11" s="116">
        <f t="shared" si="12"/>
        <v>3</v>
      </c>
      <c r="AG11" s="148">
        <f t="shared" si="13"/>
        <v>6</v>
      </c>
      <c r="AJ11" s="132">
        <f t="shared" si="14"/>
        <v>5.5249999999999995</v>
      </c>
      <c r="AK11" s="132">
        <f t="shared" si="15"/>
        <v>7.5569999999999995</v>
      </c>
      <c r="AL11" s="132">
        <f t="shared" si="16"/>
        <v>2.4819999999999998</v>
      </c>
      <c r="AM11" s="132">
        <f t="shared" si="17"/>
        <v>1.4509999999999998</v>
      </c>
      <c r="AN11" s="113">
        <f t="shared" si="18"/>
        <v>2</v>
      </c>
      <c r="AO11" s="113">
        <f t="shared" si="18"/>
        <v>1</v>
      </c>
      <c r="AP11" s="113">
        <f t="shared" si="18"/>
        <v>3</v>
      </c>
      <c r="AQ11" s="113">
        <f t="shared" si="18"/>
        <v>4</v>
      </c>
      <c r="AR11" s="113">
        <f t="shared" si="19"/>
        <v>1</v>
      </c>
      <c r="AS11" s="113">
        <f t="shared" si="20"/>
        <v>1</v>
      </c>
    </row>
    <row r="12" spans="1:45">
      <c r="A12" s="129" t="str">
        <f>Participantes!B9</f>
        <v>Oliver Amaya</v>
      </c>
      <c r="B12" s="150">
        <v>1</v>
      </c>
      <c r="C12" s="150">
        <v>0</v>
      </c>
      <c r="D12" s="150">
        <f t="shared" si="3"/>
        <v>3</v>
      </c>
      <c r="E12" s="120"/>
      <c r="F12" s="150">
        <v>0</v>
      </c>
      <c r="G12" s="150">
        <v>0</v>
      </c>
      <c r="H12" s="150">
        <f t="shared" si="4"/>
        <v>0</v>
      </c>
      <c r="I12" s="120"/>
      <c r="J12" s="150">
        <v>1</v>
      </c>
      <c r="K12" s="150">
        <v>1</v>
      </c>
      <c r="L12" s="150">
        <f t="shared" si="5"/>
        <v>3</v>
      </c>
      <c r="M12" s="131"/>
      <c r="N12" s="150">
        <v>0</v>
      </c>
      <c r="O12" s="150">
        <v>2</v>
      </c>
      <c r="P12" s="150">
        <f t="shared" si="6"/>
        <v>0</v>
      </c>
      <c r="Q12" s="120"/>
      <c r="R12" s="131">
        <v>1</v>
      </c>
      <c r="S12" s="131">
        <v>0</v>
      </c>
      <c r="T12" s="131">
        <f t="shared" si="7"/>
        <v>0</v>
      </c>
      <c r="U12" s="120"/>
      <c r="V12" s="131">
        <v>2</v>
      </c>
      <c r="W12" s="131">
        <v>2</v>
      </c>
      <c r="X12" s="131">
        <f t="shared" si="8"/>
        <v>0</v>
      </c>
      <c r="Y12" s="120"/>
      <c r="Z12" s="121">
        <f t="shared" si="9"/>
        <v>6</v>
      </c>
      <c r="AA12" s="116" t="str">
        <f t="shared" si="0"/>
        <v>Inglaterra</v>
      </c>
      <c r="AB12" s="116">
        <f t="shared" si="10"/>
        <v>6</v>
      </c>
      <c r="AC12" s="116" t="str">
        <f t="shared" si="1"/>
        <v>Croacia</v>
      </c>
      <c r="AD12" s="116">
        <f t="shared" si="11"/>
        <v>0</v>
      </c>
      <c r="AE12" s="156" t="str">
        <f>Terceros!E13</f>
        <v>Rep.Checa</v>
      </c>
      <c r="AF12" s="116">
        <f t="shared" si="12"/>
        <v>3</v>
      </c>
      <c r="AG12" s="148">
        <f t="shared" si="13"/>
        <v>15</v>
      </c>
      <c r="AJ12" s="132">
        <f t="shared" si="14"/>
        <v>7.5350000000000001</v>
      </c>
      <c r="AK12" s="132">
        <f t="shared" si="15"/>
        <v>4.5019999999999998</v>
      </c>
      <c r="AL12" s="132">
        <f t="shared" si="16"/>
        <v>3.5030000000000001</v>
      </c>
      <c r="AM12" s="132">
        <f t="shared" si="17"/>
        <v>1.47</v>
      </c>
      <c r="AN12" s="113">
        <f t="shared" si="18"/>
        <v>1</v>
      </c>
      <c r="AO12" s="113">
        <f t="shared" si="18"/>
        <v>2</v>
      </c>
      <c r="AP12" s="113">
        <f t="shared" si="18"/>
        <v>3</v>
      </c>
      <c r="AQ12" s="113">
        <f t="shared" si="18"/>
        <v>4</v>
      </c>
      <c r="AR12" s="113">
        <f t="shared" si="19"/>
        <v>1</v>
      </c>
      <c r="AS12" s="113">
        <f t="shared" si="20"/>
        <v>1</v>
      </c>
    </row>
    <row r="13" spans="1:45">
      <c r="A13" s="129" t="str">
        <f>Participantes!B10</f>
        <v>Radames Guerrero</v>
      </c>
      <c r="B13" s="150">
        <v>2</v>
      </c>
      <c r="C13" s="150">
        <v>2</v>
      </c>
      <c r="D13" s="150">
        <f t="shared" si="3"/>
        <v>0</v>
      </c>
      <c r="E13" s="120"/>
      <c r="F13" s="150">
        <v>2</v>
      </c>
      <c r="G13" s="150">
        <v>0</v>
      </c>
      <c r="H13" s="150">
        <f t="shared" si="4"/>
        <v>3</v>
      </c>
      <c r="I13" s="120"/>
      <c r="J13" s="150">
        <v>1</v>
      </c>
      <c r="K13" s="150">
        <v>3</v>
      </c>
      <c r="L13" s="150">
        <f t="shared" si="5"/>
        <v>0</v>
      </c>
      <c r="M13" s="131"/>
      <c r="N13" s="150">
        <v>0</v>
      </c>
      <c r="O13" s="150">
        <v>3</v>
      </c>
      <c r="P13" s="150">
        <f t="shared" si="6"/>
        <v>0</v>
      </c>
      <c r="Q13" s="120"/>
      <c r="R13" s="131">
        <v>2</v>
      </c>
      <c r="S13" s="131">
        <v>1</v>
      </c>
      <c r="T13" s="131">
        <f t="shared" si="7"/>
        <v>0</v>
      </c>
      <c r="U13" s="120"/>
      <c r="V13" s="131">
        <v>1</v>
      </c>
      <c r="W13" s="131">
        <v>0</v>
      </c>
      <c r="X13" s="131">
        <f t="shared" si="8"/>
        <v>3</v>
      </c>
      <c r="Y13" s="120"/>
      <c r="Z13" s="121">
        <f t="shared" si="9"/>
        <v>6</v>
      </c>
      <c r="AA13" s="116" t="str">
        <f t="shared" si="0"/>
        <v>Inglaterra</v>
      </c>
      <c r="AB13" s="116">
        <f t="shared" si="10"/>
        <v>6</v>
      </c>
      <c r="AC13" s="116" t="str">
        <f t="shared" si="1"/>
        <v>Rep.Checa</v>
      </c>
      <c r="AD13" s="116">
        <f t="shared" si="11"/>
        <v>6</v>
      </c>
      <c r="AE13" s="156" t="str">
        <f>Terceros!E14</f>
        <v>Croacia</v>
      </c>
      <c r="AF13" s="116">
        <f t="shared" si="12"/>
        <v>0</v>
      </c>
      <c r="AG13" s="148">
        <f t="shared" si="13"/>
        <v>18</v>
      </c>
      <c r="AJ13" s="132">
        <f t="shared" si="14"/>
        <v>7.5460000000000003</v>
      </c>
      <c r="AK13" s="132">
        <f t="shared" si="15"/>
        <v>4.4950000000000001</v>
      </c>
      <c r="AL13" s="132">
        <f t="shared" si="16"/>
        <v>6.5350000000000001</v>
      </c>
      <c r="AM13" s="132">
        <f t="shared" si="17"/>
        <v>0.441</v>
      </c>
      <c r="AN13" s="113">
        <f t="shared" si="18"/>
        <v>1</v>
      </c>
      <c r="AO13" s="113">
        <f t="shared" si="18"/>
        <v>3</v>
      </c>
      <c r="AP13" s="113">
        <f t="shared" si="18"/>
        <v>2</v>
      </c>
      <c r="AQ13" s="113">
        <f t="shared" si="18"/>
        <v>4</v>
      </c>
      <c r="AR13" s="113">
        <f t="shared" si="19"/>
        <v>1</v>
      </c>
      <c r="AS13" s="113">
        <f t="shared" si="20"/>
        <v>1</v>
      </c>
    </row>
    <row r="14" spans="1:45">
      <c r="A14" s="129" t="str">
        <f>Participantes!B11</f>
        <v>Effie Latouche</v>
      </c>
      <c r="B14" s="150">
        <v>2</v>
      </c>
      <c r="C14" s="150">
        <v>1</v>
      </c>
      <c r="D14" s="150">
        <f t="shared" si="3"/>
        <v>1</v>
      </c>
      <c r="E14" s="120"/>
      <c r="F14" s="150">
        <v>1</v>
      </c>
      <c r="G14" s="150">
        <v>1</v>
      </c>
      <c r="H14" s="150">
        <f t="shared" si="4"/>
        <v>0</v>
      </c>
      <c r="I14" s="120"/>
      <c r="J14" s="150">
        <v>2</v>
      </c>
      <c r="K14" s="150">
        <v>1</v>
      </c>
      <c r="L14" s="150">
        <f t="shared" si="5"/>
        <v>0</v>
      </c>
      <c r="M14" s="131"/>
      <c r="N14" s="150">
        <v>1</v>
      </c>
      <c r="O14" s="150">
        <v>2</v>
      </c>
      <c r="P14" s="150">
        <f t="shared" si="6"/>
        <v>0</v>
      </c>
      <c r="Q14" s="120"/>
      <c r="R14" s="131">
        <v>2</v>
      </c>
      <c r="S14" s="131">
        <v>1</v>
      </c>
      <c r="T14" s="131">
        <f t="shared" si="7"/>
        <v>0</v>
      </c>
      <c r="U14" s="120"/>
      <c r="V14" s="131">
        <v>2</v>
      </c>
      <c r="W14" s="131">
        <v>1</v>
      </c>
      <c r="X14" s="131">
        <f t="shared" si="8"/>
        <v>1</v>
      </c>
      <c r="Y14" s="120"/>
      <c r="Z14" s="121">
        <f t="shared" si="9"/>
        <v>2</v>
      </c>
      <c r="AA14" s="116" t="str">
        <f t="shared" si="0"/>
        <v>Inglaterra</v>
      </c>
      <c r="AB14" s="116">
        <f t="shared" si="10"/>
        <v>6</v>
      </c>
      <c r="AC14" s="116" t="str">
        <f t="shared" si="1"/>
        <v>Croacia</v>
      </c>
      <c r="AD14" s="116">
        <f t="shared" si="11"/>
        <v>0</v>
      </c>
      <c r="AE14" s="156" t="str">
        <f>Terceros!E15</f>
        <v/>
      </c>
      <c r="AF14" s="116">
        <f t="shared" si="12"/>
        <v>0</v>
      </c>
      <c r="AG14" s="148">
        <f t="shared" si="13"/>
        <v>8</v>
      </c>
      <c r="AJ14" s="132">
        <f t="shared" si="14"/>
        <v>9.5359999999999996</v>
      </c>
      <c r="AK14" s="132">
        <f t="shared" si="15"/>
        <v>6.5149999999999997</v>
      </c>
      <c r="AL14" s="132">
        <f t="shared" si="16"/>
        <v>1.4829999999999999</v>
      </c>
      <c r="AM14" s="132">
        <f t="shared" si="17"/>
        <v>1.4829999999999999</v>
      </c>
      <c r="AN14" s="113">
        <f t="shared" si="18"/>
        <v>1</v>
      </c>
      <c r="AO14" s="113">
        <f t="shared" si="18"/>
        <v>2</v>
      </c>
      <c r="AP14" s="113">
        <f t="shared" si="18"/>
        <v>3</v>
      </c>
      <c r="AQ14" s="113">
        <f t="shared" si="18"/>
        <v>3</v>
      </c>
      <c r="AR14" s="113">
        <f t="shared" si="19"/>
        <v>1</v>
      </c>
      <c r="AS14" s="113">
        <f t="shared" si="20"/>
        <v>1</v>
      </c>
    </row>
    <row r="15" spans="1:45">
      <c r="A15" s="129" t="str">
        <f>Participantes!B12</f>
        <v>Sandra Badilla</v>
      </c>
      <c r="B15" s="150">
        <v>2</v>
      </c>
      <c r="C15" s="150">
        <v>1</v>
      </c>
      <c r="D15" s="150">
        <f t="shared" si="3"/>
        <v>1</v>
      </c>
      <c r="E15" s="120"/>
      <c r="F15" s="150">
        <v>1</v>
      </c>
      <c r="G15" s="150">
        <v>0</v>
      </c>
      <c r="H15" s="150">
        <f t="shared" si="4"/>
        <v>1</v>
      </c>
      <c r="I15" s="120"/>
      <c r="J15" s="150">
        <v>0</v>
      </c>
      <c r="K15" s="150">
        <v>0</v>
      </c>
      <c r="L15" s="150">
        <f t="shared" si="5"/>
        <v>1</v>
      </c>
      <c r="M15" s="131"/>
      <c r="N15" s="150">
        <v>1</v>
      </c>
      <c r="O15" s="150">
        <v>3</v>
      </c>
      <c r="P15" s="150">
        <f t="shared" si="6"/>
        <v>0</v>
      </c>
      <c r="Q15" s="120"/>
      <c r="R15" s="131">
        <v>0</v>
      </c>
      <c r="S15" s="131">
        <v>0</v>
      </c>
      <c r="T15" s="131">
        <f t="shared" si="7"/>
        <v>3</v>
      </c>
      <c r="U15" s="120"/>
      <c r="V15" s="131">
        <v>2</v>
      </c>
      <c r="W15" s="131">
        <v>1</v>
      </c>
      <c r="X15" s="131">
        <f t="shared" si="8"/>
        <v>1</v>
      </c>
      <c r="Y15" s="120"/>
      <c r="Z15" s="121">
        <f t="shared" si="9"/>
        <v>7</v>
      </c>
      <c r="AA15" s="116" t="str">
        <f t="shared" si="0"/>
        <v>Inglaterra</v>
      </c>
      <c r="AB15" s="116">
        <f t="shared" si="10"/>
        <v>6</v>
      </c>
      <c r="AC15" s="116" t="str">
        <f t="shared" si="1"/>
        <v>Rep.Checa</v>
      </c>
      <c r="AD15" s="116">
        <f t="shared" si="11"/>
        <v>6</v>
      </c>
      <c r="AE15" s="156" t="str">
        <f>Terceros!E16</f>
        <v/>
      </c>
      <c r="AF15" s="116">
        <f t="shared" si="12"/>
        <v>0</v>
      </c>
      <c r="AG15" s="148">
        <f t="shared" si="13"/>
        <v>19</v>
      </c>
      <c r="AJ15" s="132">
        <f t="shared" si="14"/>
        <v>9.5469999999999988</v>
      </c>
      <c r="AK15" s="132">
        <f t="shared" si="15"/>
        <v>2.4909999999999997</v>
      </c>
      <c r="AL15" s="132">
        <f t="shared" si="16"/>
        <v>4.5019999999999998</v>
      </c>
      <c r="AM15" s="132">
        <f t="shared" si="17"/>
        <v>1.4709999999999999</v>
      </c>
      <c r="AN15" s="113">
        <f t="shared" si="18"/>
        <v>1</v>
      </c>
      <c r="AO15" s="113">
        <f t="shared" si="18"/>
        <v>3</v>
      </c>
      <c r="AP15" s="113">
        <f t="shared" si="18"/>
        <v>2</v>
      </c>
      <c r="AQ15" s="113">
        <f t="shared" si="18"/>
        <v>4</v>
      </c>
      <c r="AR15" s="113">
        <f t="shared" si="19"/>
        <v>1</v>
      </c>
      <c r="AS15" s="113">
        <f t="shared" si="20"/>
        <v>1</v>
      </c>
    </row>
    <row r="16" spans="1:45">
      <c r="A16" s="129" t="str">
        <f>Participantes!B13</f>
        <v>Samantha Montero 1</v>
      </c>
      <c r="B16" s="150">
        <v>3</v>
      </c>
      <c r="C16" s="150">
        <v>2</v>
      </c>
      <c r="D16" s="150">
        <f t="shared" si="3"/>
        <v>1</v>
      </c>
      <c r="E16" s="120"/>
      <c r="F16" s="150">
        <v>2</v>
      </c>
      <c r="G16" s="150">
        <v>1</v>
      </c>
      <c r="H16" s="150">
        <f t="shared" si="4"/>
        <v>1</v>
      </c>
      <c r="I16" s="120"/>
      <c r="J16" s="150">
        <v>3</v>
      </c>
      <c r="K16" s="150">
        <v>2</v>
      </c>
      <c r="L16" s="150">
        <f t="shared" si="5"/>
        <v>0</v>
      </c>
      <c r="M16" s="131"/>
      <c r="N16" s="150">
        <v>1</v>
      </c>
      <c r="O16" s="150">
        <v>4</v>
      </c>
      <c r="P16" s="150">
        <f t="shared" si="6"/>
        <v>0</v>
      </c>
      <c r="Q16" s="120"/>
      <c r="R16" s="131">
        <v>2</v>
      </c>
      <c r="S16" s="131">
        <v>1</v>
      </c>
      <c r="T16" s="131">
        <f t="shared" si="7"/>
        <v>0</v>
      </c>
      <c r="U16" s="120"/>
      <c r="V16" s="131">
        <v>3</v>
      </c>
      <c r="W16" s="131">
        <v>1</v>
      </c>
      <c r="X16" s="131">
        <f t="shared" si="8"/>
        <v>1</v>
      </c>
      <c r="Y16" s="120"/>
      <c r="Z16" s="121">
        <f t="shared" si="9"/>
        <v>3</v>
      </c>
      <c r="AA16" s="116" t="str">
        <f t="shared" si="0"/>
        <v>Inglaterra</v>
      </c>
      <c r="AB16" s="116">
        <f t="shared" si="10"/>
        <v>6</v>
      </c>
      <c r="AC16" s="116" t="str">
        <f t="shared" si="1"/>
        <v>Croacia</v>
      </c>
      <c r="AD16" s="116">
        <f t="shared" si="11"/>
        <v>0</v>
      </c>
      <c r="AE16" s="156" t="str">
        <f>Terceros!E17</f>
        <v>Rep.Checa</v>
      </c>
      <c r="AF16" s="116">
        <f t="shared" si="12"/>
        <v>3</v>
      </c>
      <c r="AG16" s="148">
        <f t="shared" si="13"/>
        <v>12</v>
      </c>
      <c r="AJ16" s="132">
        <f t="shared" si="14"/>
        <v>9.57</v>
      </c>
      <c r="AK16" s="132">
        <f t="shared" si="15"/>
        <v>6.5169999999999995</v>
      </c>
      <c r="AL16" s="132">
        <f t="shared" si="16"/>
        <v>3.4849999999999999</v>
      </c>
      <c r="AM16" s="132">
        <f t="shared" si="17"/>
        <v>0.45300000000000001</v>
      </c>
      <c r="AN16" s="113">
        <f t="shared" si="18"/>
        <v>1</v>
      </c>
      <c r="AO16" s="113">
        <f t="shared" si="18"/>
        <v>2</v>
      </c>
      <c r="AP16" s="113">
        <f t="shared" si="18"/>
        <v>3</v>
      </c>
      <c r="AQ16" s="113">
        <f t="shared" si="18"/>
        <v>4</v>
      </c>
      <c r="AR16" s="113">
        <f t="shared" si="19"/>
        <v>1</v>
      </c>
      <c r="AS16" s="113">
        <f t="shared" si="20"/>
        <v>1</v>
      </c>
    </row>
    <row r="17" spans="1:45">
      <c r="A17" s="129" t="str">
        <f>Participantes!B14</f>
        <v>Samantha Mont. 2 (Jairo)</v>
      </c>
      <c r="B17" s="150">
        <v>4</v>
      </c>
      <c r="C17" s="150">
        <v>2</v>
      </c>
      <c r="D17" s="150">
        <f t="shared" si="3"/>
        <v>1</v>
      </c>
      <c r="E17" s="120"/>
      <c r="F17" s="150">
        <v>2</v>
      </c>
      <c r="G17" s="150">
        <v>1</v>
      </c>
      <c r="H17" s="150">
        <f t="shared" si="4"/>
        <v>1</v>
      </c>
      <c r="I17" s="120"/>
      <c r="J17" s="150">
        <v>3</v>
      </c>
      <c r="K17" s="150">
        <v>1</v>
      </c>
      <c r="L17" s="150">
        <f t="shared" si="5"/>
        <v>0</v>
      </c>
      <c r="M17" s="131"/>
      <c r="N17" s="150">
        <v>0</v>
      </c>
      <c r="O17" s="150">
        <v>3</v>
      </c>
      <c r="P17" s="150">
        <f t="shared" si="6"/>
        <v>0</v>
      </c>
      <c r="Q17" s="120"/>
      <c r="R17" s="131">
        <v>2</v>
      </c>
      <c r="S17" s="131">
        <v>2</v>
      </c>
      <c r="T17" s="131">
        <f t="shared" si="7"/>
        <v>1</v>
      </c>
      <c r="U17" s="120"/>
      <c r="V17" s="131">
        <v>4</v>
      </c>
      <c r="W17" s="131">
        <v>1</v>
      </c>
      <c r="X17" s="131">
        <f t="shared" si="8"/>
        <v>1</v>
      </c>
      <c r="Y17" s="120"/>
      <c r="Z17" s="121">
        <f t="shared" si="9"/>
        <v>4</v>
      </c>
      <c r="AA17" s="116" t="str">
        <f t="shared" si="0"/>
        <v>Inglaterra</v>
      </c>
      <c r="AB17" s="116">
        <f t="shared" si="10"/>
        <v>6</v>
      </c>
      <c r="AC17" s="116" t="str">
        <f t="shared" si="1"/>
        <v>Croacia</v>
      </c>
      <c r="AD17" s="116">
        <f t="shared" si="11"/>
        <v>0</v>
      </c>
      <c r="AE17" s="156" t="str">
        <f>Terceros!E18</f>
        <v>Rep.Checa</v>
      </c>
      <c r="AF17" s="116">
        <f t="shared" si="12"/>
        <v>3</v>
      </c>
      <c r="AG17" s="148">
        <f t="shared" si="13"/>
        <v>13</v>
      </c>
      <c r="AJ17" s="132">
        <f t="shared" si="14"/>
        <v>9.5909999999999993</v>
      </c>
      <c r="AK17" s="132">
        <f t="shared" si="15"/>
        <v>4.5069999999999997</v>
      </c>
      <c r="AL17" s="132">
        <f t="shared" si="16"/>
        <v>3.464</v>
      </c>
      <c r="AM17" s="132">
        <f t="shared" si="17"/>
        <v>1.4629999999999999</v>
      </c>
      <c r="AN17" s="113">
        <f t="shared" si="18"/>
        <v>1</v>
      </c>
      <c r="AO17" s="113">
        <f t="shared" si="18"/>
        <v>2</v>
      </c>
      <c r="AP17" s="113">
        <f t="shared" si="18"/>
        <v>3</v>
      </c>
      <c r="AQ17" s="113">
        <f t="shared" si="18"/>
        <v>4</v>
      </c>
      <c r="AR17" s="113">
        <f t="shared" si="19"/>
        <v>1</v>
      </c>
      <c r="AS17" s="113">
        <f t="shared" si="20"/>
        <v>1</v>
      </c>
    </row>
    <row r="18" spans="1:45">
      <c r="A18" s="129" t="str">
        <f>Participantes!B15</f>
        <v>Samantha Mont. 3(Jafet)</v>
      </c>
      <c r="B18" s="150">
        <v>2</v>
      </c>
      <c r="C18" s="150">
        <v>2</v>
      </c>
      <c r="D18" s="150">
        <f t="shared" si="3"/>
        <v>0</v>
      </c>
      <c r="E18" s="120"/>
      <c r="F18" s="150">
        <v>1</v>
      </c>
      <c r="G18" s="150">
        <v>1</v>
      </c>
      <c r="H18" s="150">
        <f t="shared" si="4"/>
        <v>0</v>
      </c>
      <c r="I18" s="120"/>
      <c r="J18" s="150">
        <v>3</v>
      </c>
      <c r="K18" s="150">
        <v>1</v>
      </c>
      <c r="L18" s="150">
        <f t="shared" si="5"/>
        <v>0</v>
      </c>
      <c r="M18" s="131"/>
      <c r="N18" s="150">
        <v>0</v>
      </c>
      <c r="O18" s="150">
        <v>2</v>
      </c>
      <c r="P18" s="150">
        <f t="shared" si="6"/>
        <v>0</v>
      </c>
      <c r="Q18" s="120"/>
      <c r="R18" s="131">
        <v>2</v>
      </c>
      <c r="S18" s="131">
        <v>0</v>
      </c>
      <c r="T18" s="131">
        <f t="shared" si="7"/>
        <v>0</v>
      </c>
      <c r="U18" s="120"/>
      <c r="V18" s="131">
        <v>2</v>
      </c>
      <c r="W18" s="131">
        <v>1</v>
      </c>
      <c r="X18" s="131">
        <f t="shared" si="8"/>
        <v>1</v>
      </c>
      <c r="Y18" s="120"/>
      <c r="Z18" s="121">
        <f t="shared" si="9"/>
        <v>1</v>
      </c>
      <c r="AA18" s="116" t="str">
        <f t="shared" si="0"/>
        <v>Croacia</v>
      </c>
      <c r="AB18" s="116">
        <f t="shared" si="10"/>
        <v>0</v>
      </c>
      <c r="AC18" s="116" t="str">
        <f t="shared" si="1"/>
        <v>Inglaterra</v>
      </c>
      <c r="AD18" s="116">
        <f t="shared" si="11"/>
        <v>3</v>
      </c>
      <c r="AE18" s="156" t="str">
        <f>Terceros!E19</f>
        <v/>
      </c>
      <c r="AF18" s="116">
        <f t="shared" si="12"/>
        <v>0</v>
      </c>
      <c r="AG18" s="148">
        <f t="shared" si="13"/>
        <v>4</v>
      </c>
      <c r="AJ18" s="132">
        <f t="shared" si="14"/>
        <v>7.5360000000000005</v>
      </c>
      <c r="AK18" s="132">
        <f t="shared" si="15"/>
        <v>7.5469999999999997</v>
      </c>
      <c r="AL18" s="132">
        <f t="shared" si="16"/>
        <v>1.4729999999999999</v>
      </c>
      <c r="AM18" s="132">
        <f t="shared" si="17"/>
        <v>1.4609999999999999</v>
      </c>
      <c r="AN18" s="113">
        <f t="shared" si="18"/>
        <v>2</v>
      </c>
      <c r="AO18" s="113">
        <f t="shared" si="18"/>
        <v>1</v>
      </c>
      <c r="AP18" s="113">
        <f t="shared" si="18"/>
        <v>3</v>
      </c>
      <c r="AQ18" s="113">
        <f t="shared" si="18"/>
        <v>4</v>
      </c>
      <c r="AR18" s="113">
        <f t="shared" si="19"/>
        <v>1</v>
      </c>
      <c r="AS18" s="113">
        <f t="shared" si="20"/>
        <v>1</v>
      </c>
    </row>
    <row r="19" spans="1:45">
      <c r="A19" s="129" t="str">
        <f>Participantes!B16</f>
        <v>Mileny Acosta</v>
      </c>
      <c r="B19" s="150">
        <v>0</v>
      </c>
      <c r="C19" s="150">
        <v>0</v>
      </c>
      <c r="D19" s="150">
        <f t="shared" si="3"/>
        <v>0</v>
      </c>
      <c r="E19" s="120"/>
      <c r="F19" s="150">
        <v>1</v>
      </c>
      <c r="G19" s="150">
        <v>0</v>
      </c>
      <c r="H19" s="150">
        <f t="shared" si="4"/>
        <v>1</v>
      </c>
      <c r="I19" s="120"/>
      <c r="J19" s="150">
        <v>2</v>
      </c>
      <c r="K19" s="150">
        <v>0</v>
      </c>
      <c r="L19" s="150">
        <f t="shared" si="5"/>
        <v>0</v>
      </c>
      <c r="M19" s="131"/>
      <c r="N19" s="150">
        <v>1</v>
      </c>
      <c r="O19" s="150">
        <v>3</v>
      </c>
      <c r="P19" s="150">
        <f t="shared" si="6"/>
        <v>0</v>
      </c>
      <c r="Q19" s="120"/>
      <c r="R19" s="131">
        <v>3</v>
      </c>
      <c r="S19" s="131">
        <v>0</v>
      </c>
      <c r="T19" s="131">
        <f t="shared" si="7"/>
        <v>0</v>
      </c>
      <c r="U19" s="120"/>
      <c r="V19" s="131">
        <v>2</v>
      </c>
      <c r="W19" s="131">
        <v>0</v>
      </c>
      <c r="X19" s="131">
        <f t="shared" si="8"/>
        <v>1</v>
      </c>
      <c r="Y19" s="120"/>
      <c r="Z19" s="121">
        <f t="shared" si="9"/>
        <v>2</v>
      </c>
      <c r="AA19" s="116" t="str">
        <f t="shared" si="0"/>
        <v>Croacia</v>
      </c>
      <c r="AB19" s="116">
        <f t="shared" si="10"/>
        <v>0</v>
      </c>
      <c r="AC19" s="116" t="str">
        <f t="shared" si="1"/>
        <v>Inglaterra</v>
      </c>
      <c r="AD19" s="116">
        <f t="shared" si="11"/>
        <v>3</v>
      </c>
      <c r="AE19" s="156" t="str">
        <f>Terceros!E20</f>
        <v/>
      </c>
      <c r="AF19" s="116">
        <f t="shared" si="12"/>
        <v>0</v>
      </c>
      <c r="AG19" s="148">
        <f t="shared" si="13"/>
        <v>5</v>
      </c>
      <c r="AJ19" s="132">
        <f t="shared" si="14"/>
        <v>7.5449999999999999</v>
      </c>
      <c r="AK19" s="132">
        <f t="shared" si="15"/>
        <v>7.5549999999999997</v>
      </c>
      <c r="AL19" s="132">
        <f t="shared" si="16"/>
        <v>3.4710000000000001</v>
      </c>
      <c r="AM19" s="132">
        <f t="shared" si="17"/>
        <v>0.441</v>
      </c>
      <c r="AN19" s="113">
        <f t="shared" si="18"/>
        <v>2</v>
      </c>
      <c r="AO19" s="113">
        <f t="shared" si="18"/>
        <v>1</v>
      </c>
      <c r="AP19" s="113">
        <f t="shared" si="18"/>
        <v>3</v>
      </c>
      <c r="AQ19" s="113">
        <f t="shared" si="18"/>
        <v>4</v>
      </c>
      <c r="AR19" s="113">
        <f t="shared" si="19"/>
        <v>1</v>
      </c>
      <c r="AS19" s="113">
        <f t="shared" si="20"/>
        <v>1</v>
      </c>
    </row>
    <row r="20" spans="1:45">
      <c r="A20" s="129" t="str">
        <f>Participantes!B17</f>
        <v>Mileny Acosta(CF)</v>
      </c>
      <c r="B20" s="150">
        <v>2</v>
      </c>
      <c r="C20" s="150">
        <v>3</v>
      </c>
      <c r="D20" s="150">
        <f t="shared" si="3"/>
        <v>0</v>
      </c>
      <c r="E20" s="120"/>
      <c r="F20" s="150">
        <v>2</v>
      </c>
      <c r="G20" s="150">
        <v>1</v>
      </c>
      <c r="H20" s="150">
        <f t="shared" si="4"/>
        <v>1</v>
      </c>
      <c r="I20" s="120"/>
      <c r="J20" s="150">
        <v>2</v>
      </c>
      <c r="K20" s="150">
        <v>1</v>
      </c>
      <c r="L20" s="150">
        <f t="shared" si="5"/>
        <v>0</v>
      </c>
      <c r="M20" s="131"/>
      <c r="N20" s="150">
        <v>1</v>
      </c>
      <c r="O20" s="150">
        <v>3</v>
      </c>
      <c r="P20" s="150">
        <f t="shared" si="6"/>
        <v>0</v>
      </c>
      <c r="Q20" s="120"/>
      <c r="R20" s="131">
        <v>2</v>
      </c>
      <c r="S20" s="131">
        <v>0</v>
      </c>
      <c r="T20" s="131">
        <f t="shared" si="7"/>
        <v>0</v>
      </c>
      <c r="U20" s="120"/>
      <c r="V20" s="131">
        <v>2</v>
      </c>
      <c r="W20" s="131">
        <v>0</v>
      </c>
      <c r="X20" s="131">
        <f t="shared" si="8"/>
        <v>1</v>
      </c>
      <c r="Y20" s="120"/>
      <c r="Z20" s="121">
        <f t="shared" si="9"/>
        <v>2</v>
      </c>
      <c r="AA20" s="116" t="str">
        <f t="shared" si="0"/>
        <v>Croacia</v>
      </c>
      <c r="AB20" s="116">
        <f t="shared" si="10"/>
        <v>0</v>
      </c>
      <c r="AC20" s="116" t="str">
        <f t="shared" si="1"/>
        <v>Inglaterra</v>
      </c>
      <c r="AD20" s="116">
        <f t="shared" si="11"/>
        <v>3</v>
      </c>
      <c r="AE20" s="156" t="str">
        <f>Terceros!E21</f>
        <v>Rep.Checa</v>
      </c>
      <c r="AF20" s="116">
        <f t="shared" si="12"/>
        <v>3</v>
      </c>
      <c r="AG20" s="148">
        <f t="shared" si="13"/>
        <v>8</v>
      </c>
      <c r="AJ20" s="132">
        <f t="shared" si="14"/>
        <v>6.5369999999999999</v>
      </c>
      <c r="AK20" s="132">
        <f t="shared" si="15"/>
        <v>9.5469999999999988</v>
      </c>
      <c r="AL20" s="132">
        <f t="shared" si="16"/>
        <v>3.4830000000000001</v>
      </c>
      <c r="AM20" s="132">
        <f t="shared" si="17"/>
        <v>0.45200000000000001</v>
      </c>
      <c r="AN20" s="113">
        <f t="shared" si="18"/>
        <v>2</v>
      </c>
      <c r="AO20" s="113">
        <f t="shared" si="18"/>
        <v>1</v>
      </c>
      <c r="AP20" s="113">
        <f t="shared" si="18"/>
        <v>3</v>
      </c>
      <c r="AQ20" s="113">
        <f t="shared" si="18"/>
        <v>4</v>
      </c>
      <c r="AR20" s="113">
        <f t="shared" si="19"/>
        <v>1</v>
      </c>
      <c r="AS20" s="113">
        <f t="shared" si="20"/>
        <v>1</v>
      </c>
    </row>
    <row r="21" spans="1:45">
      <c r="A21" s="129" t="str">
        <f>Participantes!B18</f>
        <v>Juan Rojas</v>
      </c>
      <c r="B21" s="150">
        <v>1</v>
      </c>
      <c r="C21" s="150">
        <v>1</v>
      </c>
      <c r="D21" s="150">
        <f t="shared" si="3"/>
        <v>0</v>
      </c>
      <c r="E21" s="120"/>
      <c r="F21" s="150">
        <v>0</v>
      </c>
      <c r="G21" s="150">
        <v>0</v>
      </c>
      <c r="H21" s="150">
        <f t="shared" si="4"/>
        <v>0</v>
      </c>
      <c r="I21" s="120"/>
      <c r="J21" s="150">
        <v>1</v>
      </c>
      <c r="K21" s="150">
        <v>0</v>
      </c>
      <c r="L21" s="150">
        <f t="shared" si="5"/>
        <v>0</v>
      </c>
      <c r="M21" s="131"/>
      <c r="N21" s="150">
        <v>1</v>
      </c>
      <c r="O21" s="150">
        <v>2</v>
      </c>
      <c r="P21" s="150">
        <f t="shared" si="6"/>
        <v>0</v>
      </c>
      <c r="Q21" s="120"/>
      <c r="R21" s="131">
        <v>2</v>
      </c>
      <c r="S21" s="131">
        <v>0</v>
      </c>
      <c r="T21" s="131">
        <f t="shared" si="7"/>
        <v>0</v>
      </c>
      <c r="U21" s="120"/>
      <c r="V21" s="131">
        <v>2</v>
      </c>
      <c r="W21" s="131">
        <v>1</v>
      </c>
      <c r="X21" s="131">
        <f t="shared" si="8"/>
        <v>1</v>
      </c>
      <c r="Y21" s="120"/>
      <c r="Z21" s="121">
        <f t="shared" si="9"/>
        <v>1</v>
      </c>
      <c r="AA21" s="116" t="str">
        <f t="shared" si="0"/>
        <v>Croacia</v>
      </c>
      <c r="AB21" s="116">
        <f t="shared" si="10"/>
        <v>0</v>
      </c>
      <c r="AC21" s="116" t="str">
        <f t="shared" si="1"/>
        <v>Inglaterra</v>
      </c>
      <c r="AD21" s="116">
        <f t="shared" si="11"/>
        <v>3</v>
      </c>
      <c r="AE21" s="156" t="str">
        <f>Terceros!E22</f>
        <v/>
      </c>
      <c r="AF21" s="116">
        <f t="shared" si="12"/>
        <v>0</v>
      </c>
      <c r="AG21" s="148">
        <f t="shared" si="13"/>
        <v>4</v>
      </c>
      <c r="AJ21" s="132">
        <f t="shared" si="14"/>
        <v>7.5249999999999995</v>
      </c>
      <c r="AK21" s="132">
        <f t="shared" si="15"/>
        <v>7.5339999999999998</v>
      </c>
      <c r="AL21" s="132">
        <f t="shared" si="16"/>
        <v>1.4809999999999999</v>
      </c>
      <c r="AM21" s="132">
        <f t="shared" si="17"/>
        <v>1.4709999999999999</v>
      </c>
      <c r="AN21" s="113">
        <f t="shared" ref="AN21:AQ27" si="21">_xlfn.RANK.EQ(AJ21,$AJ21:$AM21,0)</f>
        <v>2</v>
      </c>
      <c r="AO21" s="113">
        <f t="shared" si="21"/>
        <v>1</v>
      </c>
      <c r="AP21" s="113">
        <f t="shared" si="21"/>
        <v>3</v>
      </c>
      <c r="AQ21" s="113">
        <f t="shared" si="21"/>
        <v>4</v>
      </c>
      <c r="AR21" s="113">
        <f t="shared" si="19"/>
        <v>1</v>
      </c>
      <c r="AS21" s="113">
        <f t="shared" si="20"/>
        <v>1</v>
      </c>
    </row>
    <row r="22" spans="1:45">
      <c r="A22" s="129" t="str">
        <f>Participantes!B19</f>
        <v>Bilis Cedeño</v>
      </c>
      <c r="B22" s="150">
        <v>1</v>
      </c>
      <c r="C22" s="150">
        <v>1</v>
      </c>
      <c r="D22" s="150">
        <f t="shared" si="3"/>
        <v>0</v>
      </c>
      <c r="E22" s="120"/>
      <c r="F22" s="150">
        <v>0</v>
      </c>
      <c r="G22" s="150">
        <v>1</v>
      </c>
      <c r="H22" s="150">
        <f t="shared" si="4"/>
        <v>0</v>
      </c>
      <c r="I22" s="120"/>
      <c r="J22" s="150">
        <v>2</v>
      </c>
      <c r="K22" s="150">
        <v>0</v>
      </c>
      <c r="L22" s="150">
        <f t="shared" si="5"/>
        <v>0</v>
      </c>
      <c r="M22" s="131"/>
      <c r="N22" s="150">
        <v>0</v>
      </c>
      <c r="O22" s="150">
        <v>2</v>
      </c>
      <c r="P22" s="150">
        <f t="shared" si="6"/>
        <v>0</v>
      </c>
      <c r="Q22" s="120"/>
      <c r="R22" s="131">
        <v>1</v>
      </c>
      <c r="S22" s="131">
        <v>0</v>
      </c>
      <c r="T22" s="131">
        <f t="shared" si="7"/>
        <v>0</v>
      </c>
      <c r="U22" s="120"/>
      <c r="V22" s="131">
        <v>2</v>
      </c>
      <c r="W22" s="131">
        <v>1</v>
      </c>
      <c r="X22" s="131">
        <f t="shared" si="8"/>
        <v>1</v>
      </c>
      <c r="Y22" s="120"/>
      <c r="Z22" s="121">
        <f t="shared" si="9"/>
        <v>1</v>
      </c>
      <c r="AA22" s="116" t="str">
        <f t="shared" si="0"/>
        <v>Inglaterra</v>
      </c>
      <c r="AB22" s="116">
        <f t="shared" si="10"/>
        <v>6</v>
      </c>
      <c r="AC22" s="116" t="str">
        <f t="shared" si="1"/>
        <v>Croacia</v>
      </c>
      <c r="AD22" s="116">
        <f t="shared" si="11"/>
        <v>0</v>
      </c>
      <c r="AE22" s="156" t="str">
        <f>Terceros!E23</f>
        <v/>
      </c>
      <c r="AF22" s="116">
        <f t="shared" si="12"/>
        <v>0</v>
      </c>
      <c r="AG22" s="148">
        <f t="shared" si="13"/>
        <v>7</v>
      </c>
      <c r="AJ22" s="132">
        <f t="shared" si="14"/>
        <v>7.5350000000000001</v>
      </c>
      <c r="AK22" s="132">
        <f t="shared" si="15"/>
        <v>7.5339999999999998</v>
      </c>
      <c r="AL22" s="132">
        <f t="shared" si="16"/>
        <v>0.46100000000000002</v>
      </c>
      <c r="AM22" s="132">
        <f t="shared" si="17"/>
        <v>3.4809999999999999</v>
      </c>
      <c r="AN22" s="113">
        <f t="shared" si="21"/>
        <v>1</v>
      </c>
      <c r="AO22" s="113">
        <f t="shared" si="21"/>
        <v>2</v>
      </c>
      <c r="AP22" s="113">
        <f t="shared" si="21"/>
        <v>4</v>
      </c>
      <c r="AQ22" s="113">
        <f t="shared" si="21"/>
        <v>3</v>
      </c>
      <c r="AR22" s="113">
        <f t="shared" si="19"/>
        <v>1</v>
      </c>
      <c r="AS22" s="113">
        <f t="shared" si="20"/>
        <v>1</v>
      </c>
    </row>
    <row r="23" spans="1:45">
      <c r="A23" s="129" t="str">
        <f>Participantes!B20</f>
        <v>Alfredo Quintero 1</v>
      </c>
      <c r="B23" s="150">
        <v>1</v>
      </c>
      <c r="C23" s="150">
        <v>0</v>
      </c>
      <c r="D23" s="150">
        <f t="shared" si="3"/>
        <v>3</v>
      </c>
      <c r="E23" s="120"/>
      <c r="F23" s="150">
        <v>2</v>
      </c>
      <c r="G23" s="150">
        <v>0</v>
      </c>
      <c r="H23" s="150">
        <f t="shared" si="4"/>
        <v>3</v>
      </c>
      <c r="I23" s="120"/>
      <c r="J23" s="150">
        <v>1</v>
      </c>
      <c r="K23" s="150">
        <v>0</v>
      </c>
      <c r="L23" s="150">
        <f t="shared" si="5"/>
        <v>0</v>
      </c>
      <c r="M23" s="131"/>
      <c r="N23" s="150">
        <v>0</v>
      </c>
      <c r="O23" s="150">
        <v>4</v>
      </c>
      <c r="P23" s="150">
        <f t="shared" si="6"/>
        <v>0</v>
      </c>
      <c r="Q23" s="120"/>
      <c r="R23" s="131">
        <v>3</v>
      </c>
      <c r="S23" s="131">
        <v>0</v>
      </c>
      <c r="T23" s="131">
        <f t="shared" si="7"/>
        <v>0</v>
      </c>
      <c r="U23" s="120"/>
      <c r="V23" s="131">
        <v>2</v>
      </c>
      <c r="W23" s="131">
        <v>1</v>
      </c>
      <c r="X23" s="131">
        <f t="shared" si="8"/>
        <v>1</v>
      </c>
      <c r="Y23" s="120"/>
      <c r="Z23" s="121">
        <f t="shared" si="9"/>
        <v>7</v>
      </c>
      <c r="AA23" s="116" t="str">
        <f t="shared" si="0"/>
        <v>Inglaterra</v>
      </c>
      <c r="AB23" s="116">
        <f t="shared" si="10"/>
        <v>6</v>
      </c>
      <c r="AC23" s="116" t="str">
        <f t="shared" si="1"/>
        <v>Croacia</v>
      </c>
      <c r="AD23" s="116">
        <f t="shared" si="11"/>
        <v>0</v>
      </c>
      <c r="AE23" s="156" t="str">
        <f>Terceros!E24</f>
        <v>Rep.Checa</v>
      </c>
      <c r="AF23" s="116">
        <f t="shared" si="12"/>
        <v>3</v>
      </c>
      <c r="AG23" s="148">
        <f t="shared" si="13"/>
        <v>16</v>
      </c>
      <c r="AJ23" s="132">
        <f t="shared" si="14"/>
        <v>9.5670000000000002</v>
      </c>
      <c r="AK23" s="132">
        <f t="shared" si="15"/>
        <v>6.5339999999999998</v>
      </c>
      <c r="AL23" s="132">
        <f t="shared" si="16"/>
        <v>3.5030000000000001</v>
      </c>
      <c r="AM23" s="132">
        <f t="shared" si="17"/>
        <v>0.41000000000000003</v>
      </c>
      <c r="AN23" s="113">
        <f t="shared" si="21"/>
        <v>1</v>
      </c>
      <c r="AO23" s="113">
        <f t="shared" si="21"/>
        <v>2</v>
      </c>
      <c r="AP23" s="113">
        <f t="shared" si="21"/>
        <v>3</v>
      </c>
      <c r="AQ23" s="113">
        <f t="shared" si="21"/>
        <v>4</v>
      </c>
      <c r="AR23" s="113">
        <f t="shared" si="19"/>
        <v>1</v>
      </c>
      <c r="AS23" s="113">
        <f t="shared" si="20"/>
        <v>1</v>
      </c>
    </row>
    <row r="24" spans="1:45">
      <c r="A24" s="129" t="str">
        <f>Participantes!B21</f>
        <v>Alfredo Quintero 2</v>
      </c>
      <c r="B24" s="150">
        <v>2</v>
      </c>
      <c r="C24" s="150">
        <v>1</v>
      </c>
      <c r="D24" s="150">
        <f t="shared" si="3"/>
        <v>1</v>
      </c>
      <c r="E24" s="120"/>
      <c r="F24" s="150">
        <v>1</v>
      </c>
      <c r="G24" s="150">
        <v>0</v>
      </c>
      <c r="H24" s="150">
        <f t="shared" si="4"/>
        <v>1</v>
      </c>
      <c r="I24" s="120"/>
      <c r="J24" s="150">
        <v>2</v>
      </c>
      <c r="K24" s="150">
        <v>2</v>
      </c>
      <c r="L24" s="150">
        <f t="shared" si="5"/>
        <v>1</v>
      </c>
      <c r="M24" s="131"/>
      <c r="N24" s="150">
        <v>0</v>
      </c>
      <c r="O24" s="150">
        <v>3</v>
      </c>
      <c r="P24" s="150">
        <f t="shared" si="6"/>
        <v>0</v>
      </c>
      <c r="Q24" s="120"/>
      <c r="R24" s="131">
        <v>2</v>
      </c>
      <c r="S24" s="131">
        <v>0</v>
      </c>
      <c r="T24" s="131">
        <f t="shared" si="7"/>
        <v>0</v>
      </c>
      <c r="U24" s="120"/>
      <c r="V24" s="131">
        <v>1</v>
      </c>
      <c r="W24" s="131">
        <v>1</v>
      </c>
      <c r="X24" s="131">
        <f t="shared" si="8"/>
        <v>0</v>
      </c>
      <c r="Y24" s="120"/>
      <c r="Z24" s="121">
        <f t="shared" si="9"/>
        <v>3</v>
      </c>
      <c r="AA24" s="116" t="str">
        <f t="shared" si="0"/>
        <v>Inglaterra</v>
      </c>
      <c r="AB24" s="116">
        <f t="shared" si="10"/>
        <v>6</v>
      </c>
      <c r="AC24" s="116" t="str">
        <f t="shared" si="1"/>
        <v>Rep.Checa</v>
      </c>
      <c r="AD24" s="116">
        <f t="shared" si="11"/>
        <v>6</v>
      </c>
      <c r="AE24" s="156" t="str">
        <f>Terceros!E25</f>
        <v>Croacia</v>
      </c>
      <c r="AF24" s="116">
        <f t="shared" si="12"/>
        <v>0</v>
      </c>
      <c r="AG24" s="148">
        <f t="shared" si="13"/>
        <v>15</v>
      </c>
      <c r="AJ24" s="132">
        <f t="shared" si="14"/>
        <v>7.5460000000000003</v>
      </c>
      <c r="AK24" s="132">
        <f t="shared" si="15"/>
        <v>4.5149999999999997</v>
      </c>
      <c r="AL24" s="132">
        <f t="shared" si="16"/>
        <v>5.5139999999999993</v>
      </c>
      <c r="AM24" s="132">
        <f t="shared" si="17"/>
        <v>0.44</v>
      </c>
      <c r="AN24" s="113">
        <f t="shared" si="21"/>
        <v>1</v>
      </c>
      <c r="AO24" s="113">
        <f t="shared" si="21"/>
        <v>3</v>
      </c>
      <c r="AP24" s="113">
        <f t="shared" si="21"/>
        <v>2</v>
      </c>
      <c r="AQ24" s="113">
        <f t="shared" si="21"/>
        <v>4</v>
      </c>
      <c r="AR24" s="113">
        <f t="shared" si="19"/>
        <v>1</v>
      </c>
      <c r="AS24" s="113">
        <f t="shared" si="20"/>
        <v>1</v>
      </c>
    </row>
    <row r="25" spans="1:45">
      <c r="A25" s="129" t="str">
        <f>Participantes!B22</f>
        <v>Antonio Barahona</v>
      </c>
      <c r="B25" s="150">
        <v>3</v>
      </c>
      <c r="C25" s="150">
        <v>1</v>
      </c>
      <c r="D25" s="150">
        <f t="shared" si="3"/>
        <v>1</v>
      </c>
      <c r="E25" s="120"/>
      <c r="F25" s="150">
        <v>1</v>
      </c>
      <c r="G25" s="150">
        <v>2</v>
      </c>
      <c r="H25" s="150">
        <f t="shared" si="4"/>
        <v>0</v>
      </c>
      <c r="I25" s="120"/>
      <c r="J25" s="150">
        <v>2</v>
      </c>
      <c r="K25" s="150">
        <v>1</v>
      </c>
      <c r="L25" s="150">
        <f t="shared" si="5"/>
        <v>0</v>
      </c>
      <c r="M25" s="131"/>
      <c r="N25" s="150">
        <v>0</v>
      </c>
      <c r="O25" s="150">
        <v>2</v>
      </c>
      <c r="P25" s="150">
        <f t="shared" si="6"/>
        <v>0</v>
      </c>
      <c r="Q25" s="120"/>
      <c r="R25" s="131">
        <v>1</v>
      </c>
      <c r="S25" s="131">
        <v>0</v>
      </c>
      <c r="T25" s="131">
        <f t="shared" si="7"/>
        <v>0</v>
      </c>
      <c r="U25" s="120"/>
      <c r="V25" s="131">
        <v>2</v>
      </c>
      <c r="W25" s="131">
        <v>0</v>
      </c>
      <c r="X25" s="131">
        <f t="shared" si="8"/>
        <v>1</v>
      </c>
      <c r="Y25" s="120"/>
      <c r="Z25" s="121">
        <f t="shared" si="9"/>
        <v>2</v>
      </c>
      <c r="AA25" s="116" t="str">
        <f t="shared" si="0"/>
        <v>Inglaterra</v>
      </c>
      <c r="AB25" s="116">
        <f t="shared" si="10"/>
        <v>6</v>
      </c>
      <c r="AC25" s="116" t="str">
        <f t="shared" si="1"/>
        <v>Croacia</v>
      </c>
      <c r="AD25" s="116">
        <f t="shared" si="11"/>
        <v>0</v>
      </c>
      <c r="AE25" s="156" t="str">
        <f>Terceros!E26</f>
        <v>Escocia</v>
      </c>
      <c r="AF25" s="116">
        <f t="shared" si="12"/>
        <v>0</v>
      </c>
      <c r="AG25" s="148">
        <f t="shared" si="13"/>
        <v>8</v>
      </c>
      <c r="AJ25" s="132">
        <f t="shared" si="14"/>
        <v>9.5670000000000002</v>
      </c>
      <c r="AK25" s="132">
        <f t="shared" si="15"/>
        <v>6.5039999999999996</v>
      </c>
      <c r="AL25" s="132">
        <f t="shared" si="16"/>
        <v>0.46200000000000002</v>
      </c>
      <c r="AM25" s="132">
        <f t="shared" si="17"/>
        <v>3.4819999999999998</v>
      </c>
      <c r="AN25" s="113">
        <f t="shared" si="21"/>
        <v>1</v>
      </c>
      <c r="AO25" s="113">
        <f t="shared" si="21"/>
        <v>2</v>
      </c>
      <c r="AP25" s="113">
        <f t="shared" si="21"/>
        <v>4</v>
      </c>
      <c r="AQ25" s="113">
        <f t="shared" si="21"/>
        <v>3</v>
      </c>
      <c r="AR25" s="113">
        <f t="shared" si="19"/>
        <v>1</v>
      </c>
      <c r="AS25" s="113">
        <f t="shared" si="20"/>
        <v>1</v>
      </c>
    </row>
    <row r="26" spans="1:45">
      <c r="A26" s="129" t="str">
        <f>Participantes!B23</f>
        <v>Jose Caballero 1</v>
      </c>
      <c r="B26" s="150">
        <v>2</v>
      </c>
      <c r="C26" s="150">
        <v>2</v>
      </c>
      <c r="D26" s="150">
        <f t="shared" si="3"/>
        <v>0</v>
      </c>
      <c r="E26" s="120"/>
      <c r="F26" s="150">
        <v>3</v>
      </c>
      <c r="G26" s="150">
        <v>1</v>
      </c>
      <c r="H26" s="150">
        <f t="shared" si="4"/>
        <v>1</v>
      </c>
      <c r="I26" s="120"/>
      <c r="J26" s="150">
        <v>2</v>
      </c>
      <c r="K26" s="150">
        <v>1</v>
      </c>
      <c r="L26" s="150">
        <f t="shared" si="5"/>
        <v>0</v>
      </c>
      <c r="M26" s="131"/>
      <c r="N26" s="150">
        <v>0</v>
      </c>
      <c r="O26" s="150">
        <v>3</v>
      </c>
      <c r="P26" s="150">
        <f t="shared" si="6"/>
        <v>0</v>
      </c>
      <c r="Q26" s="120"/>
      <c r="R26" s="131">
        <v>3</v>
      </c>
      <c r="S26" s="131">
        <v>1</v>
      </c>
      <c r="T26" s="131">
        <f t="shared" si="7"/>
        <v>0</v>
      </c>
      <c r="U26" s="120"/>
      <c r="V26" s="131">
        <v>2</v>
      </c>
      <c r="W26" s="131">
        <v>2</v>
      </c>
      <c r="X26" s="131">
        <f t="shared" si="8"/>
        <v>0</v>
      </c>
      <c r="Y26" s="120"/>
      <c r="Z26" s="121">
        <f t="shared" si="9"/>
        <v>1</v>
      </c>
      <c r="AA26" s="116" t="str">
        <f t="shared" si="0"/>
        <v>Croacia</v>
      </c>
      <c r="AB26" s="116">
        <f t="shared" si="10"/>
        <v>0</v>
      </c>
      <c r="AC26" s="116" t="str">
        <f t="shared" si="1"/>
        <v>Inglaterra</v>
      </c>
      <c r="AD26" s="116">
        <f t="shared" si="11"/>
        <v>3</v>
      </c>
      <c r="AE26" s="156" t="str">
        <f>Terceros!E27</f>
        <v>Rep.Checa</v>
      </c>
      <c r="AF26" s="116">
        <f t="shared" si="12"/>
        <v>3</v>
      </c>
      <c r="AG26" s="148">
        <f t="shared" si="13"/>
        <v>7</v>
      </c>
      <c r="AJ26" s="132">
        <f t="shared" si="14"/>
        <v>5.5369999999999999</v>
      </c>
      <c r="AK26" s="132">
        <f t="shared" si="15"/>
        <v>7.5369999999999999</v>
      </c>
      <c r="AL26" s="132">
        <f t="shared" si="16"/>
        <v>4.516</v>
      </c>
      <c r="AM26" s="132">
        <f t="shared" si="17"/>
        <v>0.432</v>
      </c>
      <c r="AN26" s="113">
        <f t="shared" si="21"/>
        <v>2</v>
      </c>
      <c r="AO26" s="113">
        <f t="shared" si="21"/>
        <v>1</v>
      </c>
      <c r="AP26" s="113">
        <f t="shared" si="21"/>
        <v>3</v>
      </c>
      <c r="AQ26" s="113">
        <f t="shared" si="21"/>
        <v>4</v>
      </c>
      <c r="AR26" s="113">
        <f t="shared" si="19"/>
        <v>1</v>
      </c>
      <c r="AS26" s="113">
        <f t="shared" si="20"/>
        <v>1</v>
      </c>
    </row>
    <row r="27" spans="1:45">
      <c r="A27" s="129" t="str">
        <f>Participantes!B24</f>
        <v>Jose Caballero 2(Betito)</v>
      </c>
      <c r="B27" s="150">
        <v>2</v>
      </c>
      <c r="C27" s="150">
        <v>2</v>
      </c>
      <c r="D27" s="150">
        <f t="shared" si="3"/>
        <v>0</v>
      </c>
      <c r="E27" s="120"/>
      <c r="F27" s="150">
        <v>1</v>
      </c>
      <c r="G27" s="150">
        <v>0</v>
      </c>
      <c r="H27" s="150">
        <f t="shared" si="4"/>
        <v>1</v>
      </c>
      <c r="I27" s="120"/>
      <c r="J27" s="150">
        <v>1</v>
      </c>
      <c r="K27" s="150">
        <v>0</v>
      </c>
      <c r="L27" s="150">
        <f t="shared" si="5"/>
        <v>0</v>
      </c>
      <c r="M27" s="131"/>
      <c r="N27" s="150">
        <v>0</v>
      </c>
      <c r="O27" s="150">
        <v>3</v>
      </c>
      <c r="P27" s="150">
        <f t="shared" si="6"/>
        <v>0</v>
      </c>
      <c r="Q27" s="120"/>
      <c r="R27" s="131">
        <v>3</v>
      </c>
      <c r="S27" s="131">
        <v>0</v>
      </c>
      <c r="T27" s="131">
        <f t="shared" si="7"/>
        <v>0</v>
      </c>
      <c r="U27" s="120"/>
      <c r="V27" s="131">
        <v>3</v>
      </c>
      <c r="W27" s="131">
        <v>2</v>
      </c>
      <c r="X27" s="131">
        <f t="shared" si="8"/>
        <v>1</v>
      </c>
      <c r="Y27" s="120"/>
      <c r="Z27" s="121">
        <f t="shared" si="9"/>
        <v>2</v>
      </c>
      <c r="AA27" s="116" t="str">
        <f t="shared" si="0"/>
        <v>Inglaterra</v>
      </c>
      <c r="AB27" s="116">
        <f t="shared" si="10"/>
        <v>6</v>
      </c>
      <c r="AC27" s="116" t="str">
        <f t="shared" si="1"/>
        <v>Croacia</v>
      </c>
      <c r="AD27" s="116">
        <f t="shared" si="11"/>
        <v>0</v>
      </c>
      <c r="AE27" s="156" t="str">
        <f>Terceros!E28</f>
        <v>Rep.Checa</v>
      </c>
      <c r="AF27" s="116">
        <f t="shared" si="12"/>
        <v>3</v>
      </c>
      <c r="AG27" s="148">
        <f t="shared" si="13"/>
        <v>11</v>
      </c>
      <c r="AJ27" s="132">
        <f t="shared" si="14"/>
        <v>7.548</v>
      </c>
      <c r="AK27" s="132">
        <f t="shared" si="15"/>
        <v>7.5460000000000003</v>
      </c>
      <c r="AL27" s="132">
        <f t="shared" si="16"/>
        <v>3.4930000000000003</v>
      </c>
      <c r="AM27" s="132">
        <f t="shared" si="17"/>
        <v>0.43</v>
      </c>
      <c r="AN27" s="113">
        <f t="shared" si="21"/>
        <v>1</v>
      </c>
      <c r="AO27" s="113">
        <f t="shared" si="21"/>
        <v>2</v>
      </c>
      <c r="AP27" s="113">
        <f t="shared" si="21"/>
        <v>3</v>
      </c>
      <c r="AQ27" s="113">
        <f t="shared" si="21"/>
        <v>4</v>
      </c>
      <c r="AR27" s="113">
        <f t="shared" si="19"/>
        <v>1</v>
      </c>
      <c r="AS27" s="113">
        <f t="shared" si="20"/>
        <v>1</v>
      </c>
    </row>
  </sheetData>
  <mergeCells count="14">
    <mergeCell ref="AG2:AG3"/>
    <mergeCell ref="X2:X3"/>
    <mergeCell ref="Z2:Z3"/>
    <mergeCell ref="B1:D1"/>
    <mergeCell ref="F1:H1"/>
    <mergeCell ref="J1:L1"/>
    <mergeCell ref="N1:P1"/>
    <mergeCell ref="R1:T1"/>
    <mergeCell ref="V1:X1"/>
    <mergeCell ref="D2:D3"/>
    <mergeCell ref="H2:H3"/>
    <mergeCell ref="L2:L3"/>
    <mergeCell ref="P2:P3"/>
    <mergeCell ref="T2:T3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9A936B9-B2A6-4C5A-A4C0-447CA03DE764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2" id="{82A77EEE-9578-4377-9C96-79228BE57D38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3" id="{8FCCE2F4-8426-4133-BE71-0D30BB8FC942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V3:W3</xm:sqref>
        </x14:conditionalFormatting>
        <x14:conditionalFormatting xmlns:xm="http://schemas.microsoft.com/office/excel/2006/main">
          <x14:cfRule type="expression" priority="16" id="{E2B1553D-5399-4123-B6B7-40BA5F77E1DE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7" id="{9ACAD0DA-44F0-47AA-A231-5B7EBA406912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8" id="{E70F3279-2DAA-4839-BE7B-3F343A068EEC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B3:C3</xm:sqref>
        </x14:conditionalFormatting>
        <x14:conditionalFormatting xmlns:xm="http://schemas.microsoft.com/office/excel/2006/main">
          <x14:cfRule type="expression" priority="13" id="{E1C1A365-DF21-4F14-8A19-E5B42563C3D8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4" id="{375EFDD6-9C05-4257-B3B5-9637377DBB64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5" id="{60901124-D753-4A96-80F0-EA6E38C620BC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F3:G3</xm:sqref>
        </x14:conditionalFormatting>
        <x14:conditionalFormatting xmlns:xm="http://schemas.microsoft.com/office/excel/2006/main">
          <x14:cfRule type="expression" priority="10" id="{086BC205-3B5E-4BA5-BB7D-1C527377FDA9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1" id="{F6C7EF55-D27A-490D-84A7-8D3769F43370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2" id="{EE4C9F78-240B-4E37-8C80-B43E83256AB3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J3:K3</xm:sqref>
        </x14:conditionalFormatting>
        <x14:conditionalFormatting xmlns:xm="http://schemas.microsoft.com/office/excel/2006/main">
          <x14:cfRule type="expression" priority="7" id="{F915A4C8-A559-461E-92ED-99859482660A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8" id="{10AA6F53-C154-4DE3-AEAA-8E2B974211B6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9" id="{B150B233-C798-4D38-AEBB-125BBBA7E1C7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N3:O3</xm:sqref>
        </x14:conditionalFormatting>
        <x14:conditionalFormatting xmlns:xm="http://schemas.microsoft.com/office/excel/2006/main">
          <x14:cfRule type="expression" priority="4" id="{F2782A5A-57F9-4BE3-93FD-E4BA7C87E06C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5" id="{9E4D9ED9-D0A7-4C36-A6FA-02E51722B44B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6" id="{D3A7CE03-B966-41C5-8EA3-9F9BCF4955E4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R3:S3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27"/>
  <sheetViews>
    <sheetView topLeftCell="M1" zoomScale="80" zoomScaleNormal="80" workbookViewId="0">
      <selection activeCell="AE3" sqref="AE3"/>
    </sheetView>
  </sheetViews>
  <sheetFormatPr baseColWidth="10" defaultRowHeight="15"/>
  <cols>
    <col min="1" max="1" width="23.7109375" style="119" customWidth="1"/>
    <col min="2" max="2" width="10.5703125" style="119" customWidth="1"/>
    <col min="3" max="3" width="11.5703125" style="119" customWidth="1"/>
    <col min="4" max="4" width="5.85546875" style="133" customWidth="1"/>
    <col min="5" max="5" width="0.5703125" style="133" customWidth="1"/>
    <col min="6" max="7" width="8.7109375" style="133" customWidth="1"/>
    <col min="8" max="8" width="5.85546875" style="133" customWidth="1"/>
    <col min="9" max="9" width="0.5703125" style="133" customWidth="1"/>
    <col min="10" max="10" width="13.7109375" style="133" customWidth="1"/>
    <col min="11" max="11" width="8.7109375" style="133" customWidth="1"/>
    <col min="12" max="12" width="5.85546875" style="133" customWidth="1"/>
    <col min="13" max="13" width="0.5703125" style="133" customWidth="1"/>
    <col min="14" max="15" width="8.7109375" style="133" customWidth="1"/>
    <col min="16" max="16" width="5.85546875" style="133" customWidth="1"/>
    <col min="17" max="17" width="0.5703125" style="133" customWidth="1"/>
    <col min="18" max="18" width="12.28515625" style="133" customWidth="1"/>
    <col min="19" max="19" width="8.7109375" style="133" customWidth="1"/>
    <col min="20" max="20" width="5.85546875" style="133" customWidth="1"/>
    <col min="21" max="21" width="0.5703125" style="133" customWidth="1"/>
    <col min="22" max="23" width="8.7109375" style="119" customWidth="1"/>
    <col min="24" max="24" width="5.85546875" style="133" customWidth="1"/>
    <col min="25" max="25" width="0.5703125" style="133" customWidth="1"/>
    <col min="26" max="26" width="11.42578125" style="119"/>
    <col min="27" max="28" width="11.42578125" style="113"/>
    <col min="29" max="29" width="11.42578125" style="119"/>
    <col min="30" max="30" width="11.42578125" style="113"/>
    <col min="31" max="37" width="11.42578125" style="113" customWidth="1"/>
    <col min="38" max="38" width="6" style="113" customWidth="1"/>
    <col min="39" max="39" width="7" style="113" customWidth="1"/>
    <col min="40" max="40" width="6.7109375" style="113" customWidth="1"/>
    <col min="41" max="41" width="7.85546875" style="113" customWidth="1"/>
    <col min="42" max="42" width="7.140625" style="113" customWidth="1"/>
    <col min="43" max="43" width="5.85546875" style="113" customWidth="1"/>
    <col min="44" max="49" width="11.42578125" style="113" customWidth="1"/>
    <col min="50" max="16384" width="11.42578125" style="113"/>
  </cols>
  <sheetData>
    <row r="1" spans="1:45">
      <c r="B1" s="205">
        <v>1</v>
      </c>
      <c r="C1" s="205"/>
      <c r="D1" s="205"/>
      <c r="E1" s="120"/>
      <c r="F1" s="205">
        <v>2</v>
      </c>
      <c r="G1" s="205"/>
      <c r="H1" s="205"/>
      <c r="I1" s="120"/>
      <c r="J1" s="205">
        <v>3</v>
      </c>
      <c r="K1" s="205"/>
      <c r="L1" s="205"/>
      <c r="M1" s="120"/>
      <c r="N1" s="205">
        <v>4</v>
      </c>
      <c r="O1" s="205"/>
      <c r="P1" s="205"/>
      <c r="Q1" s="120"/>
      <c r="R1" s="205">
        <v>5</v>
      </c>
      <c r="S1" s="205"/>
      <c r="T1" s="205"/>
      <c r="U1" s="120"/>
      <c r="V1" s="205">
        <v>6</v>
      </c>
      <c r="W1" s="205"/>
      <c r="X1" s="205"/>
      <c r="Y1" s="120"/>
      <c r="Z1" s="121"/>
      <c r="AA1" s="148"/>
      <c r="AB1" s="148"/>
      <c r="AC1" s="148"/>
      <c r="AD1" s="148"/>
      <c r="AE1" s="148"/>
      <c r="AF1" s="134"/>
    </row>
    <row r="2" spans="1:45" ht="28.5" customHeight="1">
      <c r="A2" s="122"/>
      <c r="B2" s="123" t="str">
        <f>'H1'!$D33</f>
        <v>Polonia</v>
      </c>
      <c r="C2" s="123" t="str">
        <f>'H1'!$F33</f>
        <v>Eslovaquia</v>
      </c>
      <c r="D2" s="208" t="s">
        <v>1</v>
      </c>
      <c r="E2" s="124"/>
      <c r="F2" s="123" t="str">
        <f>'H1'!D34</f>
        <v>Suecia</v>
      </c>
      <c r="G2" s="123" t="str">
        <f>'H1'!F34</f>
        <v>España</v>
      </c>
      <c r="H2" s="208" t="s">
        <v>1</v>
      </c>
      <c r="I2" s="124"/>
      <c r="J2" s="123" t="str">
        <f>'H1'!$D35</f>
        <v>Eslovaquia</v>
      </c>
      <c r="K2" s="123" t="str">
        <f>'H1'!$F35</f>
        <v>Suecia</v>
      </c>
      <c r="L2" s="208" t="s">
        <v>1</v>
      </c>
      <c r="M2" s="124"/>
      <c r="N2" s="123" t="str">
        <f>'H1'!$D36</f>
        <v>España</v>
      </c>
      <c r="O2" s="123" t="str">
        <f>'H1'!$F36</f>
        <v>Polonia</v>
      </c>
      <c r="P2" s="208" t="s">
        <v>1</v>
      </c>
      <c r="Q2" s="124"/>
      <c r="R2" s="123" t="str">
        <f>'H1'!$D37</f>
        <v>Eslovaquia</v>
      </c>
      <c r="S2" s="123" t="str">
        <f>'H1'!$F37</f>
        <v>España</v>
      </c>
      <c r="T2" s="210" t="s">
        <v>1</v>
      </c>
      <c r="U2" s="124"/>
      <c r="V2" s="123" t="str">
        <f>'H1'!$D38</f>
        <v>Polonia</v>
      </c>
      <c r="W2" s="123" t="str">
        <f>'H1'!$F38</f>
        <v>Suecia</v>
      </c>
      <c r="X2" s="208" t="s">
        <v>1</v>
      </c>
      <c r="Y2" s="124"/>
      <c r="Z2" s="206" t="s">
        <v>400</v>
      </c>
      <c r="AA2" s="149" t="s">
        <v>401</v>
      </c>
      <c r="AB2" s="149"/>
      <c r="AC2" s="149" t="s">
        <v>402</v>
      </c>
      <c r="AD2" s="149"/>
      <c r="AE2" s="149" t="s">
        <v>412</v>
      </c>
      <c r="AF2" s="149"/>
      <c r="AG2" s="206" t="s">
        <v>403</v>
      </c>
      <c r="AJ2" s="113" t="str">
        <f>B2</f>
        <v>Polonia</v>
      </c>
      <c r="AK2" s="113" t="str">
        <f>C2</f>
        <v>Eslovaquia</v>
      </c>
      <c r="AL2" s="113" t="str">
        <f>F2</f>
        <v>Suecia</v>
      </c>
      <c r="AM2" s="113" t="str">
        <f>G2</f>
        <v>España</v>
      </c>
    </row>
    <row r="3" spans="1:45" ht="16.5" customHeight="1">
      <c r="A3" s="123" t="s">
        <v>404</v>
      </c>
      <c r="B3" s="126">
        <f>'H1'!$E33</f>
        <v>1</v>
      </c>
      <c r="C3" s="126">
        <f>'H1'!$G33</f>
        <v>2</v>
      </c>
      <c r="D3" s="209"/>
      <c r="E3" s="124"/>
      <c r="F3" s="126">
        <f>'H1'!$E34</f>
        <v>0</v>
      </c>
      <c r="G3" s="126">
        <f>'H1'!$G34</f>
        <v>0</v>
      </c>
      <c r="H3" s="209"/>
      <c r="I3" s="124"/>
      <c r="J3" s="126">
        <f>'H1'!$E35</f>
        <v>0</v>
      </c>
      <c r="K3" s="126">
        <f>'H1'!$G35</f>
        <v>1</v>
      </c>
      <c r="L3" s="209"/>
      <c r="M3" s="124"/>
      <c r="N3" s="126">
        <f>'H1'!$E36</f>
        <v>1</v>
      </c>
      <c r="O3" s="126">
        <f>'H1'!$G36</f>
        <v>1</v>
      </c>
      <c r="P3" s="209"/>
      <c r="Q3" s="124"/>
      <c r="R3" s="126" t="str">
        <f>'H1'!$E37</f>
        <v/>
      </c>
      <c r="S3" s="126" t="str">
        <f>'H1'!$G37</f>
        <v/>
      </c>
      <c r="T3" s="211"/>
      <c r="U3" s="124"/>
      <c r="V3" s="126" t="str">
        <f>'H1'!$E38</f>
        <v/>
      </c>
      <c r="W3" s="126" t="str">
        <f>'H1'!$G38</f>
        <v/>
      </c>
      <c r="X3" s="209"/>
      <c r="Y3" s="124"/>
      <c r="Z3" s="207"/>
      <c r="AA3" s="127" t="str">
        <f>IF('H1'!S30="1E","",'H1'!S30)</f>
        <v>Suecia</v>
      </c>
      <c r="AB3" s="127"/>
      <c r="AC3" s="127" t="str">
        <f>IF('H1'!S21="2E","",'H1'!S21)</f>
        <v>Eslovaquia</v>
      </c>
      <c r="AD3" s="127"/>
      <c r="AE3" s="127" t="s">
        <v>437</v>
      </c>
      <c r="AF3" s="163"/>
      <c r="AG3" s="207"/>
    </row>
    <row r="4" spans="1:45" ht="3.75" customHeight="1">
      <c r="A4" s="128" t="s">
        <v>406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</row>
    <row r="5" spans="1:45">
      <c r="A5" s="129" t="str">
        <f>Participantes!B2</f>
        <v>Luis Medica</v>
      </c>
      <c r="B5" s="150">
        <v>1</v>
      </c>
      <c r="C5" s="150">
        <v>1</v>
      </c>
      <c r="D5" s="150">
        <f>IF(AND($B5=$B$3, $C5=$C$3),3,IF(AND($B$3&gt;$C$3, $B5&gt;$C5),1,IF(AND($C5&gt;B5, $C$3&gt;$B$3), 1, IF(AND($B$3=$C$3, $B5=$C5),1,0))))*IF($B$3="",0,1)</f>
        <v>0</v>
      </c>
      <c r="E5" s="120"/>
      <c r="F5" s="150">
        <v>1</v>
      </c>
      <c r="G5" s="150">
        <v>2</v>
      </c>
      <c r="H5" s="150">
        <f>IF(AND($F5=$F$3, $G5=$G$3),3,IF(AND($F$3&gt;$G$3, $F5&gt;$G5),1,IF(AND($G5&gt;F5, $G$3&gt;$F$3), 1, IF(AND($F$3=$G$3, $F5=$G5),1,0))))*IF($F$3="",0,1)</f>
        <v>0</v>
      </c>
      <c r="I5" s="120"/>
      <c r="J5" s="150">
        <v>0</v>
      </c>
      <c r="K5" s="150">
        <v>2</v>
      </c>
      <c r="L5" s="150">
        <f>IF(AND($J5=$J$3, $K5=$K$3),3,IF(AND($J$3&gt;$K$3, $J5&gt;$K5),1,IF(AND($K5&gt;J5, $K$3&gt;$J$3), 1, IF(AND($J$3=$K$3, $J5=$K5),1,0))))*IF($J$3="",0,1)</f>
        <v>1</v>
      </c>
      <c r="M5" s="120"/>
      <c r="N5" s="150">
        <v>1</v>
      </c>
      <c r="O5" s="150">
        <v>0</v>
      </c>
      <c r="P5" s="150">
        <f>IF(AND($N5=$N$3, $O5=$O$3),3,IF(AND($N$3&gt;$O$3, $N5&gt;$O5),1,IF(AND($O5&gt;N5, $O$3&gt;$N$3), 1, IF(AND($N$3=$O$3, $N5=$O5),1,0))))*IF($N$3="",0,1)</f>
        <v>0</v>
      </c>
      <c r="Q5" s="120"/>
      <c r="R5" s="130">
        <v>0</v>
      </c>
      <c r="S5" s="130">
        <v>3</v>
      </c>
      <c r="T5" s="130">
        <f>IF(AND($R5=$R$3, $S5=$S$3),3,IF(AND($R$3&gt;$S$3, $R5&gt;$S5),1,IF(AND($S5&gt;R5, $S$3&gt;$R$3), 1, IF(AND($R$3=$S$3, $R5=$S5),1,0))))*IF($R$3="",0,1)</f>
        <v>0</v>
      </c>
      <c r="U5" s="120"/>
      <c r="V5" s="130">
        <v>1</v>
      </c>
      <c r="W5" s="130">
        <v>1</v>
      </c>
      <c r="X5" s="130">
        <f>IF(AND($V5=$V$3, $W5=$W$3),3,IF(AND($V$3&gt;$W$3, $V5&gt;$W5),1,IF(AND($W5&gt;V5, $W$3&gt;$V$3), 1, IF(AND($V$3=$W$3, $V5=$W5),1,0))))*IF($V$3="",0,1)</f>
        <v>0</v>
      </c>
      <c r="Y5" s="120"/>
      <c r="Z5" s="121">
        <f>D5+H5+L5+P5+T5+X5</f>
        <v>1</v>
      </c>
      <c r="AA5" s="116" t="str">
        <f t="shared" ref="AA5:AA27" si="0">CONCATENATE(IF(AR5&gt;2,"***",""),IF(AN5=1,$AJ$2,IF(AO5=1,$AK$2,IF(AP5=1,$AL$2,IF(AQ5=1,$AM$2,"error")))))</f>
        <v>España</v>
      </c>
      <c r="AB5" s="116">
        <f>(IF($AA$3=AA5,6,0)+IF($AC$3=AA5,3,0)+IF(AA5=$AE$3,3,0))</f>
        <v>0</v>
      </c>
      <c r="AC5" s="116" t="str">
        <f t="shared" ref="AC5:AC27" si="1">CONCATENATE(IF(AS5&gt;1,"**",""),IF(AN5=2,$AJ$2,IF(AO5=2,$AK$2,IF(AP5=2,$AL$2,IF(AQ5=2,$AM$2,CONCATENATE(IF(AS5&gt;1,"*",""),"*",IF(AQ5=1,$AM$2,IF(AP5=1,$AL$2,$AK$2))))))))</f>
        <v>Suecia</v>
      </c>
      <c r="AD5" s="116">
        <f>(IF($AA$3=AC5,3,0)+IF($AC$3=AC5,6,0)+IF(AC5=$AE$3,3,0))</f>
        <v>3</v>
      </c>
      <c r="AE5" s="156" t="str">
        <f>Terceros!F6</f>
        <v/>
      </c>
      <c r="AF5" s="116">
        <f>IF($AA$3=AE5,3,0)+IF($AC$3=AE5,3,0)+IF(AE5=$AE$3,6,0)</f>
        <v>0</v>
      </c>
      <c r="AG5" s="148">
        <f>Z5+(AB5+AD5+AF5)*IF(AA3="",0,1)</f>
        <v>4</v>
      </c>
      <c r="AJ5" s="132">
        <f>IF(B5&gt;C5,3,IF(B5=C5,1,0))+IF(O5&gt;N5,3,IF(O5=N5,1,0))+IF(V5&gt;W5,3,IF(W5=V5,1,0))+(B5+O5+V5)*0.001+(B5+O5+V5-C5-N5-W5)*0.01+0.5</f>
        <v>2.492</v>
      </c>
      <c r="AK5" s="132">
        <f>IF(C5&gt;B5,3,IF(C5=B5,1,0))+IF(J5&gt;K5,3,IF(J5=K5,1,0))+IF(R5&gt;S5,3,IF(R5=S5,1,0))+(C5+J5+R5)*0.001+(C5+J5+R5-B5-K5-S5)*0.01+0.5</f>
        <v>1.4509999999999998</v>
      </c>
      <c r="AL5" s="132">
        <f>IF(F5&gt;G5,3,IF(F5=G5,1,0))+IF(K5&gt;J5,3,IF(K5=J5,1,0))+IF(W5&gt;V5,3,IF(W5=V5,1,0))+(F5+K5+W5)*0.001+(F5+K5+W5-G5-J5-V5)*0.01+0.5</f>
        <v>4.5139999999999993</v>
      </c>
      <c r="AM5" s="132">
        <f>IF(G5&gt;F5,3,IF(G5=F5,1,0))+IF(N5&gt;O5,3,IF(O5=N5,1,0))+IF(S5&gt;R5,3,IF(S5=R5,1,0))+(G5+N5+S5)*0.001+(G5+N5+S5-F5-O5-R5)*0.01+0.5</f>
        <v>9.5560000000000009</v>
      </c>
      <c r="AN5" s="113">
        <f t="shared" ref="AN5:AQ5" si="2">_xlfn.RANK.EQ(AJ5,$AJ5:$AM5,0)</f>
        <v>3</v>
      </c>
      <c r="AO5" s="113">
        <f t="shared" si="2"/>
        <v>4</v>
      </c>
      <c r="AP5" s="113">
        <f t="shared" si="2"/>
        <v>2</v>
      </c>
      <c r="AQ5" s="113">
        <f t="shared" si="2"/>
        <v>1</v>
      </c>
      <c r="AR5" s="113">
        <f>COUNTIF(AN5:AQ5,1)</f>
        <v>1</v>
      </c>
      <c r="AS5" s="113">
        <f>COUNTIF(AN5:AQ5,2)</f>
        <v>1</v>
      </c>
    </row>
    <row r="6" spans="1:45">
      <c r="A6" s="129" t="str">
        <f>Participantes!B3</f>
        <v>Isaac Solanilla</v>
      </c>
      <c r="B6" s="150">
        <v>1</v>
      </c>
      <c r="C6" s="150">
        <v>1</v>
      </c>
      <c r="D6" s="150">
        <f t="shared" ref="D6:D27" si="3">IF(AND($B6=$B$3, $C6=$C$3),3,IF(AND($B$3&gt;$C$3, $B6&gt;$C6),1,IF(AND($C6&gt;B6, $C$3&gt;$B$3), 1, IF(AND($B$3=$C$3, $B6=$C6),1,0))))*IF($B$3="",0,1)</f>
        <v>0</v>
      </c>
      <c r="E6" s="120"/>
      <c r="F6" s="150">
        <v>1</v>
      </c>
      <c r="G6" s="150">
        <v>2</v>
      </c>
      <c r="H6" s="150">
        <f t="shared" ref="H6:H27" si="4">IF(AND($F6=$F$3, $G6=$G$3),3,IF(AND($F$3&gt;$G$3, $F6&gt;$G6),1,IF(AND($G6&gt;F6, $G$3&gt;$F$3), 1, IF(AND($F$3=$G$3, $F6=$G6),1,0))))*IF($F$3="",0,1)</f>
        <v>0</v>
      </c>
      <c r="I6" s="120"/>
      <c r="J6" s="150">
        <v>1</v>
      </c>
      <c r="K6" s="150">
        <v>2</v>
      </c>
      <c r="L6" s="150">
        <f t="shared" ref="L6:L27" si="5">IF(AND($J6=$J$3, $K6=$K$3),3,IF(AND($J$3&gt;$K$3, $J6&gt;$K6),1,IF(AND($K6&gt;J6, $K$3&gt;$J$3), 1, IF(AND($J$3=$K$3, $J6=$K6),1,0))))*IF($J$3="",0,1)</f>
        <v>1</v>
      </c>
      <c r="M6" s="120"/>
      <c r="N6" s="150">
        <v>2</v>
      </c>
      <c r="O6" s="150">
        <v>0</v>
      </c>
      <c r="P6" s="150">
        <f t="shared" ref="P6:P27" si="6">IF(AND($N6=$N$3, $O6=$O$3),3,IF(AND($N$3&gt;$O$3, $N6&gt;$O6),1,IF(AND($O6&gt;N6, $O$3&gt;$N$3), 1, IF(AND($N$3=$O$3, $N6=$O6),1,0))))*IF($N$3="",0,1)</f>
        <v>0</v>
      </c>
      <c r="Q6" s="120"/>
      <c r="R6" s="130">
        <v>1</v>
      </c>
      <c r="S6" s="130">
        <v>2</v>
      </c>
      <c r="T6" s="130">
        <f t="shared" ref="T6:T27" si="7">IF(AND($R6=$R$3, $S6=$S$3),3,IF(AND($R$3&gt;$S$3, $R6&gt;$S6),1,IF(AND($S6&gt;R6, $S$3&gt;$R$3), 1, IF(AND($R$3=$S$3, $R6=$S6),1,0))))*IF($R$3="",0,1)</f>
        <v>0</v>
      </c>
      <c r="U6" s="120"/>
      <c r="V6" s="130">
        <v>1</v>
      </c>
      <c r="W6" s="130">
        <v>1</v>
      </c>
      <c r="X6" s="130">
        <f t="shared" ref="X6:X27" si="8">IF(AND($V6=$V$3, $W6=$W$3),3,IF(AND($V$3&gt;$W$3, $V6&gt;$W6),1,IF(AND($W6&gt;V6, $W$3&gt;$V$3), 1, IF(AND($V$3=$W$3, $V6=$W6),1,0))))*IF($V$3="",0,1)</f>
        <v>0</v>
      </c>
      <c r="Y6" s="120"/>
      <c r="Z6" s="121">
        <f t="shared" ref="Z6:Z27" si="9">D6+H6+L6+P6+T6+X6</f>
        <v>1</v>
      </c>
      <c r="AA6" s="116" t="str">
        <f t="shared" si="0"/>
        <v>España</v>
      </c>
      <c r="AB6" s="116">
        <f t="shared" ref="AB6:AB27" si="10">(IF($AA$3=AA6,6,0)+IF($AC$3=AA6,3,0)+IF(AA6=$AE$3,3,0))</f>
        <v>0</v>
      </c>
      <c r="AC6" s="116" t="str">
        <f t="shared" si="1"/>
        <v>Suecia</v>
      </c>
      <c r="AD6" s="116">
        <f t="shared" ref="AD6:AD27" si="11">(IF($AA$3=AC6,3,0)+IF($AC$3=AC6,6,0)+IF(AC6=$AE$3,3,0))</f>
        <v>3</v>
      </c>
      <c r="AE6" s="156" t="str">
        <f>Terceros!F7</f>
        <v/>
      </c>
      <c r="AF6" s="116">
        <f t="shared" ref="AF6:AF27" si="12">IF($AA$3=AE6,3,0)+IF($AC$3=AE6,3,0)+IF(AE6=$AE$3,6,0)</f>
        <v>0</v>
      </c>
      <c r="AG6" s="148">
        <f t="shared" ref="AG6:AG27" si="13">Z6+(AB6+AD6+AF6)*IF(AA4="",0,1)</f>
        <v>1</v>
      </c>
      <c r="AJ6" s="132">
        <f t="shared" ref="AJ6:AJ27" si="14">IF(B6&gt;C6,3,IF(B6=C6,1,0))+IF(O6&gt;N6,3,IF(O6=N6,1,0))+IF(V6&gt;W6,3,IF(W6=V6,1,0))+(B6+O6+V6)*0.001+(B6+O6+V6-C6-N6-W6)*0.01+0.5</f>
        <v>2.4819999999999998</v>
      </c>
      <c r="AK6" s="132">
        <f t="shared" ref="AK6:AK27" si="15">IF(C6&gt;B6,3,IF(C6=B6,1,0))+IF(J6&gt;K6,3,IF(J6=K6,1,0))+IF(R6&gt;S6,3,IF(R6=S6,1,0))+(C6+J6+R6)*0.001+(C6+J6+R6-B6-K6-S6)*0.01+0.5</f>
        <v>1.4829999999999999</v>
      </c>
      <c r="AL6" s="132">
        <f t="shared" ref="AL6:AL27" si="16">IF(F6&gt;G6,3,IF(F6=G6,1,0))+IF(K6&gt;J6,3,IF(K6=J6,1,0))+IF(W6&gt;V6,3,IF(W6=V6,1,0))+(F6+K6+W6)*0.001+(F6+K6+W6-G6-J6-V6)*0.01+0.5</f>
        <v>4.5039999999999996</v>
      </c>
      <c r="AM6" s="132">
        <f t="shared" ref="AM6:AM27" si="17">IF(G6&gt;F6,3,IF(G6=F6,1,0))+IF(N6&gt;O6,3,IF(O6=N6,1,0))+IF(S6&gt;R6,3,IF(S6=R6,1,0))+(G6+N6+S6)*0.001+(G6+N6+S6-F6-O6-R6)*0.01+0.5</f>
        <v>9.5459999999999994</v>
      </c>
      <c r="AN6" s="113">
        <f t="shared" ref="AN6:AQ20" si="18">_xlfn.RANK.EQ(AJ6,$AJ6:$AM6,0)</f>
        <v>3</v>
      </c>
      <c r="AO6" s="113">
        <f t="shared" si="18"/>
        <v>4</v>
      </c>
      <c r="AP6" s="113">
        <f t="shared" si="18"/>
        <v>2</v>
      </c>
      <c r="AQ6" s="113">
        <f t="shared" si="18"/>
        <v>1</v>
      </c>
      <c r="AR6" s="113">
        <f t="shared" ref="AR6:AR27" si="19">COUNTIF(AN6:AQ6,1)</f>
        <v>1</v>
      </c>
      <c r="AS6" s="113">
        <f t="shared" ref="AS6:AS27" si="20">COUNTIF(AN6:AQ6,2)</f>
        <v>1</v>
      </c>
    </row>
    <row r="7" spans="1:45">
      <c r="A7" s="129" t="str">
        <f>Participantes!B4</f>
        <v>Andres Corcho</v>
      </c>
      <c r="B7" s="150">
        <v>2</v>
      </c>
      <c r="C7" s="150">
        <v>1</v>
      </c>
      <c r="D7" s="150">
        <f t="shared" si="3"/>
        <v>0</v>
      </c>
      <c r="E7" s="120"/>
      <c r="F7" s="150">
        <v>2</v>
      </c>
      <c r="G7" s="150">
        <v>2</v>
      </c>
      <c r="H7" s="150">
        <f t="shared" si="4"/>
        <v>1</v>
      </c>
      <c r="I7" s="120"/>
      <c r="J7" s="150">
        <v>1</v>
      </c>
      <c r="K7" s="150">
        <v>1</v>
      </c>
      <c r="L7" s="150">
        <f t="shared" si="5"/>
        <v>0</v>
      </c>
      <c r="M7" s="120"/>
      <c r="N7" s="150">
        <v>2</v>
      </c>
      <c r="O7" s="150">
        <v>2</v>
      </c>
      <c r="P7" s="150">
        <f t="shared" si="6"/>
        <v>1</v>
      </c>
      <c r="Q7" s="120"/>
      <c r="R7" s="130">
        <v>1</v>
      </c>
      <c r="S7" s="130">
        <v>2</v>
      </c>
      <c r="T7" s="130">
        <f t="shared" si="7"/>
        <v>0</v>
      </c>
      <c r="U7" s="120"/>
      <c r="V7" s="130">
        <v>2</v>
      </c>
      <c r="W7" s="130">
        <v>1</v>
      </c>
      <c r="X7" s="130">
        <f t="shared" si="8"/>
        <v>0</v>
      </c>
      <c r="Y7" s="120"/>
      <c r="Z7" s="121">
        <f t="shared" si="9"/>
        <v>2</v>
      </c>
      <c r="AA7" s="116" t="str">
        <f t="shared" si="0"/>
        <v>Polonia</v>
      </c>
      <c r="AB7" s="116">
        <f t="shared" si="10"/>
        <v>0</v>
      </c>
      <c r="AC7" s="116" t="str">
        <f t="shared" si="1"/>
        <v>España</v>
      </c>
      <c r="AD7" s="116">
        <f t="shared" si="11"/>
        <v>0</v>
      </c>
      <c r="AE7" s="156" t="str">
        <f>Terceros!F8</f>
        <v/>
      </c>
      <c r="AF7" s="116">
        <f t="shared" si="12"/>
        <v>0</v>
      </c>
      <c r="AG7" s="148">
        <f t="shared" si="13"/>
        <v>2</v>
      </c>
      <c r="AJ7" s="132">
        <f t="shared" si="14"/>
        <v>7.5259999999999998</v>
      </c>
      <c r="AK7" s="132">
        <f t="shared" si="15"/>
        <v>1.4829999999999999</v>
      </c>
      <c r="AL7" s="132">
        <f t="shared" si="16"/>
        <v>2.4939999999999998</v>
      </c>
      <c r="AM7" s="132">
        <f t="shared" si="17"/>
        <v>5.516</v>
      </c>
      <c r="AN7" s="113">
        <f t="shared" si="18"/>
        <v>1</v>
      </c>
      <c r="AO7" s="113">
        <f t="shared" si="18"/>
        <v>4</v>
      </c>
      <c r="AP7" s="113">
        <f t="shared" si="18"/>
        <v>3</v>
      </c>
      <c r="AQ7" s="113">
        <f t="shared" si="18"/>
        <v>2</v>
      </c>
      <c r="AR7" s="113">
        <f t="shared" si="19"/>
        <v>1</v>
      </c>
      <c r="AS7" s="113">
        <f t="shared" si="20"/>
        <v>1</v>
      </c>
    </row>
    <row r="8" spans="1:45">
      <c r="A8" s="129" t="str">
        <f>Participantes!B5</f>
        <v>Rodrigo Palavicini</v>
      </c>
      <c r="B8" s="150">
        <v>2</v>
      </c>
      <c r="C8" s="150">
        <v>1</v>
      </c>
      <c r="D8" s="150">
        <f t="shared" si="3"/>
        <v>0</v>
      </c>
      <c r="E8" s="120"/>
      <c r="F8" s="150">
        <v>1</v>
      </c>
      <c r="G8" s="150">
        <v>1</v>
      </c>
      <c r="H8" s="150">
        <f t="shared" si="4"/>
        <v>1</v>
      </c>
      <c r="I8" s="120"/>
      <c r="J8" s="150">
        <v>1</v>
      </c>
      <c r="K8" s="150">
        <v>2</v>
      </c>
      <c r="L8" s="150">
        <f t="shared" si="5"/>
        <v>1</v>
      </c>
      <c r="M8" s="120"/>
      <c r="N8" s="150">
        <v>1</v>
      </c>
      <c r="O8" s="150">
        <v>1</v>
      </c>
      <c r="P8" s="150">
        <f t="shared" si="6"/>
        <v>3</v>
      </c>
      <c r="Q8" s="120"/>
      <c r="R8" s="130">
        <v>1</v>
      </c>
      <c r="S8" s="130">
        <v>2</v>
      </c>
      <c r="T8" s="130">
        <f t="shared" si="7"/>
        <v>0</v>
      </c>
      <c r="U8" s="120"/>
      <c r="V8" s="130">
        <v>0</v>
      </c>
      <c r="W8" s="130">
        <v>2</v>
      </c>
      <c r="X8" s="130">
        <f t="shared" si="8"/>
        <v>0</v>
      </c>
      <c r="Y8" s="120"/>
      <c r="Z8" s="121">
        <f t="shared" si="9"/>
        <v>5</v>
      </c>
      <c r="AA8" s="116" t="str">
        <f t="shared" si="0"/>
        <v>Suecia</v>
      </c>
      <c r="AB8" s="116">
        <f t="shared" si="10"/>
        <v>6</v>
      </c>
      <c r="AC8" s="116" t="str">
        <f t="shared" si="1"/>
        <v>España</v>
      </c>
      <c r="AD8" s="116">
        <f t="shared" si="11"/>
        <v>0</v>
      </c>
      <c r="AE8" s="156" t="str">
        <f>Terceros!F9</f>
        <v>Polonia</v>
      </c>
      <c r="AF8" s="116">
        <f t="shared" si="12"/>
        <v>0</v>
      </c>
      <c r="AG8" s="148">
        <f t="shared" si="13"/>
        <v>11</v>
      </c>
      <c r="AJ8" s="132">
        <f t="shared" si="14"/>
        <v>4.4930000000000003</v>
      </c>
      <c r="AK8" s="132">
        <f t="shared" si="15"/>
        <v>0.47299999999999998</v>
      </c>
      <c r="AL8" s="132">
        <f t="shared" si="16"/>
        <v>7.5350000000000001</v>
      </c>
      <c r="AM8" s="132">
        <f t="shared" si="17"/>
        <v>5.5139999999999993</v>
      </c>
      <c r="AN8" s="113">
        <f t="shared" si="18"/>
        <v>3</v>
      </c>
      <c r="AO8" s="113">
        <f t="shared" si="18"/>
        <v>4</v>
      </c>
      <c r="AP8" s="113">
        <f t="shared" si="18"/>
        <v>1</v>
      </c>
      <c r="AQ8" s="113">
        <f t="shared" si="18"/>
        <v>2</v>
      </c>
      <c r="AR8" s="113">
        <f t="shared" si="19"/>
        <v>1</v>
      </c>
      <c r="AS8" s="113">
        <f t="shared" si="20"/>
        <v>1</v>
      </c>
    </row>
    <row r="9" spans="1:45">
      <c r="A9" s="129" t="str">
        <f>Participantes!B6</f>
        <v>Carlos Medina</v>
      </c>
      <c r="B9" s="150">
        <v>1</v>
      </c>
      <c r="C9" s="150">
        <v>1</v>
      </c>
      <c r="D9" s="150">
        <f t="shared" si="3"/>
        <v>0</v>
      </c>
      <c r="E9" s="120"/>
      <c r="F9" s="150">
        <v>1</v>
      </c>
      <c r="G9" s="150">
        <v>2</v>
      </c>
      <c r="H9" s="150">
        <f t="shared" si="4"/>
        <v>0</v>
      </c>
      <c r="I9" s="120"/>
      <c r="J9" s="150">
        <v>0</v>
      </c>
      <c r="K9" s="150">
        <v>2</v>
      </c>
      <c r="L9" s="150">
        <f t="shared" si="5"/>
        <v>1</v>
      </c>
      <c r="M9" s="120"/>
      <c r="N9" s="150">
        <v>2</v>
      </c>
      <c r="O9" s="150">
        <v>1</v>
      </c>
      <c r="P9" s="150">
        <f t="shared" si="6"/>
        <v>0</v>
      </c>
      <c r="Q9" s="120"/>
      <c r="R9" s="130">
        <v>0</v>
      </c>
      <c r="S9" s="130">
        <v>2</v>
      </c>
      <c r="T9" s="130">
        <f t="shared" si="7"/>
        <v>0</v>
      </c>
      <c r="U9" s="120"/>
      <c r="V9" s="130">
        <v>1</v>
      </c>
      <c r="W9" s="130">
        <v>2</v>
      </c>
      <c r="X9" s="130">
        <f t="shared" si="8"/>
        <v>0</v>
      </c>
      <c r="Y9" s="120"/>
      <c r="Z9" s="121">
        <f t="shared" si="9"/>
        <v>1</v>
      </c>
      <c r="AA9" s="116" t="str">
        <f t="shared" si="0"/>
        <v>España</v>
      </c>
      <c r="AB9" s="116">
        <f t="shared" si="10"/>
        <v>0</v>
      </c>
      <c r="AC9" s="116" t="str">
        <f t="shared" si="1"/>
        <v>Suecia</v>
      </c>
      <c r="AD9" s="116">
        <f t="shared" si="11"/>
        <v>3</v>
      </c>
      <c r="AE9" s="156" t="str">
        <f>Terceros!F10</f>
        <v/>
      </c>
      <c r="AF9" s="116">
        <f t="shared" si="12"/>
        <v>0</v>
      </c>
      <c r="AG9" s="148">
        <f t="shared" si="13"/>
        <v>4</v>
      </c>
      <c r="AJ9" s="132">
        <f t="shared" si="14"/>
        <v>1.4829999999999999</v>
      </c>
      <c r="AK9" s="132">
        <f t="shared" si="15"/>
        <v>1.4609999999999999</v>
      </c>
      <c r="AL9" s="132">
        <f t="shared" si="16"/>
        <v>6.5249999999999995</v>
      </c>
      <c r="AM9" s="132">
        <f t="shared" si="17"/>
        <v>9.5459999999999994</v>
      </c>
      <c r="AN9" s="113">
        <f t="shared" si="18"/>
        <v>3</v>
      </c>
      <c r="AO9" s="113">
        <f t="shared" si="18"/>
        <v>4</v>
      </c>
      <c r="AP9" s="113">
        <f t="shared" si="18"/>
        <v>2</v>
      </c>
      <c r="AQ9" s="113">
        <f t="shared" si="18"/>
        <v>1</v>
      </c>
      <c r="AR9" s="113">
        <f t="shared" si="19"/>
        <v>1</v>
      </c>
      <c r="AS9" s="113">
        <f t="shared" si="20"/>
        <v>1</v>
      </c>
    </row>
    <row r="10" spans="1:45">
      <c r="A10" s="129" t="str">
        <f>Participantes!B7</f>
        <v>July Batista</v>
      </c>
      <c r="B10" s="150">
        <v>1</v>
      </c>
      <c r="C10" s="150">
        <v>0</v>
      </c>
      <c r="D10" s="150">
        <f t="shared" si="3"/>
        <v>0</v>
      </c>
      <c r="E10" s="120"/>
      <c r="F10" s="150">
        <v>0</v>
      </c>
      <c r="G10" s="150">
        <v>2</v>
      </c>
      <c r="H10" s="150">
        <f t="shared" si="4"/>
        <v>0</v>
      </c>
      <c r="I10" s="120"/>
      <c r="J10" s="150">
        <v>0</v>
      </c>
      <c r="K10" s="150">
        <v>1</v>
      </c>
      <c r="L10" s="150">
        <f t="shared" si="5"/>
        <v>3</v>
      </c>
      <c r="M10" s="120"/>
      <c r="N10" s="150">
        <v>1</v>
      </c>
      <c r="O10" s="150">
        <v>0</v>
      </c>
      <c r="P10" s="150">
        <f t="shared" si="6"/>
        <v>0</v>
      </c>
      <c r="Q10" s="120"/>
      <c r="R10" s="130">
        <v>0</v>
      </c>
      <c r="S10" s="130">
        <v>3</v>
      </c>
      <c r="T10" s="130">
        <f t="shared" si="7"/>
        <v>0</v>
      </c>
      <c r="U10" s="120"/>
      <c r="V10" s="130">
        <v>1</v>
      </c>
      <c r="W10" s="130">
        <v>1</v>
      </c>
      <c r="X10" s="130">
        <f t="shared" si="8"/>
        <v>0</v>
      </c>
      <c r="Y10" s="120"/>
      <c r="Z10" s="121">
        <f t="shared" si="9"/>
        <v>3</v>
      </c>
      <c r="AA10" s="116" t="str">
        <f t="shared" si="0"/>
        <v>España</v>
      </c>
      <c r="AB10" s="116">
        <f t="shared" si="10"/>
        <v>0</v>
      </c>
      <c r="AC10" s="116" t="str">
        <f t="shared" si="1"/>
        <v>Polonia</v>
      </c>
      <c r="AD10" s="116">
        <f t="shared" si="11"/>
        <v>0</v>
      </c>
      <c r="AE10" s="156" t="str">
        <f>Terceros!F11</f>
        <v>Suecia</v>
      </c>
      <c r="AF10" s="116">
        <f t="shared" si="12"/>
        <v>3</v>
      </c>
      <c r="AG10" s="148">
        <f t="shared" si="13"/>
        <v>6</v>
      </c>
      <c r="AJ10" s="132">
        <f t="shared" si="14"/>
        <v>4.5019999999999998</v>
      </c>
      <c r="AK10" s="132">
        <f t="shared" si="15"/>
        <v>0.45</v>
      </c>
      <c r="AL10" s="132">
        <f t="shared" si="16"/>
        <v>4.492</v>
      </c>
      <c r="AM10" s="132">
        <f t="shared" si="17"/>
        <v>9.5660000000000007</v>
      </c>
      <c r="AN10" s="113">
        <f t="shared" si="18"/>
        <v>2</v>
      </c>
      <c r="AO10" s="113">
        <f t="shared" si="18"/>
        <v>4</v>
      </c>
      <c r="AP10" s="113">
        <f t="shared" si="18"/>
        <v>3</v>
      </c>
      <c r="AQ10" s="113">
        <f t="shared" si="18"/>
        <v>1</v>
      </c>
      <c r="AR10" s="113">
        <f t="shared" si="19"/>
        <v>1</v>
      </c>
      <c r="AS10" s="113">
        <f t="shared" si="20"/>
        <v>1</v>
      </c>
    </row>
    <row r="11" spans="1:45">
      <c r="A11" s="129" t="str">
        <f>Participantes!B8</f>
        <v>Carlos Quiel</v>
      </c>
      <c r="B11" s="150">
        <v>0</v>
      </c>
      <c r="C11" s="150">
        <v>0</v>
      </c>
      <c r="D11" s="150">
        <f t="shared" si="3"/>
        <v>0</v>
      </c>
      <c r="E11" s="120"/>
      <c r="F11" s="150">
        <v>1</v>
      </c>
      <c r="G11" s="150">
        <v>1</v>
      </c>
      <c r="H11" s="150">
        <f t="shared" si="4"/>
        <v>1</v>
      </c>
      <c r="I11" s="120"/>
      <c r="J11" s="150">
        <v>0</v>
      </c>
      <c r="K11" s="150">
        <v>2</v>
      </c>
      <c r="L11" s="150">
        <f t="shared" si="5"/>
        <v>1</v>
      </c>
      <c r="M11" s="120"/>
      <c r="N11" s="150">
        <v>3</v>
      </c>
      <c r="O11" s="150">
        <v>0</v>
      </c>
      <c r="P11" s="150">
        <f t="shared" si="6"/>
        <v>0</v>
      </c>
      <c r="Q11" s="120"/>
      <c r="R11" s="130">
        <v>1</v>
      </c>
      <c r="S11" s="130">
        <v>4</v>
      </c>
      <c r="T11" s="130">
        <f t="shared" si="7"/>
        <v>0</v>
      </c>
      <c r="U11" s="120"/>
      <c r="V11" s="130">
        <v>2</v>
      </c>
      <c r="W11" s="130">
        <v>2</v>
      </c>
      <c r="X11" s="130">
        <f t="shared" si="8"/>
        <v>0</v>
      </c>
      <c r="Y11" s="120"/>
      <c r="Z11" s="121">
        <f t="shared" si="9"/>
        <v>2</v>
      </c>
      <c r="AA11" s="116" t="str">
        <f t="shared" si="0"/>
        <v>España</v>
      </c>
      <c r="AB11" s="116">
        <f t="shared" si="10"/>
        <v>0</v>
      </c>
      <c r="AC11" s="116" t="str">
        <f t="shared" si="1"/>
        <v>Suecia</v>
      </c>
      <c r="AD11" s="116">
        <f t="shared" si="11"/>
        <v>3</v>
      </c>
      <c r="AE11" s="156" t="str">
        <f>Terceros!F12</f>
        <v>Polonia</v>
      </c>
      <c r="AF11" s="116">
        <f t="shared" si="12"/>
        <v>0</v>
      </c>
      <c r="AG11" s="148">
        <f t="shared" si="13"/>
        <v>5</v>
      </c>
      <c r="AJ11" s="132">
        <f t="shared" si="14"/>
        <v>2.4719999999999995</v>
      </c>
      <c r="AK11" s="132">
        <f t="shared" si="15"/>
        <v>1.4509999999999998</v>
      </c>
      <c r="AL11" s="132">
        <f t="shared" si="16"/>
        <v>5.5249999999999995</v>
      </c>
      <c r="AM11" s="132">
        <f t="shared" si="17"/>
        <v>7.5679999999999996</v>
      </c>
      <c r="AN11" s="113">
        <f t="shared" si="18"/>
        <v>3</v>
      </c>
      <c r="AO11" s="113">
        <f t="shared" si="18"/>
        <v>4</v>
      </c>
      <c r="AP11" s="113">
        <f t="shared" si="18"/>
        <v>2</v>
      </c>
      <c r="AQ11" s="113">
        <f t="shared" si="18"/>
        <v>1</v>
      </c>
      <c r="AR11" s="113">
        <f t="shared" si="19"/>
        <v>1</v>
      </c>
      <c r="AS11" s="113">
        <f t="shared" si="20"/>
        <v>1</v>
      </c>
    </row>
    <row r="12" spans="1:45">
      <c r="A12" s="129" t="str">
        <f>Participantes!B9</f>
        <v>Oliver Amaya</v>
      </c>
      <c r="B12" s="150">
        <v>1</v>
      </c>
      <c r="C12" s="150">
        <v>0</v>
      </c>
      <c r="D12" s="150">
        <f t="shared" si="3"/>
        <v>0</v>
      </c>
      <c r="E12" s="120"/>
      <c r="F12" s="150">
        <v>1</v>
      </c>
      <c r="G12" s="150">
        <v>2</v>
      </c>
      <c r="H12" s="150">
        <f t="shared" si="4"/>
        <v>0</v>
      </c>
      <c r="I12" s="120"/>
      <c r="J12" s="150">
        <v>1</v>
      </c>
      <c r="K12" s="150">
        <v>1</v>
      </c>
      <c r="L12" s="150">
        <f t="shared" si="5"/>
        <v>0</v>
      </c>
      <c r="M12" s="120"/>
      <c r="N12" s="150">
        <v>3</v>
      </c>
      <c r="O12" s="150">
        <v>0</v>
      </c>
      <c r="P12" s="150">
        <f t="shared" si="6"/>
        <v>0</v>
      </c>
      <c r="Q12" s="120"/>
      <c r="R12" s="130">
        <v>2</v>
      </c>
      <c r="S12" s="130">
        <v>4</v>
      </c>
      <c r="T12" s="130">
        <f t="shared" si="7"/>
        <v>0</v>
      </c>
      <c r="U12" s="120"/>
      <c r="V12" s="130">
        <v>1</v>
      </c>
      <c r="W12" s="130">
        <v>3</v>
      </c>
      <c r="X12" s="130">
        <f t="shared" si="8"/>
        <v>0</v>
      </c>
      <c r="Y12" s="120"/>
      <c r="Z12" s="121">
        <f t="shared" si="9"/>
        <v>0</v>
      </c>
      <c r="AA12" s="116" t="str">
        <f t="shared" si="0"/>
        <v>España</v>
      </c>
      <c r="AB12" s="116">
        <f t="shared" si="10"/>
        <v>0</v>
      </c>
      <c r="AC12" s="116" t="str">
        <f t="shared" si="1"/>
        <v>Suecia</v>
      </c>
      <c r="AD12" s="116">
        <f t="shared" si="11"/>
        <v>3</v>
      </c>
      <c r="AE12" s="156" t="str">
        <f>Terceros!F13</f>
        <v/>
      </c>
      <c r="AF12" s="116">
        <f t="shared" si="12"/>
        <v>0</v>
      </c>
      <c r="AG12" s="148">
        <f t="shared" si="13"/>
        <v>3</v>
      </c>
      <c r="AJ12" s="132">
        <f t="shared" si="14"/>
        <v>3.4619999999999997</v>
      </c>
      <c r="AK12" s="132">
        <f t="shared" si="15"/>
        <v>1.4729999999999999</v>
      </c>
      <c r="AL12" s="132">
        <f t="shared" si="16"/>
        <v>4.5149999999999997</v>
      </c>
      <c r="AM12" s="132">
        <f t="shared" si="17"/>
        <v>9.5690000000000008</v>
      </c>
      <c r="AN12" s="113">
        <f t="shared" si="18"/>
        <v>3</v>
      </c>
      <c r="AO12" s="113">
        <f t="shared" si="18"/>
        <v>4</v>
      </c>
      <c r="AP12" s="113">
        <f t="shared" si="18"/>
        <v>2</v>
      </c>
      <c r="AQ12" s="113">
        <f t="shared" si="18"/>
        <v>1</v>
      </c>
      <c r="AR12" s="113">
        <f t="shared" si="19"/>
        <v>1</v>
      </c>
      <c r="AS12" s="113">
        <f t="shared" si="20"/>
        <v>1</v>
      </c>
    </row>
    <row r="13" spans="1:45">
      <c r="A13" s="129" t="str">
        <f>Participantes!B10</f>
        <v>Radames Guerrero</v>
      </c>
      <c r="B13" s="150">
        <v>2</v>
      </c>
      <c r="C13" s="150">
        <v>1</v>
      </c>
      <c r="D13" s="150">
        <f t="shared" si="3"/>
        <v>0</v>
      </c>
      <c r="E13" s="120"/>
      <c r="F13" s="150">
        <v>1</v>
      </c>
      <c r="G13" s="150">
        <v>1</v>
      </c>
      <c r="H13" s="150">
        <f t="shared" si="4"/>
        <v>1</v>
      </c>
      <c r="I13" s="120"/>
      <c r="J13" s="150">
        <v>1</v>
      </c>
      <c r="K13" s="150">
        <v>2</v>
      </c>
      <c r="L13" s="150">
        <f t="shared" si="5"/>
        <v>1</v>
      </c>
      <c r="M13" s="120"/>
      <c r="N13" s="150">
        <v>2</v>
      </c>
      <c r="O13" s="150">
        <v>0</v>
      </c>
      <c r="P13" s="150">
        <f t="shared" si="6"/>
        <v>0</v>
      </c>
      <c r="Q13" s="120"/>
      <c r="R13" s="130">
        <v>1</v>
      </c>
      <c r="S13" s="130">
        <v>3</v>
      </c>
      <c r="T13" s="130">
        <f t="shared" si="7"/>
        <v>0</v>
      </c>
      <c r="U13" s="120"/>
      <c r="V13" s="130">
        <v>1</v>
      </c>
      <c r="W13" s="130">
        <v>2</v>
      </c>
      <c r="X13" s="130">
        <f t="shared" si="8"/>
        <v>0</v>
      </c>
      <c r="Y13" s="120"/>
      <c r="Z13" s="121">
        <f t="shared" si="9"/>
        <v>2</v>
      </c>
      <c r="AA13" s="116" t="str">
        <f t="shared" si="0"/>
        <v>España</v>
      </c>
      <c r="AB13" s="116">
        <f t="shared" si="10"/>
        <v>0</v>
      </c>
      <c r="AC13" s="116" t="str">
        <f t="shared" si="1"/>
        <v>Suecia</v>
      </c>
      <c r="AD13" s="116">
        <f t="shared" si="11"/>
        <v>3</v>
      </c>
      <c r="AE13" s="156" t="str">
        <f>Terceros!F14</f>
        <v>Polonia</v>
      </c>
      <c r="AF13" s="116">
        <f t="shared" si="12"/>
        <v>0</v>
      </c>
      <c r="AG13" s="148">
        <f t="shared" si="13"/>
        <v>5</v>
      </c>
      <c r="AJ13" s="132">
        <f t="shared" si="14"/>
        <v>3.4830000000000001</v>
      </c>
      <c r="AK13" s="132">
        <f t="shared" si="15"/>
        <v>0.46300000000000002</v>
      </c>
      <c r="AL13" s="132">
        <f t="shared" si="16"/>
        <v>7.5249999999999995</v>
      </c>
      <c r="AM13" s="132">
        <f t="shared" si="17"/>
        <v>7.5460000000000003</v>
      </c>
      <c r="AN13" s="113">
        <f t="shared" si="18"/>
        <v>3</v>
      </c>
      <c r="AO13" s="113">
        <f t="shared" si="18"/>
        <v>4</v>
      </c>
      <c r="AP13" s="113">
        <f t="shared" si="18"/>
        <v>2</v>
      </c>
      <c r="AQ13" s="113">
        <f t="shared" si="18"/>
        <v>1</v>
      </c>
      <c r="AR13" s="113">
        <f t="shared" si="19"/>
        <v>1</v>
      </c>
      <c r="AS13" s="113">
        <f t="shared" si="20"/>
        <v>1</v>
      </c>
    </row>
    <row r="14" spans="1:45">
      <c r="A14" s="129" t="str">
        <f>Participantes!B11</f>
        <v>Effie Latouche</v>
      </c>
      <c r="B14" s="150">
        <v>1</v>
      </c>
      <c r="C14" s="150">
        <v>2</v>
      </c>
      <c r="D14" s="150">
        <f t="shared" si="3"/>
        <v>3</v>
      </c>
      <c r="E14" s="120"/>
      <c r="F14" s="150">
        <v>1</v>
      </c>
      <c r="G14" s="150">
        <v>2</v>
      </c>
      <c r="H14" s="150">
        <f t="shared" si="4"/>
        <v>0</v>
      </c>
      <c r="I14" s="120"/>
      <c r="J14" s="150">
        <v>1</v>
      </c>
      <c r="K14" s="150">
        <v>3</v>
      </c>
      <c r="L14" s="150">
        <f t="shared" si="5"/>
        <v>1</v>
      </c>
      <c r="M14" s="120"/>
      <c r="N14" s="150">
        <v>3</v>
      </c>
      <c r="O14" s="150">
        <v>1</v>
      </c>
      <c r="P14" s="150">
        <f t="shared" si="6"/>
        <v>0</v>
      </c>
      <c r="Q14" s="120"/>
      <c r="R14" s="130">
        <v>1</v>
      </c>
      <c r="S14" s="130">
        <v>3</v>
      </c>
      <c r="T14" s="130">
        <f t="shared" si="7"/>
        <v>0</v>
      </c>
      <c r="U14" s="120"/>
      <c r="V14" s="130">
        <v>1</v>
      </c>
      <c r="W14" s="130">
        <v>2</v>
      </c>
      <c r="X14" s="130">
        <f t="shared" si="8"/>
        <v>0</v>
      </c>
      <c r="Y14" s="120"/>
      <c r="Z14" s="121">
        <f t="shared" si="9"/>
        <v>4</v>
      </c>
      <c r="AA14" s="116" t="str">
        <f t="shared" si="0"/>
        <v>España</v>
      </c>
      <c r="AB14" s="116">
        <f t="shared" si="10"/>
        <v>0</v>
      </c>
      <c r="AC14" s="116" t="str">
        <f t="shared" si="1"/>
        <v>Suecia</v>
      </c>
      <c r="AD14" s="116">
        <f t="shared" si="11"/>
        <v>3</v>
      </c>
      <c r="AE14" s="156" t="str">
        <f>Terceros!F15</f>
        <v>Eslovaquia</v>
      </c>
      <c r="AF14" s="116">
        <f t="shared" si="12"/>
        <v>3</v>
      </c>
      <c r="AG14" s="148">
        <f t="shared" si="13"/>
        <v>10</v>
      </c>
      <c r="AJ14" s="132">
        <f t="shared" si="14"/>
        <v>0.46300000000000002</v>
      </c>
      <c r="AK14" s="132">
        <f t="shared" si="15"/>
        <v>3.4740000000000002</v>
      </c>
      <c r="AL14" s="132">
        <f t="shared" si="16"/>
        <v>6.5259999999999998</v>
      </c>
      <c r="AM14" s="132">
        <f t="shared" si="17"/>
        <v>9.5579999999999998</v>
      </c>
      <c r="AN14" s="113">
        <f t="shared" si="18"/>
        <v>4</v>
      </c>
      <c r="AO14" s="113">
        <f t="shared" si="18"/>
        <v>3</v>
      </c>
      <c r="AP14" s="113">
        <f t="shared" si="18"/>
        <v>2</v>
      </c>
      <c r="AQ14" s="113">
        <f t="shared" si="18"/>
        <v>1</v>
      </c>
      <c r="AR14" s="113">
        <f t="shared" si="19"/>
        <v>1</v>
      </c>
      <c r="AS14" s="113">
        <f t="shared" si="20"/>
        <v>1</v>
      </c>
    </row>
    <row r="15" spans="1:45">
      <c r="A15" s="129" t="str">
        <f>Participantes!B12</f>
        <v>Sandra Badilla</v>
      </c>
      <c r="B15" s="150">
        <v>1</v>
      </c>
      <c r="C15" s="150">
        <v>2</v>
      </c>
      <c r="D15" s="150">
        <f t="shared" si="3"/>
        <v>3</v>
      </c>
      <c r="E15" s="120"/>
      <c r="F15" s="150">
        <v>0</v>
      </c>
      <c r="G15" s="150">
        <v>3</v>
      </c>
      <c r="H15" s="150">
        <f t="shared" si="4"/>
        <v>0</v>
      </c>
      <c r="I15" s="120"/>
      <c r="J15" s="150">
        <v>0</v>
      </c>
      <c r="K15" s="150">
        <v>1</v>
      </c>
      <c r="L15" s="150">
        <f t="shared" si="5"/>
        <v>3</v>
      </c>
      <c r="M15" s="120"/>
      <c r="N15" s="150">
        <v>3</v>
      </c>
      <c r="O15" s="150">
        <v>0</v>
      </c>
      <c r="P15" s="150">
        <f t="shared" si="6"/>
        <v>0</v>
      </c>
      <c r="Q15" s="120"/>
      <c r="R15" s="130">
        <v>0</v>
      </c>
      <c r="S15" s="130">
        <v>3</v>
      </c>
      <c r="T15" s="130">
        <f t="shared" si="7"/>
        <v>0</v>
      </c>
      <c r="U15" s="120"/>
      <c r="V15" s="130">
        <v>1</v>
      </c>
      <c r="W15" s="130">
        <v>2</v>
      </c>
      <c r="X15" s="130">
        <f t="shared" si="8"/>
        <v>0</v>
      </c>
      <c r="Y15" s="120"/>
      <c r="Z15" s="121">
        <f t="shared" si="9"/>
        <v>6</v>
      </c>
      <c r="AA15" s="116" t="str">
        <f t="shared" si="0"/>
        <v>España</v>
      </c>
      <c r="AB15" s="116">
        <f t="shared" si="10"/>
        <v>0</v>
      </c>
      <c r="AC15" s="116" t="str">
        <f t="shared" si="1"/>
        <v>Suecia</v>
      </c>
      <c r="AD15" s="116">
        <f t="shared" si="11"/>
        <v>3</v>
      </c>
      <c r="AE15" s="156" t="str">
        <f>Terceros!F16</f>
        <v/>
      </c>
      <c r="AF15" s="116">
        <f t="shared" si="12"/>
        <v>0</v>
      </c>
      <c r="AG15" s="148">
        <f t="shared" si="13"/>
        <v>9</v>
      </c>
      <c r="AJ15" s="132">
        <f t="shared" si="14"/>
        <v>0.45200000000000001</v>
      </c>
      <c r="AK15" s="132">
        <f t="shared" si="15"/>
        <v>3.472</v>
      </c>
      <c r="AL15" s="132">
        <f t="shared" si="16"/>
        <v>6.4930000000000003</v>
      </c>
      <c r="AM15" s="132">
        <f t="shared" si="17"/>
        <v>9.5990000000000002</v>
      </c>
      <c r="AN15" s="113">
        <f t="shared" si="18"/>
        <v>4</v>
      </c>
      <c r="AO15" s="113">
        <f t="shared" si="18"/>
        <v>3</v>
      </c>
      <c r="AP15" s="113">
        <f t="shared" si="18"/>
        <v>2</v>
      </c>
      <c r="AQ15" s="113">
        <f t="shared" si="18"/>
        <v>1</v>
      </c>
      <c r="AR15" s="113">
        <f t="shared" si="19"/>
        <v>1</v>
      </c>
      <c r="AS15" s="113">
        <f t="shared" si="20"/>
        <v>1</v>
      </c>
    </row>
    <row r="16" spans="1:45">
      <c r="A16" s="129" t="str">
        <f>Participantes!B13</f>
        <v>Samantha Montero 1</v>
      </c>
      <c r="B16" s="150">
        <v>1</v>
      </c>
      <c r="C16" s="150">
        <v>1</v>
      </c>
      <c r="D16" s="150">
        <f t="shared" si="3"/>
        <v>0</v>
      </c>
      <c r="E16" s="120"/>
      <c r="F16" s="150">
        <v>3</v>
      </c>
      <c r="G16" s="150">
        <v>2</v>
      </c>
      <c r="H16" s="150">
        <f t="shared" si="4"/>
        <v>0</v>
      </c>
      <c r="I16" s="120"/>
      <c r="J16" s="150">
        <v>1</v>
      </c>
      <c r="K16" s="150">
        <v>2</v>
      </c>
      <c r="L16" s="150">
        <f t="shared" si="5"/>
        <v>1</v>
      </c>
      <c r="M16" s="120"/>
      <c r="N16" s="150">
        <v>3</v>
      </c>
      <c r="O16" s="150">
        <v>2</v>
      </c>
      <c r="P16" s="150">
        <f t="shared" si="6"/>
        <v>0</v>
      </c>
      <c r="Q16" s="120"/>
      <c r="R16" s="130">
        <v>0</v>
      </c>
      <c r="S16" s="130">
        <v>2</v>
      </c>
      <c r="T16" s="130">
        <f t="shared" si="7"/>
        <v>0</v>
      </c>
      <c r="U16" s="120"/>
      <c r="V16" s="130">
        <v>1</v>
      </c>
      <c r="W16" s="130">
        <v>2</v>
      </c>
      <c r="X16" s="130">
        <f t="shared" si="8"/>
        <v>0</v>
      </c>
      <c r="Y16" s="120"/>
      <c r="Z16" s="121">
        <f t="shared" si="9"/>
        <v>1</v>
      </c>
      <c r="AA16" s="116" t="str">
        <f t="shared" si="0"/>
        <v>Suecia</v>
      </c>
      <c r="AB16" s="116">
        <f t="shared" si="10"/>
        <v>6</v>
      </c>
      <c r="AC16" s="116" t="str">
        <f t="shared" si="1"/>
        <v>España</v>
      </c>
      <c r="AD16" s="116">
        <f t="shared" si="11"/>
        <v>0</v>
      </c>
      <c r="AE16" s="156" t="str">
        <f>Terceros!F17</f>
        <v/>
      </c>
      <c r="AF16" s="116">
        <f t="shared" si="12"/>
        <v>0</v>
      </c>
      <c r="AG16" s="148">
        <f t="shared" si="13"/>
        <v>7</v>
      </c>
      <c r="AJ16" s="132">
        <f t="shared" si="14"/>
        <v>1.484</v>
      </c>
      <c r="AK16" s="132">
        <f t="shared" si="15"/>
        <v>1.472</v>
      </c>
      <c r="AL16" s="132">
        <f t="shared" si="16"/>
        <v>9.536999999999999</v>
      </c>
      <c r="AM16" s="132">
        <f t="shared" si="17"/>
        <v>6.5269999999999992</v>
      </c>
      <c r="AN16" s="113">
        <f t="shared" si="18"/>
        <v>3</v>
      </c>
      <c r="AO16" s="113">
        <f t="shared" si="18"/>
        <v>4</v>
      </c>
      <c r="AP16" s="113">
        <f t="shared" si="18"/>
        <v>1</v>
      </c>
      <c r="AQ16" s="113">
        <f t="shared" si="18"/>
        <v>2</v>
      </c>
      <c r="AR16" s="113">
        <f t="shared" si="19"/>
        <v>1</v>
      </c>
      <c r="AS16" s="113">
        <f t="shared" si="20"/>
        <v>1</v>
      </c>
    </row>
    <row r="17" spans="1:45">
      <c r="A17" s="129" t="str">
        <f>Participantes!B14</f>
        <v>Samantha Mont. 2 (Jairo)</v>
      </c>
      <c r="B17" s="150">
        <v>2</v>
      </c>
      <c r="C17" s="150">
        <v>1</v>
      </c>
      <c r="D17" s="150">
        <f t="shared" si="3"/>
        <v>0</v>
      </c>
      <c r="E17" s="120"/>
      <c r="F17" s="150">
        <v>1</v>
      </c>
      <c r="G17" s="150">
        <v>3</v>
      </c>
      <c r="H17" s="150">
        <f t="shared" si="4"/>
        <v>0</v>
      </c>
      <c r="I17" s="120"/>
      <c r="J17" s="150">
        <v>1</v>
      </c>
      <c r="K17" s="150">
        <v>1</v>
      </c>
      <c r="L17" s="150">
        <f t="shared" si="5"/>
        <v>0</v>
      </c>
      <c r="M17" s="120"/>
      <c r="N17" s="150">
        <v>4</v>
      </c>
      <c r="O17" s="150">
        <v>1</v>
      </c>
      <c r="P17" s="150">
        <f t="shared" si="6"/>
        <v>0</v>
      </c>
      <c r="Q17" s="120"/>
      <c r="R17" s="130">
        <v>0</v>
      </c>
      <c r="S17" s="130">
        <v>2</v>
      </c>
      <c r="T17" s="130">
        <f t="shared" si="7"/>
        <v>0</v>
      </c>
      <c r="U17" s="120"/>
      <c r="V17" s="130">
        <v>0</v>
      </c>
      <c r="W17" s="130">
        <v>0</v>
      </c>
      <c r="X17" s="130">
        <f t="shared" si="8"/>
        <v>0</v>
      </c>
      <c r="Y17" s="120"/>
      <c r="Z17" s="121">
        <f t="shared" si="9"/>
        <v>0</v>
      </c>
      <c r="AA17" s="116" t="str">
        <f t="shared" si="0"/>
        <v>España</v>
      </c>
      <c r="AB17" s="116">
        <f t="shared" si="10"/>
        <v>0</v>
      </c>
      <c r="AC17" s="116" t="str">
        <f t="shared" si="1"/>
        <v>Polonia</v>
      </c>
      <c r="AD17" s="116">
        <f t="shared" si="11"/>
        <v>0</v>
      </c>
      <c r="AE17" s="156" t="str">
        <f>Terceros!F18</f>
        <v/>
      </c>
      <c r="AF17" s="116">
        <f t="shared" si="12"/>
        <v>0</v>
      </c>
      <c r="AG17" s="148">
        <f t="shared" si="13"/>
        <v>0</v>
      </c>
      <c r="AJ17" s="132">
        <f t="shared" si="14"/>
        <v>4.4830000000000005</v>
      </c>
      <c r="AK17" s="132">
        <f t="shared" si="15"/>
        <v>1.472</v>
      </c>
      <c r="AL17" s="132">
        <f t="shared" si="16"/>
        <v>2.4819999999999998</v>
      </c>
      <c r="AM17" s="132">
        <f t="shared" si="17"/>
        <v>9.5790000000000006</v>
      </c>
      <c r="AN17" s="113">
        <f t="shared" si="18"/>
        <v>2</v>
      </c>
      <c r="AO17" s="113">
        <f t="shared" si="18"/>
        <v>4</v>
      </c>
      <c r="AP17" s="113">
        <f t="shared" si="18"/>
        <v>3</v>
      </c>
      <c r="AQ17" s="113">
        <f t="shared" si="18"/>
        <v>1</v>
      </c>
      <c r="AR17" s="113">
        <f t="shared" si="19"/>
        <v>1</v>
      </c>
      <c r="AS17" s="113">
        <f t="shared" si="20"/>
        <v>1</v>
      </c>
    </row>
    <row r="18" spans="1:45">
      <c r="A18" s="129" t="str">
        <f>Participantes!B15</f>
        <v>Samantha Mont. 3(Jafet)</v>
      </c>
      <c r="B18" s="150">
        <v>1</v>
      </c>
      <c r="C18" s="150">
        <v>1</v>
      </c>
      <c r="D18" s="150">
        <f t="shared" si="3"/>
        <v>0</v>
      </c>
      <c r="E18" s="120"/>
      <c r="F18" s="150">
        <v>1</v>
      </c>
      <c r="G18" s="150">
        <v>2</v>
      </c>
      <c r="H18" s="150">
        <f t="shared" si="4"/>
        <v>0</v>
      </c>
      <c r="I18" s="120"/>
      <c r="J18" s="150">
        <v>0</v>
      </c>
      <c r="K18" s="150">
        <v>1</v>
      </c>
      <c r="L18" s="150">
        <f t="shared" si="5"/>
        <v>3</v>
      </c>
      <c r="M18" s="120"/>
      <c r="N18" s="150">
        <v>2</v>
      </c>
      <c r="O18" s="150">
        <v>1</v>
      </c>
      <c r="P18" s="150">
        <f t="shared" si="6"/>
        <v>0</v>
      </c>
      <c r="Q18" s="120"/>
      <c r="R18" s="130">
        <v>0</v>
      </c>
      <c r="S18" s="130">
        <v>1</v>
      </c>
      <c r="T18" s="130">
        <f t="shared" si="7"/>
        <v>0</v>
      </c>
      <c r="U18" s="120"/>
      <c r="V18" s="130">
        <v>2</v>
      </c>
      <c r="W18" s="130">
        <v>2</v>
      </c>
      <c r="X18" s="130">
        <f t="shared" si="8"/>
        <v>0</v>
      </c>
      <c r="Y18" s="120"/>
      <c r="Z18" s="121">
        <f t="shared" si="9"/>
        <v>3</v>
      </c>
      <c r="AA18" s="116" t="str">
        <f t="shared" si="0"/>
        <v>España</v>
      </c>
      <c r="AB18" s="116">
        <f t="shared" si="10"/>
        <v>0</v>
      </c>
      <c r="AC18" s="116" t="str">
        <f t="shared" si="1"/>
        <v>Suecia</v>
      </c>
      <c r="AD18" s="116">
        <f t="shared" si="11"/>
        <v>3</v>
      </c>
      <c r="AE18" s="156" t="str">
        <f>Terceros!F19</f>
        <v/>
      </c>
      <c r="AF18" s="116">
        <f t="shared" si="12"/>
        <v>0</v>
      </c>
      <c r="AG18" s="148">
        <f t="shared" si="13"/>
        <v>6</v>
      </c>
      <c r="AJ18" s="132">
        <f t="shared" si="14"/>
        <v>2.4939999999999998</v>
      </c>
      <c r="AK18" s="132">
        <f t="shared" si="15"/>
        <v>1.4809999999999999</v>
      </c>
      <c r="AL18" s="132">
        <f t="shared" si="16"/>
        <v>4.5039999999999996</v>
      </c>
      <c r="AM18" s="132">
        <f t="shared" si="17"/>
        <v>9.5350000000000001</v>
      </c>
      <c r="AN18" s="113">
        <f t="shared" si="18"/>
        <v>3</v>
      </c>
      <c r="AO18" s="113">
        <f t="shared" si="18"/>
        <v>4</v>
      </c>
      <c r="AP18" s="113">
        <f t="shared" si="18"/>
        <v>2</v>
      </c>
      <c r="AQ18" s="113">
        <f t="shared" si="18"/>
        <v>1</v>
      </c>
      <c r="AR18" s="113">
        <f t="shared" si="19"/>
        <v>1</v>
      </c>
      <c r="AS18" s="113">
        <f t="shared" si="20"/>
        <v>1</v>
      </c>
    </row>
    <row r="19" spans="1:45">
      <c r="A19" s="129" t="str">
        <f>Participantes!B16</f>
        <v>Mileny Acosta</v>
      </c>
      <c r="B19" s="150">
        <v>0</v>
      </c>
      <c r="C19" s="150">
        <v>0</v>
      </c>
      <c r="D19" s="150">
        <f t="shared" si="3"/>
        <v>0</v>
      </c>
      <c r="E19" s="120"/>
      <c r="F19" s="150">
        <v>1</v>
      </c>
      <c r="G19" s="150">
        <v>1</v>
      </c>
      <c r="H19" s="150">
        <f t="shared" si="4"/>
        <v>1</v>
      </c>
      <c r="I19" s="120"/>
      <c r="J19" s="150">
        <v>0</v>
      </c>
      <c r="K19" s="150">
        <v>2</v>
      </c>
      <c r="L19" s="150">
        <f t="shared" si="5"/>
        <v>1</v>
      </c>
      <c r="M19" s="120"/>
      <c r="N19" s="150">
        <v>2</v>
      </c>
      <c r="O19" s="150">
        <v>0</v>
      </c>
      <c r="P19" s="150">
        <f t="shared" si="6"/>
        <v>0</v>
      </c>
      <c r="Q19" s="120"/>
      <c r="R19" s="130">
        <v>1</v>
      </c>
      <c r="S19" s="130">
        <v>3</v>
      </c>
      <c r="T19" s="130">
        <f t="shared" si="7"/>
        <v>0</v>
      </c>
      <c r="U19" s="120"/>
      <c r="V19" s="130">
        <v>0</v>
      </c>
      <c r="W19" s="130">
        <v>1</v>
      </c>
      <c r="X19" s="130">
        <f t="shared" si="8"/>
        <v>0</v>
      </c>
      <c r="Y19" s="120"/>
      <c r="Z19" s="121">
        <f t="shared" si="9"/>
        <v>2</v>
      </c>
      <c r="AA19" s="116" t="str">
        <f t="shared" si="0"/>
        <v>España</v>
      </c>
      <c r="AB19" s="116">
        <f t="shared" si="10"/>
        <v>0</v>
      </c>
      <c r="AC19" s="116" t="str">
        <f t="shared" si="1"/>
        <v>Suecia</v>
      </c>
      <c r="AD19" s="116">
        <f t="shared" si="11"/>
        <v>3</v>
      </c>
      <c r="AE19" s="156" t="str">
        <f>Terceros!F20</f>
        <v/>
      </c>
      <c r="AF19" s="116">
        <f t="shared" si="12"/>
        <v>0</v>
      </c>
      <c r="AG19" s="148">
        <f t="shared" si="13"/>
        <v>5</v>
      </c>
      <c r="AJ19" s="132">
        <f t="shared" si="14"/>
        <v>1.47</v>
      </c>
      <c r="AK19" s="132">
        <f t="shared" si="15"/>
        <v>1.4609999999999999</v>
      </c>
      <c r="AL19" s="132">
        <f t="shared" si="16"/>
        <v>7.5339999999999998</v>
      </c>
      <c r="AM19" s="132">
        <f t="shared" si="17"/>
        <v>7.5460000000000003</v>
      </c>
      <c r="AN19" s="113">
        <f t="shared" si="18"/>
        <v>3</v>
      </c>
      <c r="AO19" s="113">
        <f t="shared" si="18"/>
        <v>4</v>
      </c>
      <c r="AP19" s="113">
        <f t="shared" si="18"/>
        <v>2</v>
      </c>
      <c r="AQ19" s="113">
        <f t="shared" si="18"/>
        <v>1</v>
      </c>
      <c r="AR19" s="113">
        <f t="shared" si="19"/>
        <v>1</v>
      </c>
      <c r="AS19" s="113">
        <f t="shared" si="20"/>
        <v>1</v>
      </c>
    </row>
    <row r="20" spans="1:45">
      <c r="A20" s="129" t="str">
        <f>Participantes!B17</f>
        <v>Mileny Acosta(CF)</v>
      </c>
      <c r="B20" s="150">
        <v>0</v>
      </c>
      <c r="C20" s="150">
        <v>1</v>
      </c>
      <c r="D20" s="150">
        <f t="shared" si="3"/>
        <v>1</v>
      </c>
      <c r="E20" s="120"/>
      <c r="F20" s="150">
        <v>1</v>
      </c>
      <c r="G20" s="150">
        <v>0</v>
      </c>
      <c r="H20" s="150">
        <f t="shared" si="4"/>
        <v>0</v>
      </c>
      <c r="I20" s="120"/>
      <c r="J20" s="150">
        <v>1</v>
      </c>
      <c r="K20" s="150">
        <v>2</v>
      </c>
      <c r="L20" s="150">
        <f t="shared" si="5"/>
        <v>1</v>
      </c>
      <c r="M20" s="120"/>
      <c r="N20" s="150">
        <v>2</v>
      </c>
      <c r="O20" s="150">
        <v>0</v>
      </c>
      <c r="P20" s="150">
        <f t="shared" si="6"/>
        <v>0</v>
      </c>
      <c r="Q20" s="120"/>
      <c r="R20" s="130">
        <v>1</v>
      </c>
      <c r="S20" s="130">
        <v>3</v>
      </c>
      <c r="T20" s="130">
        <f t="shared" si="7"/>
        <v>0</v>
      </c>
      <c r="U20" s="120"/>
      <c r="V20" s="130">
        <v>1</v>
      </c>
      <c r="W20" s="130">
        <v>2</v>
      </c>
      <c r="X20" s="130">
        <f t="shared" si="8"/>
        <v>0</v>
      </c>
      <c r="Y20" s="120"/>
      <c r="Z20" s="121">
        <f t="shared" si="9"/>
        <v>2</v>
      </c>
      <c r="AA20" s="116" t="str">
        <f t="shared" si="0"/>
        <v>Suecia</v>
      </c>
      <c r="AB20" s="116">
        <f t="shared" si="10"/>
        <v>6</v>
      </c>
      <c r="AC20" s="116" t="str">
        <f t="shared" si="1"/>
        <v>España</v>
      </c>
      <c r="AD20" s="116">
        <f t="shared" si="11"/>
        <v>0</v>
      </c>
      <c r="AE20" s="156" t="str">
        <f>Terceros!F21</f>
        <v>Eslovaquia</v>
      </c>
      <c r="AF20" s="116">
        <f t="shared" si="12"/>
        <v>3</v>
      </c>
      <c r="AG20" s="148">
        <f t="shared" si="13"/>
        <v>11</v>
      </c>
      <c r="AJ20" s="132">
        <f t="shared" si="14"/>
        <v>0.46100000000000002</v>
      </c>
      <c r="AK20" s="132">
        <f t="shared" si="15"/>
        <v>3.4830000000000001</v>
      </c>
      <c r="AL20" s="132">
        <f t="shared" si="16"/>
        <v>9.5350000000000001</v>
      </c>
      <c r="AM20" s="132">
        <f t="shared" si="17"/>
        <v>6.5350000000000001</v>
      </c>
      <c r="AN20" s="113">
        <f t="shared" si="18"/>
        <v>4</v>
      </c>
      <c r="AO20" s="113">
        <f t="shared" si="18"/>
        <v>3</v>
      </c>
      <c r="AP20" s="113">
        <f t="shared" si="18"/>
        <v>1</v>
      </c>
      <c r="AQ20" s="113">
        <f t="shared" si="18"/>
        <v>2</v>
      </c>
      <c r="AR20" s="113">
        <f t="shared" si="19"/>
        <v>1</v>
      </c>
      <c r="AS20" s="113">
        <f t="shared" si="20"/>
        <v>1</v>
      </c>
    </row>
    <row r="21" spans="1:45">
      <c r="A21" s="129" t="str">
        <f>Participantes!B18</f>
        <v>Juan Rojas</v>
      </c>
      <c r="B21" s="150">
        <v>1</v>
      </c>
      <c r="C21" s="150">
        <v>1</v>
      </c>
      <c r="D21" s="150">
        <f t="shared" si="3"/>
        <v>0</v>
      </c>
      <c r="E21" s="120"/>
      <c r="F21" s="150">
        <v>1</v>
      </c>
      <c r="G21" s="150">
        <v>1</v>
      </c>
      <c r="H21" s="150">
        <f t="shared" si="4"/>
        <v>1</v>
      </c>
      <c r="I21" s="120"/>
      <c r="J21" s="150">
        <v>1</v>
      </c>
      <c r="K21" s="150">
        <v>2</v>
      </c>
      <c r="L21" s="150">
        <f t="shared" si="5"/>
        <v>1</v>
      </c>
      <c r="M21" s="120"/>
      <c r="N21" s="150">
        <v>2</v>
      </c>
      <c r="O21" s="150">
        <v>1</v>
      </c>
      <c r="P21" s="150">
        <f t="shared" si="6"/>
        <v>0</v>
      </c>
      <c r="Q21" s="120"/>
      <c r="R21" s="130">
        <v>0</v>
      </c>
      <c r="S21" s="130">
        <v>2</v>
      </c>
      <c r="T21" s="130">
        <f t="shared" si="7"/>
        <v>0</v>
      </c>
      <c r="U21" s="120"/>
      <c r="V21" s="130">
        <v>1</v>
      </c>
      <c r="W21" s="130">
        <v>3</v>
      </c>
      <c r="X21" s="130">
        <f t="shared" si="8"/>
        <v>0</v>
      </c>
      <c r="Y21" s="120"/>
      <c r="Z21" s="121">
        <f t="shared" si="9"/>
        <v>2</v>
      </c>
      <c r="AA21" s="116" t="str">
        <f t="shared" si="0"/>
        <v>Suecia</v>
      </c>
      <c r="AB21" s="116">
        <f t="shared" si="10"/>
        <v>6</v>
      </c>
      <c r="AC21" s="116" t="str">
        <f t="shared" si="1"/>
        <v>España</v>
      </c>
      <c r="AD21" s="116">
        <f t="shared" si="11"/>
        <v>0</v>
      </c>
      <c r="AE21" s="156" t="str">
        <f>Terceros!F22</f>
        <v/>
      </c>
      <c r="AF21" s="116">
        <f t="shared" si="12"/>
        <v>0</v>
      </c>
      <c r="AG21" s="148">
        <f t="shared" si="13"/>
        <v>8</v>
      </c>
      <c r="AJ21" s="132">
        <f t="shared" si="14"/>
        <v>1.4729999999999999</v>
      </c>
      <c r="AK21" s="132">
        <f t="shared" si="15"/>
        <v>1.472</v>
      </c>
      <c r="AL21" s="132">
        <f t="shared" si="16"/>
        <v>7.5360000000000005</v>
      </c>
      <c r="AM21" s="132">
        <f t="shared" si="17"/>
        <v>7.5350000000000001</v>
      </c>
      <c r="AN21" s="113">
        <f t="shared" ref="AN21:AQ27" si="21">_xlfn.RANK.EQ(AJ21,$AJ21:$AM21,0)</f>
        <v>3</v>
      </c>
      <c r="AO21" s="113">
        <f t="shared" si="21"/>
        <v>4</v>
      </c>
      <c r="AP21" s="113">
        <f t="shared" si="21"/>
        <v>1</v>
      </c>
      <c r="AQ21" s="113">
        <f t="shared" si="21"/>
        <v>2</v>
      </c>
      <c r="AR21" s="113">
        <f t="shared" si="19"/>
        <v>1</v>
      </c>
      <c r="AS21" s="113">
        <f t="shared" si="20"/>
        <v>1</v>
      </c>
    </row>
    <row r="22" spans="1:45">
      <c r="A22" s="129" t="str">
        <f>Participantes!B19</f>
        <v>Bilis Cedeño</v>
      </c>
      <c r="B22" s="150">
        <v>1</v>
      </c>
      <c r="C22" s="150">
        <v>1</v>
      </c>
      <c r="D22" s="150">
        <f t="shared" si="3"/>
        <v>0</v>
      </c>
      <c r="E22" s="120"/>
      <c r="F22" s="150">
        <v>1</v>
      </c>
      <c r="G22" s="150">
        <v>2</v>
      </c>
      <c r="H22" s="150">
        <f t="shared" si="4"/>
        <v>0</v>
      </c>
      <c r="I22" s="120"/>
      <c r="J22" s="150">
        <v>0</v>
      </c>
      <c r="K22" s="150">
        <v>2</v>
      </c>
      <c r="L22" s="150">
        <f t="shared" si="5"/>
        <v>1</v>
      </c>
      <c r="M22" s="120"/>
      <c r="N22" s="150">
        <v>1</v>
      </c>
      <c r="O22" s="150">
        <v>1</v>
      </c>
      <c r="P22" s="150">
        <f t="shared" si="6"/>
        <v>3</v>
      </c>
      <c r="Q22" s="120"/>
      <c r="R22" s="130">
        <v>1</v>
      </c>
      <c r="S22" s="130">
        <v>2</v>
      </c>
      <c r="T22" s="130">
        <f t="shared" si="7"/>
        <v>0</v>
      </c>
      <c r="U22" s="120"/>
      <c r="V22" s="130">
        <v>1</v>
      </c>
      <c r="W22" s="130">
        <v>2</v>
      </c>
      <c r="X22" s="130">
        <f t="shared" si="8"/>
        <v>0</v>
      </c>
      <c r="Y22" s="120"/>
      <c r="Z22" s="121">
        <f t="shared" si="9"/>
        <v>4</v>
      </c>
      <c r="AA22" s="116" t="str">
        <f t="shared" si="0"/>
        <v>España</v>
      </c>
      <c r="AB22" s="116">
        <f t="shared" si="10"/>
        <v>0</v>
      </c>
      <c r="AC22" s="116" t="str">
        <f t="shared" si="1"/>
        <v>Suecia</v>
      </c>
      <c r="AD22" s="116">
        <f t="shared" si="11"/>
        <v>3</v>
      </c>
      <c r="AE22" s="156" t="str">
        <f>Terceros!F23</f>
        <v/>
      </c>
      <c r="AF22" s="116">
        <f t="shared" si="12"/>
        <v>0</v>
      </c>
      <c r="AG22" s="148">
        <f t="shared" si="13"/>
        <v>7</v>
      </c>
      <c r="AJ22" s="132">
        <f t="shared" si="14"/>
        <v>2.4930000000000003</v>
      </c>
      <c r="AK22" s="132">
        <f t="shared" si="15"/>
        <v>1.472</v>
      </c>
      <c r="AL22" s="132">
        <f t="shared" si="16"/>
        <v>6.5249999999999995</v>
      </c>
      <c r="AM22" s="132">
        <f t="shared" si="17"/>
        <v>7.5249999999999995</v>
      </c>
      <c r="AN22" s="113">
        <f t="shared" si="21"/>
        <v>3</v>
      </c>
      <c r="AO22" s="113">
        <f t="shared" si="21"/>
        <v>4</v>
      </c>
      <c r="AP22" s="113">
        <f t="shared" si="21"/>
        <v>2</v>
      </c>
      <c r="AQ22" s="113">
        <f t="shared" si="21"/>
        <v>1</v>
      </c>
      <c r="AR22" s="113">
        <f t="shared" si="19"/>
        <v>1</v>
      </c>
      <c r="AS22" s="113">
        <f t="shared" si="20"/>
        <v>1</v>
      </c>
    </row>
    <row r="23" spans="1:45">
      <c r="A23" s="129" t="str">
        <f>Participantes!B20</f>
        <v>Alfredo Quintero 1</v>
      </c>
      <c r="B23" s="150">
        <v>1</v>
      </c>
      <c r="C23" s="150">
        <v>0</v>
      </c>
      <c r="D23" s="150">
        <f t="shared" si="3"/>
        <v>0</v>
      </c>
      <c r="E23" s="120"/>
      <c r="F23" s="150">
        <v>0</v>
      </c>
      <c r="G23" s="150">
        <v>2</v>
      </c>
      <c r="H23" s="150">
        <f t="shared" si="4"/>
        <v>0</v>
      </c>
      <c r="I23" s="120"/>
      <c r="J23" s="150">
        <v>1</v>
      </c>
      <c r="K23" s="150">
        <v>0</v>
      </c>
      <c r="L23" s="150">
        <f t="shared" si="5"/>
        <v>0</v>
      </c>
      <c r="M23" s="120"/>
      <c r="N23" s="150">
        <v>1</v>
      </c>
      <c r="O23" s="150">
        <v>1</v>
      </c>
      <c r="P23" s="150">
        <f t="shared" si="6"/>
        <v>3</v>
      </c>
      <c r="Q23" s="120"/>
      <c r="R23" s="130">
        <v>1</v>
      </c>
      <c r="S23" s="130">
        <v>2</v>
      </c>
      <c r="T23" s="130">
        <f t="shared" si="7"/>
        <v>0</v>
      </c>
      <c r="U23" s="120"/>
      <c r="V23" s="130">
        <v>1</v>
      </c>
      <c r="W23" s="130">
        <v>1</v>
      </c>
      <c r="X23" s="130">
        <f t="shared" si="8"/>
        <v>0</v>
      </c>
      <c r="Y23" s="120"/>
      <c r="Z23" s="121">
        <f t="shared" si="9"/>
        <v>3</v>
      </c>
      <c r="AA23" s="116" t="str">
        <f t="shared" si="0"/>
        <v>España</v>
      </c>
      <c r="AB23" s="116">
        <f t="shared" si="10"/>
        <v>0</v>
      </c>
      <c r="AC23" s="116" t="str">
        <f t="shared" si="1"/>
        <v>Polonia</v>
      </c>
      <c r="AD23" s="116">
        <f t="shared" si="11"/>
        <v>0</v>
      </c>
      <c r="AE23" s="156" t="str">
        <f>Terceros!F24</f>
        <v>Eslovaquia</v>
      </c>
      <c r="AF23" s="116">
        <f t="shared" si="12"/>
        <v>3</v>
      </c>
      <c r="AG23" s="148">
        <f t="shared" si="13"/>
        <v>6</v>
      </c>
      <c r="AJ23" s="132">
        <f t="shared" si="14"/>
        <v>5.5129999999999999</v>
      </c>
      <c r="AK23" s="132">
        <f t="shared" si="15"/>
        <v>3.492</v>
      </c>
      <c r="AL23" s="132">
        <f t="shared" si="16"/>
        <v>1.4709999999999999</v>
      </c>
      <c r="AM23" s="132">
        <f t="shared" si="17"/>
        <v>7.5350000000000001</v>
      </c>
      <c r="AN23" s="113">
        <f t="shared" si="21"/>
        <v>2</v>
      </c>
      <c r="AO23" s="113">
        <f t="shared" si="21"/>
        <v>3</v>
      </c>
      <c r="AP23" s="113">
        <f t="shared" si="21"/>
        <v>4</v>
      </c>
      <c r="AQ23" s="113">
        <f t="shared" si="21"/>
        <v>1</v>
      </c>
      <c r="AR23" s="113">
        <f t="shared" si="19"/>
        <v>1</v>
      </c>
      <c r="AS23" s="113">
        <f t="shared" si="20"/>
        <v>1</v>
      </c>
    </row>
    <row r="24" spans="1:45">
      <c r="A24" s="129" t="str">
        <f>Participantes!B21</f>
        <v>Alfredo Quintero 2</v>
      </c>
      <c r="B24" s="150">
        <v>1</v>
      </c>
      <c r="C24" s="150">
        <v>1</v>
      </c>
      <c r="D24" s="150">
        <f t="shared" si="3"/>
        <v>0</v>
      </c>
      <c r="E24" s="120"/>
      <c r="F24" s="150">
        <v>1</v>
      </c>
      <c r="G24" s="150">
        <v>2</v>
      </c>
      <c r="H24" s="150">
        <f t="shared" si="4"/>
        <v>0</v>
      </c>
      <c r="I24" s="120"/>
      <c r="J24" s="150">
        <v>1</v>
      </c>
      <c r="K24" s="150">
        <v>1</v>
      </c>
      <c r="L24" s="150">
        <f t="shared" si="5"/>
        <v>0</v>
      </c>
      <c r="M24" s="120"/>
      <c r="N24" s="150">
        <v>1</v>
      </c>
      <c r="O24" s="150">
        <v>0</v>
      </c>
      <c r="P24" s="150">
        <f t="shared" si="6"/>
        <v>0</v>
      </c>
      <c r="Q24" s="120"/>
      <c r="R24" s="130">
        <v>0</v>
      </c>
      <c r="S24" s="130">
        <v>1</v>
      </c>
      <c r="T24" s="130">
        <f t="shared" si="7"/>
        <v>0</v>
      </c>
      <c r="U24" s="120"/>
      <c r="V24" s="130">
        <v>1</v>
      </c>
      <c r="W24" s="130">
        <v>0</v>
      </c>
      <c r="X24" s="130">
        <f t="shared" si="8"/>
        <v>0</v>
      </c>
      <c r="Y24" s="120"/>
      <c r="Z24" s="121">
        <f t="shared" si="9"/>
        <v>0</v>
      </c>
      <c r="AA24" s="116" t="str">
        <f t="shared" si="0"/>
        <v>España</v>
      </c>
      <c r="AB24" s="116">
        <f t="shared" si="10"/>
        <v>0</v>
      </c>
      <c r="AC24" s="116" t="str">
        <f t="shared" si="1"/>
        <v>Polonia</v>
      </c>
      <c r="AD24" s="116">
        <f t="shared" si="11"/>
        <v>0</v>
      </c>
      <c r="AE24" s="156" t="str">
        <f>Terceros!F25</f>
        <v/>
      </c>
      <c r="AF24" s="116">
        <f t="shared" si="12"/>
        <v>0</v>
      </c>
      <c r="AG24" s="148">
        <f t="shared" si="13"/>
        <v>0</v>
      </c>
      <c r="AJ24" s="132">
        <f t="shared" si="14"/>
        <v>4.5019999999999998</v>
      </c>
      <c r="AK24" s="132">
        <f t="shared" si="15"/>
        <v>2.492</v>
      </c>
      <c r="AL24" s="132">
        <f t="shared" si="16"/>
        <v>1.482</v>
      </c>
      <c r="AM24" s="132">
        <f t="shared" si="17"/>
        <v>9.5339999999999989</v>
      </c>
      <c r="AN24" s="113">
        <f t="shared" si="21"/>
        <v>2</v>
      </c>
      <c r="AO24" s="113">
        <f t="shared" si="21"/>
        <v>3</v>
      </c>
      <c r="AP24" s="113">
        <f t="shared" si="21"/>
        <v>4</v>
      </c>
      <c r="AQ24" s="113">
        <f t="shared" si="21"/>
        <v>1</v>
      </c>
      <c r="AR24" s="113">
        <f t="shared" si="19"/>
        <v>1</v>
      </c>
      <c r="AS24" s="113">
        <f t="shared" si="20"/>
        <v>1</v>
      </c>
    </row>
    <row r="25" spans="1:45">
      <c r="A25" s="129" t="str">
        <f>Participantes!B22</f>
        <v>Antonio Barahona</v>
      </c>
      <c r="B25" s="150">
        <v>2</v>
      </c>
      <c r="C25" s="150">
        <v>1</v>
      </c>
      <c r="D25" s="150">
        <f t="shared" si="3"/>
        <v>0</v>
      </c>
      <c r="E25" s="120"/>
      <c r="F25" s="150">
        <v>1</v>
      </c>
      <c r="G25" s="150">
        <v>2</v>
      </c>
      <c r="H25" s="150">
        <f t="shared" si="4"/>
        <v>0</v>
      </c>
      <c r="I25" s="120"/>
      <c r="J25" s="150">
        <v>2</v>
      </c>
      <c r="K25" s="150">
        <v>1</v>
      </c>
      <c r="L25" s="150">
        <f t="shared" si="5"/>
        <v>0</v>
      </c>
      <c r="M25" s="120"/>
      <c r="N25" s="150">
        <v>2</v>
      </c>
      <c r="O25" s="150">
        <v>1</v>
      </c>
      <c r="P25" s="150">
        <f t="shared" si="6"/>
        <v>0</v>
      </c>
      <c r="Q25" s="120"/>
      <c r="R25" s="130">
        <v>1</v>
      </c>
      <c r="S25" s="130">
        <v>2</v>
      </c>
      <c r="T25" s="130">
        <f t="shared" si="7"/>
        <v>0</v>
      </c>
      <c r="U25" s="120"/>
      <c r="V25" s="130">
        <v>2</v>
      </c>
      <c r="W25" s="130">
        <v>1</v>
      </c>
      <c r="X25" s="130">
        <f t="shared" si="8"/>
        <v>0</v>
      </c>
      <c r="Y25" s="120"/>
      <c r="Z25" s="121">
        <f t="shared" si="9"/>
        <v>0</v>
      </c>
      <c r="AA25" s="116" t="str">
        <f t="shared" si="0"/>
        <v>España</v>
      </c>
      <c r="AB25" s="116">
        <f t="shared" si="10"/>
        <v>0</v>
      </c>
      <c r="AC25" s="116" t="str">
        <f t="shared" si="1"/>
        <v>Polonia</v>
      </c>
      <c r="AD25" s="116">
        <f t="shared" si="11"/>
        <v>0</v>
      </c>
      <c r="AE25" s="156" t="str">
        <f>Terceros!F26</f>
        <v>Eslovaquia</v>
      </c>
      <c r="AF25" s="116">
        <f t="shared" si="12"/>
        <v>3</v>
      </c>
      <c r="AG25" s="148">
        <f t="shared" si="13"/>
        <v>3</v>
      </c>
      <c r="AJ25" s="132">
        <f t="shared" si="14"/>
        <v>6.5149999999999997</v>
      </c>
      <c r="AK25" s="132">
        <f t="shared" si="15"/>
        <v>3.4940000000000002</v>
      </c>
      <c r="AL25" s="132">
        <f t="shared" si="16"/>
        <v>0.47299999999999998</v>
      </c>
      <c r="AM25" s="132">
        <f t="shared" si="17"/>
        <v>9.5359999999999996</v>
      </c>
      <c r="AN25" s="113">
        <f t="shared" si="21"/>
        <v>2</v>
      </c>
      <c r="AO25" s="113">
        <f t="shared" si="21"/>
        <v>3</v>
      </c>
      <c r="AP25" s="113">
        <f t="shared" si="21"/>
        <v>4</v>
      </c>
      <c r="AQ25" s="113">
        <f t="shared" si="21"/>
        <v>1</v>
      </c>
      <c r="AR25" s="113">
        <f t="shared" si="19"/>
        <v>1</v>
      </c>
      <c r="AS25" s="113">
        <f t="shared" si="20"/>
        <v>1</v>
      </c>
    </row>
    <row r="26" spans="1:45">
      <c r="A26" s="129" t="str">
        <f>Participantes!B23</f>
        <v>Jose Caballero 1</v>
      </c>
      <c r="B26" s="150">
        <v>3</v>
      </c>
      <c r="C26" s="150">
        <v>0</v>
      </c>
      <c r="D26" s="150">
        <f t="shared" si="3"/>
        <v>0</v>
      </c>
      <c r="E26" s="120"/>
      <c r="F26" s="150">
        <v>1</v>
      </c>
      <c r="G26" s="150">
        <v>2</v>
      </c>
      <c r="H26" s="150">
        <f t="shared" si="4"/>
        <v>0</v>
      </c>
      <c r="I26" s="120"/>
      <c r="J26" s="150">
        <v>0</v>
      </c>
      <c r="K26" s="150">
        <v>2</v>
      </c>
      <c r="L26" s="150">
        <f t="shared" si="5"/>
        <v>1</v>
      </c>
      <c r="M26" s="120"/>
      <c r="N26" s="150">
        <v>2</v>
      </c>
      <c r="O26" s="150">
        <v>1</v>
      </c>
      <c r="P26" s="150">
        <f t="shared" si="6"/>
        <v>0</v>
      </c>
      <c r="Q26" s="120"/>
      <c r="R26" s="130">
        <v>0</v>
      </c>
      <c r="S26" s="130">
        <v>3</v>
      </c>
      <c r="T26" s="130">
        <f t="shared" si="7"/>
        <v>0</v>
      </c>
      <c r="U26" s="120"/>
      <c r="V26" s="130">
        <v>1</v>
      </c>
      <c r="W26" s="130">
        <v>2</v>
      </c>
      <c r="X26" s="130">
        <f t="shared" si="8"/>
        <v>0</v>
      </c>
      <c r="Y26" s="120"/>
      <c r="Z26" s="121">
        <f t="shared" si="9"/>
        <v>1</v>
      </c>
      <c r="AA26" s="116" t="str">
        <f t="shared" si="0"/>
        <v>España</v>
      </c>
      <c r="AB26" s="116">
        <f t="shared" si="10"/>
        <v>0</v>
      </c>
      <c r="AC26" s="116" t="str">
        <f t="shared" si="1"/>
        <v>Suecia</v>
      </c>
      <c r="AD26" s="116">
        <f t="shared" si="11"/>
        <v>3</v>
      </c>
      <c r="AE26" s="156" t="str">
        <f>Terceros!F27</f>
        <v>Polonia</v>
      </c>
      <c r="AF26" s="116">
        <f t="shared" si="12"/>
        <v>0</v>
      </c>
      <c r="AG26" s="148">
        <f t="shared" si="13"/>
        <v>4</v>
      </c>
      <c r="AJ26" s="132">
        <f t="shared" si="14"/>
        <v>3.5149999999999997</v>
      </c>
      <c r="AK26" s="132">
        <f t="shared" si="15"/>
        <v>0.42</v>
      </c>
      <c r="AL26" s="132">
        <f t="shared" si="16"/>
        <v>6.5249999999999995</v>
      </c>
      <c r="AM26" s="132">
        <f t="shared" si="17"/>
        <v>9.5570000000000004</v>
      </c>
      <c r="AN26" s="113">
        <f t="shared" si="21"/>
        <v>3</v>
      </c>
      <c r="AO26" s="113">
        <f t="shared" si="21"/>
        <v>4</v>
      </c>
      <c r="AP26" s="113">
        <f t="shared" si="21"/>
        <v>2</v>
      </c>
      <c r="AQ26" s="113">
        <f t="shared" si="21"/>
        <v>1</v>
      </c>
      <c r="AR26" s="113">
        <f t="shared" si="19"/>
        <v>1</v>
      </c>
      <c r="AS26" s="113">
        <f t="shared" si="20"/>
        <v>1</v>
      </c>
    </row>
    <row r="27" spans="1:45">
      <c r="A27" s="129" t="str">
        <f>Participantes!B24</f>
        <v>Jose Caballero 2(Betito)</v>
      </c>
      <c r="B27" s="150">
        <v>3</v>
      </c>
      <c r="C27" s="150">
        <v>1</v>
      </c>
      <c r="D27" s="150">
        <f t="shared" si="3"/>
        <v>0</v>
      </c>
      <c r="E27" s="120"/>
      <c r="F27" s="150">
        <v>0</v>
      </c>
      <c r="G27" s="150">
        <v>2</v>
      </c>
      <c r="H27" s="150">
        <f t="shared" si="4"/>
        <v>0</v>
      </c>
      <c r="I27" s="120"/>
      <c r="J27" s="150">
        <v>0</v>
      </c>
      <c r="K27" s="150">
        <v>2</v>
      </c>
      <c r="L27" s="150">
        <f t="shared" si="5"/>
        <v>1</v>
      </c>
      <c r="M27" s="120"/>
      <c r="N27" s="150">
        <v>0</v>
      </c>
      <c r="O27" s="150">
        <v>1</v>
      </c>
      <c r="P27" s="150">
        <f t="shared" si="6"/>
        <v>0</v>
      </c>
      <c r="Q27" s="120"/>
      <c r="R27" s="130">
        <v>1</v>
      </c>
      <c r="S27" s="130">
        <v>3</v>
      </c>
      <c r="T27" s="130">
        <f t="shared" si="7"/>
        <v>0</v>
      </c>
      <c r="U27" s="120"/>
      <c r="V27" s="130">
        <v>1</v>
      </c>
      <c r="W27" s="130">
        <v>0</v>
      </c>
      <c r="X27" s="130">
        <f t="shared" si="8"/>
        <v>0</v>
      </c>
      <c r="Y27" s="120"/>
      <c r="Z27" s="121">
        <f t="shared" si="9"/>
        <v>1</v>
      </c>
      <c r="AA27" s="116" t="str">
        <f t="shared" si="0"/>
        <v>Polonia</v>
      </c>
      <c r="AB27" s="116">
        <f t="shared" si="10"/>
        <v>0</v>
      </c>
      <c r="AC27" s="116" t="str">
        <f t="shared" si="1"/>
        <v>España</v>
      </c>
      <c r="AD27" s="116">
        <f t="shared" si="11"/>
        <v>0</v>
      </c>
      <c r="AE27" s="156" t="str">
        <f>Terceros!F28</f>
        <v>Suecia</v>
      </c>
      <c r="AF27" s="116">
        <f t="shared" si="12"/>
        <v>3</v>
      </c>
      <c r="AG27" s="148">
        <f t="shared" si="13"/>
        <v>4</v>
      </c>
      <c r="AJ27" s="132">
        <f t="shared" si="14"/>
        <v>9.5449999999999999</v>
      </c>
      <c r="AK27" s="132">
        <f t="shared" si="15"/>
        <v>0.442</v>
      </c>
      <c r="AL27" s="132">
        <f t="shared" si="16"/>
        <v>3.492</v>
      </c>
      <c r="AM27" s="132">
        <f t="shared" si="17"/>
        <v>6.5350000000000001</v>
      </c>
      <c r="AN27" s="113">
        <f t="shared" si="21"/>
        <v>1</v>
      </c>
      <c r="AO27" s="113">
        <f t="shared" si="21"/>
        <v>4</v>
      </c>
      <c r="AP27" s="113">
        <f t="shared" si="21"/>
        <v>3</v>
      </c>
      <c r="AQ27" s="113">
        <f t="shared" si="21"/>
        <v>2</v>
      </c>
      <c r="AR27" s="113">
        <f t="shared" si="19"/>
        <v>1</v>
      </c>
      <c r="AS27" s="113">
        <f t="shared" si="20"/>
        <v>1</v>
      </c>
    </row>
  </sheetData>
  <mergeCells count="14">
    <mergeCell ref="AG2:AG3"/>
    <mergeCell ref="V1:X1"/>
    <mergeCell ref="B1:D1"/>
    <mergeCell ref="F1:H1"/>
    <mergeCell ref="J1:L1"/>
    <mergeCell ref="N1:P1"/>
    <mergeCell ref="R1:T1"/>
    <mergeCell ref="Z2:Z3"/>
    <mergeCell ref="D2:D3"/>
    <mergeCell ref="H2:H3"/>
    <mergeCell ref="L2:L3"/>
    <mergeCell ref="P2:P3"/>
    <mergeCell ref="T2:T3"/>
    <mergeCell ref="X2:X3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403ACB3D-D975-4B14-B40F-0B987B4D804F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2" id="{11C18270-1C17-478A-BEBD-8D206829D8B6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3" id="{2E7613EE-1092-4970-8715-610168BA5DEC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V3:W3</xm:sqref>
        </x14:conditionalFormatting>
        <x14:conditionalFormatting xmlns:xm="http://schemas.microsoft.com/office/excel/2006/main">
          <x14:cfRule type="expression" priority="16" id="{AE140AF9-1FE1-4E95-8438-133884C6F5AF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7" id="{03DEE603-BB8E-4A33-A29D-2FD25646A572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8" id="{A311C7BB-7D58-453A-8C0B-0C6273061CEB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B3:C3</xm:sqref>
        </x14:conditionalFormatting>
        <x14:conditionalFormatting xmlns:xm="http://schemas.microsoft.com/office/excel/2006/main">
          <x14:cfRule type="expression" priority="13" id="{702EEA52-2FC0-4821-86A8-01935F9FA506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4" id="{082CC639-CC87-464F-BB2A-BFC9B968E357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5" id="{8EB6D1ED-17EA-4AE5-A91E-6643E428FE59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F3:G3</xm:sqref>
        </x14:conditionalFormatting>
        <x14:conditionalFormatting xmlns:xm="http://schemas.microsoft.com/office/excel/2006/main">
          <x14:cfRule type="expression" priority="10" id="{3C4786D4-81B7-4207-8679-10109670F0E7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1" id="{76038ED9-DFFD-48F4-BF54-FE2EBA0A67DD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2" id="{74BC1EA5-7DB5-4818-82E3-1DC0CF3A08A0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J3:K3</xm:sqref>
        </x14:conditionalFormatting>
        <x14:conditionalFormatting xmlns:xm="http://schemas.microsoft.com/office/excel/2006/main">
          <x14:cfRule type="expression" priority="7" id="{8FFA0EED-34DB-4900-8553-9E1A9AFEBDDD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8" id="{43D8F2DF-BAE3-4345-AFBE-C8F247C594BF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9" id="{5F4AB24E-B51D-4A14-B816-182AF5E050B8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N3:O3</xm:sqref>
        </x14:conditionalFormatting>
        <x14:conditionalFormatting xmlns:xm="http://schemas.microsoft.com/office/excel/2006/main">
          <x14:cfRule type="expression" priority="4" id="{9E620BE6-7DE0-40C4-ACFE-6DED02653555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5" id="{A09DE757-368A-4D46-A4DB-380B24C6DADC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6" id="{CA50D79F-EC33-4AC8-AF25-11BF8ADC703F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R3:S3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27"/>
  <sheetViews>
    <sheetView zoomScale="80" zoomScaleNormal="80" workbookViewId="0">
      <selection activeCell="AE3" sqref="AE3"/>
    </sheetView>
  </sheetViews>
  <sheetFormatPr baseColWidth="10" defaultRowHeight="15"/>
  <cols>
    <col min="1" max="1" width="25" style="119" customWidth="1"/>
    <col min="2" max="2" width="10.5703125" style="119" customWidth="1"/>
    <col min="3" max="3" width="8.7109375" style="119" customWidth="1"/>
    <col min="4" max="4" width="5.85546875" style="133" customWidth="1"/>
    <col min="5" max="5" width="0.5703125" style="133" customWidth="1"/>
    <col min="6" max="6" width="8.7109375" style="133" customWidth="1"/>
    <col min="7" max="7" width="10.140625" style="133" customWidth="1"/>
    <col min="8" max="8" width="5.85546875" style="133" customWidth="1"/>
    <col min="9" max="9" width="0.5703125" style="133" customWidth="1"/>
    <col min="10" max="10" width="11.28515625" style="133" customWidth="1"/>
    <col min="11" max="11" width="8.7109375" style="133" customWidth="1"/>
    <col min="12" max="12" width="5.85546875" style="133" customWidth="1"/>
    <col min="13" max="13" width="0.5703125" style="133" customWidth="1"/>
    <col min="14" max="14" width="10" style="133" customWidth="1"/>
    <col min="15" max="15" width="8.7109375" style="133" customWidth="1"/>
    <col min="16" max="16" width="5.85546875" style="133" customWidth="1"/>
    <col min="17" max="17" width="0.5703125" style="133" customWidth="1"/>
    <col min="18" max="18" width="8.7109375" style="133" customWidth="1"/>
    <col min="19" max="19" width="10.42578125" style="133" customWidth="1"/>
    <col min="20" max="20" width="5.85546875" style="133" customWidth="1"/>
    <col min="21" max="21" width="0.5703125" style="133" customWidth="1"/>
    <col min="22" max="22" width="8.7109375" style="119" customWidth="1"/>
    <col min="23" max="23" width="9.85546875" style="119" customWidth="1"/>
    <col min="24" max="24" width="5.85546875" style="133" customWidth="1"/>
    <col min="25" max="25" width="0.5703125" style="133" customWidth="1"/>
    <col min="26" max="26" width="11.42578125" style="119"/>
    <col min="27" max="28" width="11.42578125" style="113"/>
    <col min="29" max="29" width="11.42578125" style="119"/>
    <col min="30" max="30" width="11.42578125" style="113"/>
    <col min="31" max="36" width="11.42578125" style="113" customWidth="1"/>
    <col min="37" max="37" width="13.28515625" style="113" customWidth="1"/>
    <col min="38" max="38" width="10.7109375" style="113" customWidth="1"/>
    <col min="39" max="39" width="7" style="113" customWidth="1"/>
    <col min="40" max="40" width="6.7109375" style="113" customWidth="1"/>
    <col min="41" max="41" width="7.85546875" style="113" customWidth="1"/>
    <col min="42" max="42" width="7.140625" style="113" customWidth="1"/>
    <col min="43" max="43" width="5.85546875" style="113" customWidth="1"/>
    <col min="44" max="46" width="11.42578125" style="113" customWidth="1"/>
    <col min="47" max="16384" width="11.42578125" style="113"/>
  </cols>
  <sheetData>
    <row r="1" spans="1:45">
      <c r="B1" s="205">
        <v>1</v>
      </c>
      <c r="C1" s="205"/>
      <c r="D1" s="205"/>
      <c r="E1" s="120"/>
      <c r="F1" s="205">
        <v>2</v>
      </c>
      <c r="G1" s="205"/>
      <c r="H1" s="205"/>
      <c r="I1" s="120"/>
      <c r="J1" s="205">
        <v>3</v>
      </c>
      <c r="K1" s="205"/>
      <c r="L1" s="205"/>
      <c r="M1" s="120"/>
      <c r="N1" s="205">
        <v>4</v>
      </c>
      <c r="O1" s="205"/>
      <c r="P1" s="205"/>
      <c r="Q1" s="120"/>
      <c r="R1" s="205">
        <v>5</v>
      </c>
      <c r="S1" s="205"/>
      <c r="T1" s="205"/>
      <c r="U1" s="120"/>
      <c r="V1" s="205">
        <v>6</v>
      </c>
      <c r="W1" s="205"/>
      <c r="X1" s="205"/>
      <c r="Y1" s="120"/>
      <c r="Z1" s="121"/>
      <c r="AA1" s="148"/>
      <c r="AB1" s="148"/>
      <c r="AC1" s="148"/>
      <c r="AD1" s="148"/>
      <c r="AE1" s="148"/>
      <c r="AF1" s="134"/>
    </row>
    <row r="2" spans="1:45" ht="28.5" customHeight="1">
      <c r="A2" s="122"/>
      <c r="B2" s="123" t="str">
        <f>'H1'!$D40</f>
        <v>Portugal</v>
      </c>
      <c r="C2" s="123" t="str">
        <f>'H1'!$F40</f>
        <v>Hungría</v>
      </c>
      <c r="D2" s="208" t="s">
        <v>1</v>
      </c>
      <c r="E2" s="124"/>
      <c r="F2" s="123" t="str">
        <f>'H1'!D41</f>
        <v>Francia</v>
      </c>
      <c r="G2" s="123" t="str">
        <f>'H1'!F41</f>
        <v>Alemania</v>
      </c>
      <c r="H2" s="208" t="s">
        <v>1</v>
      </c>
      <c r="I2" s="124"/>
      <c r="J2" s="123" t="str">
        <f>'H1'!$D42</f>
        <v>Hungría</v>
      </c>
      <c r="K2" s="123" t="str">
        <f>'H1'!$F42</f>
        <v>Francia</v>
      </c>
      <c r="L2" s="208" t="s">
        <v>1</v>
      </c>
      <c r="M2" s="124"/>
      <c r="N2" s="123" t="str">
        <f>'H1'!$D43</f>
        <v>Alemania</v>
      </c>
      <c r="O2" s="123" t="str">
        <f>'H1'!$F43</f>
        <v>Portugal</v>
      </c>
      <c r="P2" s="208" t="s">
        <v>1</v>
      </c>
      <c r="Q2" s="124"/>
      <c r="R2" s="123" t="str">
        <f>'H1'!$D44</f>
        <v>Portugal</v>
      </c>
      <c r="S2" s="123" t="str">
        <f>'H1'!$F44</f>
        <v>Francia</v>
      </c>
      <c r="T2" s="210" t="s">
        <v>1</v>
      </c>
      <c r="U2" s="124"/>
      <c r="V2" s="123" t="str">
        <f>'H1'!$D45</f>
        <v>Hungría</v>
      </c>
      <c r="W2" s="123" t="str">
        <f>'H1'!$F45</f>
        <v>Alemania</v>
      </c>
      <c r="X2" s="208" t="s">
        <v>1</v>
      </c>
      <c r="Y2" s="124"/>
      <c r="Z2" s="206" t="s">
        <v>400</v>
      </c>
      <c r="AA2" s="149" t="s">
        <v>401</v>
      </c>
      <c r="AB2" s="149"/>
      <c r="AC2" s="149" t="s">
        <v>402</v>
      </c>
      <c r="AD2" s="149"/>
      <c r="AE2" s="149" t="s">
        <v>412</v>
      </c>
      <c r="AF2" s="149"/>
      <c r="AG2" s="206" t="s">
        <v>403</v>
      </c>
      <c r="AJ2" s="113" t="str">
        <f>B2</f>
        <v>Portugal</v>
      </c>
      <c r="AK2" s="113" t="str">
        <f>C2</f>
        <v>Hungría</v>
      </c>
      <c r="AL2" s="113" t="str">
        <f>F2</f>
        <v>Francia</v>
      </c>
      <c r="AM2" s="113" t="str">
        <f>G2</f>
        <v>Alemania</v>
      </c>
    </row>
    <row r="3" spans="1:45" ht="16.5" customHeight="1">
      <c r="A3" s="123" t="s">
        <v>404</v>
      </c>
      <c r="B3" s="126">
        <f>'H1'!$E40</f>
        <v>3</v>
      </c>
      <c r="C3" s="126">
        <f>'H1'!$G40</f>
        <v>0</v>
      </c>
      <c r="D3" s="209"/>
      <c r="E3" s="124"/>
      <c r="F3" s="126">
        <f>'H1'!$E41</f>
        <v>1</v>
      </c>
      <c r="G3" s="126">
        <f>'H1'!$G41</f>
        <v>0</v>
      </c>
      <c r="H3" s="209"/>
      <c r="I3" s="124"/>
      <c r="J3" s="126">
        <f>'H1'!$E42</f>
        <v>1</v>
      </c>
      <c r="K3" s="126">
        <f>'H1'!$G42</f>
        <v>1</v>
      </c>
      <c r="L3" s="209"/>
      <c r="M3" s="124"/>
      <c r="N3" s="126">
        <f>'H1'!$E43</f>
        <v>4</v>
      </c>
      <c r="O3" s="126">
        <f>'H1'!$G43</f>
        <v>2</v>
      </c>
      <c r="P3" s="209"/>
      <c r="Q3" s="124"/>
      <c r="R3" s="126" t="str">
        <f>'H1'!$E44</f>
        <v/>
      </c>
      <c r="S3" s="126" t="str">
        <f>'H1'!$G44</f>
        <v/>
      </c>
      <c r="T3" s="211"/>
      <c r="U3" s="124"/>
      <c r="V3" s="126" t="str">
        <f>'H1'!$E45</f>
        <v/>
      </c>
      <c r="W3" s="126" t="str">
        <f>'H1'!$G45</f>
        <v/>
      </c>
      <c r="X3" s="209"/>
      <c r="Y3" s="124"/>
      <c r="Z3" s="207"/>
      <c r="AA3" s="127" t="str">
        <f>IF('H1'!S23="1F","",'H1'!S23)</f>
        <v>Francia</v>
      </c>
      <c r="AB3" s="127"/>
      <c r="AC3" s="127" t="str">
        <f>IF('H1'!S28="2F","",'H1'!S28)</f>
        <v>Portugal</v>
      </c>
      <c r="AD3" s="127"/>
      <c r="AE3" s="127" t="s">
        <v>437</v>
      </c>
      <c r="AF3" s="163"/>
      <c r="AG3" s="207"/>
    </row>
    <row r="4" spans="1:45" ht="3.75" customHeight="1">
      <c r="A4" s="128" t="s">
        <v>406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</row>
    <row r="5" spans="1:45">
      <c r="A5" s="129" t="str">
        <f>Participantes!B2</f>
        <v>Luis Medica</v>
      </c>
      <c r="B5" s="150">
        <v>1</v>
      </c>
      <c r="C5" s="150">
        <v>1</v>
      </c>
      <c r="D5" s="150">
        <f>IF(AND($B5=$B$3, $C5=$C$3),3,IF(AND($B$3&gt;$C$3, $B5&gt;$C5),1,IF(AND($C5&gt;B5, $C$3&gt;$B$3), 1, IF(AND($B$3=$C$3, $B5=$C5),1,0))))*IF($B$3="",0,1)</f>
        <v>0</v>
      </c>
      <c r="E5" s="120"/>
      <c r="F5" s="150">
        <v>2</v>
      </c>
      <c r="G5" s="150">
        <v>0</v>
      </c>
      <c r="H5" s="150">
        <f>IF(AND($F5=$F$3, $G5=$G$3),3,IF(AND($F$3&gt;$G$3, $F5&gt;$G5),1,IF(AND($G5&gt;F5, $G$3&gt;$F$3), 1, IF(AND($F$3=$G$3, $F5=$G5),1,0))))*IF($F$3="",0,1)</f>
        <v>1</v>
      </c>
      <c r="I5" s="120"/>
      <c r="J5" s="150">
        <v>1</v>
      </c>
      <c r="K5" s="150">
        <v>2</v>
      </c>
      <c r="L5" s="150">
        <f>IF(AND($J5=$J$3, $K5=$K$3),3,IF(AND($J$3&gt;$K$3, $J5&gt;$K5),1,IF(AND($K5&gt;J5, $K$3&gt;$J$3), 1, IF(AND($J$3=$K$3, $J5=$K5),1,0))))*IF($J$3="",0,1)</f>
        <v>0</v>
      </c>
      <c r="M5" s="120"/>
      <c r="N5" s="150">
        <v>1</v>
      </c>
      <c r="O5" s="150">
        <v>1</v>
      </c>
      <c r="P5" s="150">
        <f>IF(AND($N5=$N$3, $O5=$O$3),3,IF(AND($N$3&gt;$O$3, $N5&gt;$O5),1,IF(AND($O5&gt;N5, $O$3&gt;$N$3), 1, IF(AND($N$3=$O$3, $N5=$O5),1,0))))*IF($N$3="",0,1)</f>
        <v>0</v>
      </c>
      <c r="Q5" s="150"/>
      <c r="R5" s="130">
        <v>1</v>
      </c>
      <c r="S5" s="130">
        <v>2</v>
      </c>
      <c r="T5" s="130">
        <f>IF(AND($R5=$R$3, $S5=$S$3),3,IF(AND($R$3&gt;$S$3, $R5&gt;$S5),1,IF(AND($S5&gt;R5, $S$3&gt;$R$3), 1, IF(AND($R$3=$S$3, $R5=$S5),1,0))))*IF($R$3="",0,1)</f>
        <v>0</v>
      </c>
      <c r="U5" s="120"/>
      <c r="V5" s="130">
        <v>2</v>
      </c>
      <c r="W5" s="130">
        <v>2</v>
      </c>
      <c r="X5" s="130">
        <f>IF(AND($V5=$V$3, $W5=$W$3),3,IF(AND($V$3&gt;$W$3, $V5&gt;$W5),1,IF(AND($W5&gt;V5, $W$3&gt;$V$3), 1, IF(AND($V$3=$W$3, $V5=$W5),1,0))))*IF($V$3="",0,1)</f>
        <v>0</v>
      </c>
      <c r="Y5" s="120"/>
      <c r="Z5" s="121">
        <f t="shared" ref="Z5:Z27" si="0">D5+H5+L5+P5+T5+X5</f>
        <v>1</v>
      </c>
      <c r="AA5" s="116" t="str">
        <f t="shared" ref="AA5:AA27" si="1">CONCATENATE(IF(AR5&gt;2,"***",""),IF(AN5=1,$AJ$2,IF(AO5=1,$AK$2,IF(AP5=1,$AL$2,IF(AQ5=1,$AM$2,"error")))))</f>
        <v>Francia</v>
      </c>
      <c r="AB5" s="116">
        <f>(IF($AA$3=AA5,6,0)+IF($AC$3=AA5,3,0)+IF(AA5=$AE$3,3,0))</f>
        <v>6</v>
      </c>
      <c r="AC5" s="116" t="str">
        <f t="shared" ref="AC5:AC27" si="2">CONCATENATE(IF(AS5&gt;1,"**",""),IF(AN5=2,$AJ$2,IF(AO5=2,$AK$2,IF(AP5=2,$AL$2,IF(AQ5=2,$AM$2,CONCATENATE(IF(AS5&gt;1,"*",""),"*",IF(AQ5=1,$AM$2,IF(AP5=1,$AL$2,$AK$2))))))))</f>
        <v>Hungría</v>
      </c>
      <c r="AD5" s="116">
        <f>(IF($AA$3=AC5,3,0)+IF($AC$3=AC5,6,0)+IF(AC5=$AE$3,3,0))</f>
        <v>0</v>
      </c>
      <c r="AE5" s="156" t="str">
        <f>Terceros!G6</f>
        <v>Portugal</v>
      </c>
      <c r="AF5" s="116">
        <f>IF($AA$3=AE5,3,0)+IF($AC$3=AE5,3,0)+IF(AE5=$AE$3,6,0)</f>
        <v>3</v>
      </c>
      <c r="AG5" s="148">
        <f>Z5+(AB5+AD5+AF5)*IF(AA3="",0,1)</f>
        <v>10</v>
      </c>
      <c r="AJ5" s="132">
        <f t="shared" ref="AJ5:AJ27" si="3">IF(B5&gt;C5,3,IF(B5=C5,1,0))+IF(O5&gt;N5,3,IF(O5=N5,1,0))+IF(R5&gt;S5,3,IF(R5=S5,1,0))+(B5+O5+R5)*0.001+(B5+O5+R5-C5-N5-S5)*0.01+0.5</f>
        <v>2.4930000000000003</v>
      </c>
      <c r="AK5" s="132">
        <f t="shared" ref="AK5:AK27" si="4">IF(C5&gt;B5,3,IF(C5=B5,1,0))+IF(J5&gt;K5,3,IF(J5=K5,1,0))+IF(V5&gt;W5,3,IF(V5=W5,1,0))+(C5+J5+V5)*0.001+(C5+J5+V5-B5-K5-W5)*0.01+0.5</f>
        <v>2.4939999999999998</v>
      </c>
      <c r="AL5" s="132">
        <f t="shared" ref="AL5:AL27" si="5">IF(F5&gt;G5,3,IF(F5=G5,1,0))+IF(K5&gt;J5,3,IF(K5=J5,1,0))+IF(S5&gt;R5,3,IF(S5=R5,1,0))+(F5+K5+S5)*0.001+(F5+K5+S5-G5-J5-R5)*0.01+0.5</f>
        <v>9.5459999999999994</v>
      </c>
      <c r="AM5" s="132">
        <f t="shared" ref="AM5:AM27" si="6">IF(G5&gt;F5,3,IF(G5=F5,1,0))+IF(N5&gt;O5,3,IF(O5=N5,1,0))+IF(W5&gt;V5,3,IF(W5=V5,1,0))+(G5+N5+W5)*0.001+(G5+N5+W5-F5-O5-V5)*0.01+0.5</f>
        <v>2.4830000000000001</v>
      </c>
      <c r="AN5" s="113">
        <f t="shared" ref="AN5:AQ5" si="7">_xlfn.RANK.EQ(AJ5,$AJ5:$AM5,0)</f>
        <v>3</v>
      </c>
      <c r="AO5" s="113">
        <f t="shared" si="7"/>
        <v>2</v>
      </c>
      <c r="AP5" s="113">
        <f t="shared" si="7"/>
        <v>1</v>
      </c>
      <c r="AQ5" s="113">
        <f t="shared" si="7"/>
        <v>4</v>
      </c>
      <c r="AR5" s="113">
        <f>COUNTIF(AN5:AQ5,1)</f>
        <v>1</v>
      </c>
      <c r="AS5" s="113">
        <f>COUNTIF(AN5:AQ5,2)</f>
        <v>1</v>
      </c>
    </row>
    <row r="6" spans="1:45">
      <c r="A6" s="129" t="str">
        <f>Participantes!B3</f>
        <v>Isaac Solanilla</v>
      </c>
      <c r="B6" s="150">
        <v>2</v>
      </c>
      <c r="C6" s="150">
        <v>0</v>
      </c>
      <c r="D6" s="150">
        <f t="shared" ref="D6:D27" si="8">IF(AND($B6=$B$3, $C6=$C$3),3,IF(AND($B$3&gt;$C$3, $B6&gt;$C6),1,IF(AND($C6&gt;B6, $C$3&gt;$B$3), 1, IF(AND($B$3=$C$3, $B6=$C6),1,0))))*IF($B$3="",0,1)</f>
        <v>1</v>
      </c>
      <c r="E6" s="120"/>
      <c r="F6" s="150">
        <v>2</v>
      </c>
      <c r="G6" s="150">
        <v>1</v>
      </c>
      <c r="H6" s="150">
        <f t="shared" ref="H6:H27" si="9">IF(AND($F6=$F$3, $G6=$G$3),3,IF(AND($F$3&gt;$G$3, $F6&gt;$G6),1,IF(AND($G6&gt;F6, $G$3&gt;$F$3), 1, IF(AND($F$3=$G$3, $F6=$G6),1,0))))*IF($F$3="",0,1)</f>
        <v>1</v>
      </c>
      <c r="I6" s="120"/>
      <c r="J6" s="150">
        <v>0</v>
      </c>
      <c r="K6" s="150">
        <v>3</v>
      </c>
      <c r="L6" s="150">
        <f t="shared" ref="L6:L27" si="10">IF(AND($J6=$J$3, $K6=$K$3),3,IF(AND($J$3&gt;$K$3, $J6&gt;$K6),1,IF(AND($K6&gt;J6, $K$3&gt;$J$3), 1, IF(AND($J$3=$K$3, $J6=$K6),1,0))))*IF($J$3="",0,1)</f>
        <v>0</v>
      </c>
      <c r="M6" s="120"/>
      <c r="N6" s="150">
        <v>1</v>
      </c>
      <c r="O6" s="150">
        <v>1</v>
      </c>
      <c r="P6" s="150">
        <f t="shared" ref="P6:P27" si="11">IF(AND($N6=$N$3, $O6=$O$3),3,IF(AND($N$3&gt;$O$3, $N6&gt;$O6),1,IF(AND($O6&gt;N6, $O$3&gt;$N$3), 1, IF(AND($N$3=$O$3, $N6=$O6),1,0))))*IF($N$3="",0,1)</f>
        <v>0</v>
      </c>
      <c r="Q6" s="150"/>
      <c r="R6" s="130">
        <v>2</v>
      </c>
      <c r="S6" s="130">
        <v>2</v>
      </c>
      <c r="T6" s="130">
        <f t="shared" ref="T6:T27" si="12">IF(AND($R6=$R$3, $S6=$S$3),3,IF(AND($R$3&gt;$S$3, $R6&gt;$S6),1,IF(AND($S6&gt;R6, $S$3&gt;$R$3), 1, IF(AND($R$3=$S$3, $R6=$S6),1,0))))*IF($R$3="",0,1)</f>
        <v>0</v>
      </c>
      <c r="U6" s="120"/>
      <c r="V6" s="130">
        <v>0</v>
      </c>
      <c r="W6" s="130">
        <v>2</v>
      </c>
      <c r="X6" s="130">
        <f t="shared" ref="X6:X27" si="13">IF(AND($V6=$V$3, $W6=$W$3),3,IF(AND($V$3&gt;$W$3, $V6&gt;$W6),1,IF(AND($W6&gt;V6, $W$3&gt;$V$3), 1, IF(AND($V$3=$W$3, $V6=$W6),1,0))))*IF($V$3="",0,1)</f>
        <v>0</v>
      </c>
      <c r="Y6" s="120"/>
      <c r="Z6" s="121">
        <f t="shared" si="0"/>
        <v>2</v>
      </c>
      <c r="AA6" s="116" t="str">
        <f t="shared" si="1"/>
        <v>Francia</v>
      </c>
      <c r="AB6" s="116">
        <f t="shared" ref="AB6:AB27" si="14">(IF($AA$3=AA6,6,0)+IF($AC$3=AA6,3,0)+IF(AA6=$AE$3,3,0))</f>
        <v>6</v>
      </c>
      <c r="AC6" s="116" t="str">
        <f t="shared" si="2"/>
        <v>Portugal</v>
      </c>
      <c r="AD6" s="116">
        <f t="shared" ref="AD6:AD27" si="15">(IF($AA$3=AC6,3,0)+IF($AC$3=AC6,6,0)+IF(AC6=$AE$3,3,0))</f>
        <v>6</v>
      </c>
      <c r="AE6" s="156" t="str">
        <f>Terceros!G7</f>
        <v>Alemania</v>
      </c>
      <c r="AF6" s="116">
        <f t="shared" ref="AF6:AF27" si="16">IF($AA$3=AE6,3,0)+IF($AC$3=AE6,3,0)+IF(AE6=$AE$3,6,0)</f>
        <v>0</v>
      </c>
      <c r="AG6" s="148">
        <f t="shared" ref="AG6:AG27" si="17">Z6+(AB6+AD6+AF6)*IF(AA4="",0,1)</f>
        <v>2</v>
      </c>
      <c r="AJ6" s="132">
        <f t="shared" si="3"/>
        <v>5.5249999999999995</v>
      </c>
      <c r="AK6" s="132">
        <f t="shared" si="4"/>
        <v>0.43</v>
      </c>
      <c r="AL6" s="132">
        <f t="shared" si="5"/>
        <v>7.5469999999999997</v>
      </c>
      <c r="AM6" s="132">
        <f t="shared" si="6"/>
        <v>4.5139999999999993</v>
      </c>
      <c r="AN6" s="113">
        <f t="shared" ref="AN6:AQ27" si="18">_xlfn.RANK.EQ(AJ6,$AJ6:$AM6,0)</f>
        <v>2</v>
      </c>
      <c r="AO6" s="113">
        <f t="shared" si="18"/>
        <v>4</v>
      </c>
      <c r="AP6" s="113">
        <f t="shared" si="18"/>
        <v>1</v>
      </c>
      <c r="AQ6" s="113">
        <f t="shared" si="18"/>
        <v>3</v>
      </c>
      <c r="AR6" s="113">
        <f t="shared" ref="AR6:AR27" si="19">COUNTIF(AN6:AQ6,1)</f>
        <v>1</v>
      </c>
      <c r="AS6" s="113">
        <f t="shared" ref="AS6:AS27" si="20">COUNTIF(AN6:AQ6,2)</f>
        <v>1</v>
      </c>
    </row>
    <row r="7" spans="1:45">
      <c r="A7" s="129" t="str">
        <f>Participantes!B4</f>
        <v>Andres Corcho</v>
      </c>
      <c r="B7" s="150">
        <v>2</v>
      </c>
      <c r="C7" s="150">
        <v>0</v>
      </c>
      <c r="D7" s="150">
        <f t="shared" si="8"/>
        <v>1</v>
      </c>
      <c r="E7" s="120"/>
      <c r="F7" s="150">
        <v>2</v>
      </c>
      <c r="G7" s="150">
        <v>2</v>
      </c>
      <c r="H7" s="150">
        <f t="shared" si="9"/>
        <v>0</v>
      </c>
      <c r="I7" s="120"/>
      <c r="J7" s="150">
        <v>0</v>
      </c>
      <c r="K7" s="150">
        <v>2</v>
      </c>
      <c r="L7" s="150">
        <f t="shared" si="10"/>
        <v>0</v>
      </c>
      <c r="M7" s="120"/>
      <c r="N7" s="150">
        <v>1</v>
      </c>
      <c r="O7" s="150">
        <v>2</v>
      </c>
      <c r="P7" s="150">
        <f t="shared" si="11"/>
        <v>0</v>
      </c>
      <c r="Q7" s="150"/>
      <c r="R7" s="130">
        <v>2</v>
      </c>
      <c r="S7" s="130">
        <v>2</v>
      </c>
      <c r="T7" s="130">
        <f t="shared" si="12"/>
        <v>0</v>
      </c>
      <c r="U7" s="120"/>
      <c r="V7" s="130">
        <v>0</v>
      </c>
      <c r="W7" s="130">
        <v>3</v>
      </c>
      <c r="X7" s="130">
        <f t="shared" si="13"/>
        <v>0</v>
      </c>
      <c r="Y7" s="120"/>
      <c r="Z7" s="121">
        <f t="shared" si="0"/>
        <v>1</v>
      </c>
      <c r="AA7" s="116" t="str">
        <f t="shared" si="1"/>
        <v>Portugal</v>
      </c>
      <c r="AB7" s="116">
        <f t="shared" si="14"/>
        <v>3</v>
      </c>
      <c r="AC7" s="116" t="str">
        <f t="shared" si="2"/>
        <v>Francia</v>
      </c>
      <c r="AD7" s="116">
        <f t="shared" si="15"/>
        <v>3</v>
      </c>
      <c r="AE7" s="156" t="str">
        <f>Terceros!G8</f>
        <v>Alemania</v>
      </c>
      <c r="AF7" s="116">
        <f t="shared" si="16"/>
        <v>0</v>
      </c>
      <c r="AG7" s="148">
        <f t="shared" si="17"/>
        <v>7</v>
      </c>
      <c r="AJ7" s="132">
        <f t="shared" si="3"/>
        <v>7.5360000000000005</v>
      </c>
      <c r="AK7" s="132">
        <f t="shared" si="4"/>
        <v>0.43</v>
      </c>
      <c r="AL7" s="132">
        <f t="shared" si="5"/>
        <v>5.5259999999999998</v>
      </c>
      <c r="AM7" s="132">
        <f t="shared" si="6"/>
        <v>4.5259999999999998</v>
      </c>
      <c r="AN7" s="113">
        <f t="shared" si="18"/>
        <v>1</v>
      </c>
      <c r="AO7" s="113">
        <f t="shared" si="18"/>
        <v>4</v>
      </c>
      <c r="AP7" s="113">
        <f t="shared" si="18"/>
        <v>2</v>
      </c>
      <c r="AQ7" s="113">
        <f t="shared" si="18"/>
        <v>3</v>
      </c>
      <c r="AR7" s="113">
        <f t="shared" si="19"/>
        <v>1</v>
      </c>
      <c r="AS7" s="113">
        <f t="shared" si="20"/>
        <v>1</v>
      </c>
    </row>
    <row r="8" spans="1:45">
      <c r="A8" s="129" t="str">
        <f>Participantes!B5</f>
        <v>Rodrigo Palavicini</v>
      </c>
      <c r="B8" s="150">
        <v>2</v>
      </c>
      <c r="C8" s="150">
        <v>0</v>
      </c>
      <c r="D8" s="150">
        <f t="shared" si="8"/>
        <v>1</v>
      </c>
      <c r="E8" s="120"/>
      <c r="F8" s="150">
        <v>2</v>
      </c>
      <c r="G8" s="150">
        <v>1</v>
      </c>
      <c r="H8" s="150">
        <f t="shared" si="9"/>
        <v>1</v>
      </c>
      <c r="I8" s="120"/>
      <c r="J8" s="150">
        <v>0</v>
      </c>
      <c r="K8" s="150">
        <v>2</v>
      </c>
      <c r="L8" s="150">
        <f t="shared" si="10"/>
        <v>0</v>
      </c>
      <c r="M8" s="120"/>
      <c r="N8" s="150">
        <v>2</v>
      </c>
      <c r="O8" s="150">
        <v>1</v>
      </c>
      <c r="P8" s="150">
        <f t="shared" si="11"/>
        <v>1</v>
      </c>
      <c r="Q8" s="120"/>
      <c r="R8" s="130">
        <v>0</v>
      </c>
      <c r="S8" s="130">
        <v>2</v>
      </c>
      <c r="T8" s="130">
        <f t="shared" si="12"/>
        <v>0</v>
      </c>
      <c r="U8" s="120"/>
      <c r="V8" s="130">
        <v>0</v>
      </c>
      <c r="W8" s="130">
        <v>2</v>
      </c>
      <c r="X8" s="130">
        <f t="shared" si="13"/>
        <v>0</v>
      </c>
      <c r="Y8" s="120"/>
      <c r="Z8" s="121">
        <f t="shared" si="0"/>
        <v>3</v>
      </c>
      <c r="AA8" s="116" t="str">
        <f t="shared" si="1"/>
        <v>Francia</v>
      </c>
      <c r="AB8" s="116">
        <f t="shared" si="14"/>
        <v>6</v>
      </c>
      <c r="AC8" s="116" t="str">
        <f t="shared" si="2"/>
        <v>Alemania</v>
      </c>
      <c r="AD8" s="116">
        <f t="shared" si="15"/>
        <v>0</v>
      </c>
      <c r="AE8" s="156" t="str">
        <f>Terceros!G9</f>
        <v/>
      </c>
      <c r="AF8" s="116">
        <f t="shared" si="16"/>
        <v>0</v>
      </c>
      <c r="AG8" s="148">
        <f t="shared" si="17"/>
        <v>9</v>
      </c>
      <c r="AJ8" s="132">
        <f t="shared" si="3"/>
        <v>3.4930000000000003</v>
      </c>
      <c r="AK8" s="132">
        <f t="shared" si="4"/>
        <v>0.44</v>
      </c>
      <c r="AL8" s="132">
        <f t="shared" si="5"/>
        <v>9.5560000000000009</v>
      </c>
      <c r="AM8" s="132">
        <f t="shared" si="6"/>
        <v>6.5249999999999995</v>
      </c>
      <c r="AN8" s="113">
        <f t="shared" si="18"/>
        <v>3</v>
      </c>
      <c r="AO8" s="113">
        <f t="shared" si="18"/>
        <v>4</v>
      </c>
      <c r="AP8" s="113">
        <f t="shared" si="18"/>
        <v>1</v>
      </c>
      <c r="AQ8" s="113">
        <f t="shared" si="18"/>
        <v>2</v>
      </c>
      <c r="AR8" s="113">
        <f t="shared" si="19"/>
        <v>1</v>
      </c>
      <c r="AS8" s="113">
        <f t="shared" si="20"/>
        <v>1</v>
      </c>
    </row>
    <row r="9" spans="1:45">
      <c r="A9" s="129" t="str">
        <f>Participantes!B6</f>
        <v>Carlos Medina</v>
      </c>
      <c r="B9" s="150">
        <v>2</v>
      </c>
      <c r="C9" s="150">
        <v>1</v>
      </c>
      <c r="D9" s="150">
        <f t="shared" si="8"/>
        <v>1</v>
      </c>
      <c r="E9" s="120"/>
      <c r="F9" s="150">
        <v>2</v>
      </c>
      <c r="G9" s="150">
        <v>2</v>
      </c>
      <c r="H9" s="150">
        <f t="shared" si="9"/>
        <v>0</v>
      </c>
      <c r="I9" s="120"/>
      <c r="J9" s="150">
        <v>1</v>
      </c>
      <c r="K9" s="150">
        <v>3</v>
      </c>
      <c r="L9" s="150">
        <f t="shared" si="10"/>
        <v>0</v>
      </c>
      <c r="M9" s="120"/>
      <c r="N9" s="150">
        <v>2</v>
      </c>
      <c r="O9" s="150">
        <v>2</v>
      </c>
      <c r="P9" s="150">
        <f t="shared" si="11"/>
        <v>0</v>
      </c>
      <c r="Q9" s="120"/>
      <c r="R9" s="130">
        <v>1</v>
      </c>
      <c r="S9" s="130">
        <v>1</v>
      </c>
      <c r="T9" s="130">
        <f t="shared" si="12"/>
        <v>0</v>
      </c>
      <c r="U9" s="120"/>
      <c r="V9" s="130">
        <v>1</v>
      </c>
      <c r="W9" s="130">
        <v>3</v>
      </c>
      <c r="X9" s="130">
        <f t="shared" si="13"/>
        <v>0</v>
      </c>
      <c r="Y9" s="120"/>
      <c r="Z9" s="121">
        <f t="shared" si="0"/>
        <v>1</v>
      </c>
      <c r="AA9" s="116" t="str">
        <f t="shared" si="1"/>
        <v>Alemania</v>
      </c>
      <c r="AB9" s="116">
        <f t="shared" si="14"/>
        <v>0</v>
      </c>
      <c r="AC9" s="116" t="str">
        <f t="shared" si="2"/>
        <v>Francia</v>
      </c>
      <c r="AD9" s="116">
        <f t="shared" si="15"/>
        <v>3</v>
      </c>
      <c r="AE9" s="156" t="str">
        <f>Terceros!G10</f>
        <v>Portugal</v>
      </c>
      <c r="AF9" s="116">
        <f t="shared" si="16"/>
        <v>3</v>
      </c>
      <c r="AG9" s="148">
        <f t="shared" si="17"/>
        <v>7</v>
      </c>
      <c r="AJ9" s="132">
        <f t="shared" si="3"/>
        <v>5.5149999999999997</v>
      </c>
      <c r="AK9" s="132">
        <f t="shared" si="4"/>
        <v>0.45300000000000001</v>
      </c>
      <c r="AL9" s="132">
        <f t="shared" si="5"/>
        <v>5.5259999999999998</v>
      </c>
      <c r="AM9" s="132">
        <f t="shared" si="6"/>
        <v>5.5269999999999992</v>
      </c>
      <c r="AN9" s="113">
        <f t="shared" si="18"/>
        <v>3</v>
      </c>
      <c r="AO9" s="113">
        <f t="shared" si="18"/>
        <v>4</v>
      </c>
      <c r="AP9" s="113">
        <f t="shared" si="18"/>
        <v>2</v>
      </c>
      <c r="AQ9" s="113">
        <f t="shared" si="18"/>
        <v>1</v>
      </c>
      <c r="AR9" s="113">
        <f t="shared" si="19"/>
        <v>1</v>
      </c>
      <c r="AS9" s="113">
        <f t="shared" si="20"/>
        <v>1</v>
      </c>
    </row>
    <row r="10" spans="1:45">
      <c r="A10" s="129" t="str">
        <f>Participantes!B7</f>
        <v>July Batista</v>
      </c>
      <c r="B10" s="150">
        <v>2</v>
      </c>
      <c r="C10" s="150">
        <v>0</v>
      </c>
      <c r="D10" s="150">
        <f t="shared" si="8"/>
        <v>1</v>
      </c>
      <c r="E10" s="120"/>
      <c r="F10" s="150">
        <v>1</v>
      </c>
      <c r="G10" s="150">
        <v>1</v>
      </c>
      <c r="H10" s="150">
        <f t="shared" si="9"/>
        <v>0</v>
      </c>
      <c r="I10" s="120"/>
      <c r="J10" s="150">
        <v>0</v>
      </c>
      <c r="K10" s="150">
        <v>3</v>
      </c>
      <c r="L10" s="150">
        <f t="shared" si="10"/>
        <v>0</v>
      </c>
      <c r="M10" s="120"/>
      <c r="N10" s="150">
        <v>1</v>
      </c>
      <c r="O10" s="150">
        <v>1</v>
      </c>
      <c r="P10" s="150">
        <f t="shared" si="11"/>
        <v>0</v>
      </c>
      <c r="Q10" s="120"/>
      <c r="R10" s="130">
        <v>1</v>
      </c>
      <c r="S10" s="130">
        <v>1</v>
      </c>
      <c r="T10" s="130">
        <f t="shared" si="12"/>
        <v>0</v>
      </c>
      <c r="U10" s="120"/>
      <c r="V10" s="130">
        <v>0</v>
      </c>
      <c r="W10" s="130">
        <v>2</v>
      </c>
      <c r="X10" s="130">
        <f t="shared" si="13"/>
        <v>0</v>
      </c>
      <c r="Y10" s="120"/>
      <c r="Z10" s="121">
        <f t="shared" si="0"/>
        <v>1</v>
      </c>
      <c r="AA10" s="116" t="str">
        <f t="shared" si="1"/>
        <v>Francia</v>
      </c>
      <c r="AB10" s="116">
        <f t="shared" si="14"/>
        <v>6</v>
      </c>
      <c r="AC10" s="116" t="str">
        <f t="shared" si="2"/>
        <v>**Portugal</v>
      </c>
      <c r="AD10" s="116">
        <f t="shared" si="15"/>
        <v>0</v>
      </c>
      <c r="AE10" s="156" t="str">
        <f>Terceros!G11</f>
        <v>Portugal</v>
      </c>
      <c r="AF10" s="116">
        <f t="shared" si="16"/>
        <v>3</v>
      </c>
      <c r="AG10" s="148">
        <f t="shared" si="17"/>
        <v>10</v>
      </c>
      <c r="AJ10" s="132">
        <f t="shared" si="3"/>
        <v>5.5239999999999991</v>
      </c>
      <c r="AK10" s="132">
        <f t="shared" si="4"/>
        <v>0.43</v>
      </c>
      <c r="AL10" s="132">
        <f t="shared" si="5"/>
        <v>5.5350000000000001</v>
      </c>
      <c r="AM10" s="132">
        <f t="shared" si="6"/>
        <v>5.5239999999999991</v>
      </c>
      <c r="AN10" s="113">
        <f t="shared" si="18"/>
        <v>2</v>
      </c>
      <c r="AO10" s="113">
        <f t="shared" si="18"/>
        <v>4</v>
      </c>
      <c r="AP10" s="113">
        <f t="shared" si="18"/>
        <v>1</v>
      </c>
      <c r="AQ10" s="113">
        <f t="shared" si="18"/>
        <v>2</v>
      </c>
      <c r="AR10" s="113">
        <f t="shared" si="19"/>
        <v>1</v>
      </c>
      <c r="AS10" s="113">
        <f t="shared" si="20"/>
        <v>2</v>
      </c>
    </row>
    <row r="11" spans="1:45">
      <c r="A11" s="129" t="str">
        <f>Participantes!B8</f>
        <v>Carlos Quiel</v>
      </c>
      <c r="B11" s="150">
        <v>1</v>
      </c>
      <c r="C11" s="150">
        <v>1</v>
      </c>
      <c r="D11" s="150">
        <f t="shared" si="8"/>
        <v>0</v>
      </c>
      <c r="E11" s="120"/>
      <c r="F11" s="150">
        <v>3</v>
      </c>
      <c r="G11" s="150">
        <v>2</v>
      </c>
      <c r="H11" s="150">
        <f t="shared" si="9"/>
        <v>1</v>
      </c>
      <c r="I11" s="120"/>
      <c r="J11" s="150">
        <v>0</v>
      </c>
      <c r="K11" s="150">
        <v>1</v>
      </c>
      <c r="L11" s="150">
        <f t="shared" si="10"/>
        <v>0</v>
      </c>
      <c r="M11" s="120"/>
      <c r="N11" s="150">
        <v>2</v>
      </c>
      <c r="O11" s="150">
        <v>0</v>
      </c>
      <c r="P11" s="150">
        <f t="shared" si="11"/>
        <v>1</v>
      </c>
      <c r="Q11" s="120"/>
      <c r="R11" s="130">
        <v>1</v>
      </c>
      <c r="S11" s="130">
        <v>3</v>
      </c>
      <c r="T11" s="130">
        <f t="shared" si="12"/>
        <v>0</v>
      </c>
      <c r="U11" s="120"/>
      <c r="V11" s="130">
        <v>1</v>
      </c>
      <c r="W11" s="130">
        <v>2</v>
      </c>
      <c r="X11" s="130">
        <f t="shared" si="13"/>
        <v>0</v>
      </c>
      <c r="Y11" s="120"/>
      <c r="Z11" s="121">
        <f t="shared" si="0"/>
        <v>2</v>
      </c>
      <c r="AA11" s="116" t="str">
        <f t="shared" si="1"/>
        <v>Francia</v>
      </c>
      <c r="AB11" s="116">
        <f t="shared" si="14"/>
        <v>6</v>
      </c>
      <c r="AC11" s="116" t="str">
        <f t="shared" si="2"/>
        <v>Alemania</v>
      </c>
      <c r="AD11" s="116">
        <f t="shared" si="15"/>
        <v>0</v>
      </c>
      <c r="AE11" s="156" t="str">
        <f>Terceros!G12</f>
        <v/>
      </c>
      <c r="AF11" s="116">
        <f t="shared" si="16"/>
        <v>0</v>
      </c>
      <c r="AG11" s="148">
        <f t="shared" si="17"/>
        <v>8</v>
      </c>
      <c r="AJ11" s="132">
        <f t="shared" si="3"/>
        <v>1.462</v>
      </c>
      <c r="AK11" s="132">
        <f t="shared" si="4"/>
        <v>1.482</v>
      </c>
      <c r="AL11" s="132">
        <f t="shared" si="5"/>
        <v>9.5469999999999988</v>
      </c>
      <c r="AM11" s="132">
        <f t="shared" si="6"/>
        <v>6.5259999999999998</v>
      </c>
      <c r="AN11" s="113">
        <f t="shared" si="18"/>
        <v>4</v>
      </c>
      <c r="AO11" s="113">
        <f t="shared" si="18"/>
        <v>3</v>
      </c>
      <c r="AP11" s="113">
        <f t="shared" si="18"/>
        <v>1</v>
      </c>
      <c r="AQ11" s="113">
        <f t="shared" si="18"/>
        <v>2</v>
      </c>
      <c r="AR11" s="113">
        <f t="shared" si="19"/>
        <v>1</v>
      </c>
      <c r="AS11" s="113">
        <f t="shared" si="20"/>
        <v>1</v>
      </c>
    </row>
    <row r="12" spans="1:45">
      <c r="A12" s="129" t="str">
        <f>Participantes!B9</f>
        <v>Oliver Amaya</v>
      </c>
      <c r="B12" s="150">
        <v>3</v>
      </c>
      <c r="C12" s="150">
        <v>0</v>
      </c>
      <c r="D12" s="150">
        <f t="shared" si="8"/>
        <v>3</v>
      </c>
      <c r="E12" s="120"/>
      <c r="F12" s="150">
        <v>1</v>
      </c>
      <c r="G12" s="150">
        <v>0</v>
      </c>
      <c r="H12" s="150">
        <f t="shared" si="9"/>
        <v>3</v>
      </c>
      <c r="I12" s="120"/>
      <c r="J12" s="150">
        <v>0</v>
      </c>
      <c r="K12" s="150">
        <v>3</v>
      </c>
      <c r="L12" s="150">
        <f t="shared" si="10"/>
        <v>0</v>
      </c>
      <c r="M12" s="120"/>
      <c r="N12" s="150">
        <v>2</v>
      </c>
      <c r="O12" s="150">
        <v>2</v>
      </c>
      <c r="P12" s="150">
        <f t="shared" si="11"/>
        <v>0</v>
      </c>
      <c r="Q12" s="120"/>
      <c r="R12" s="130">
        <v>0</v>
      </c>
      <c r="S12" s="130">
        <v>1</v>
      </c>
      <c r="T12" s="130">
        <f t="shared" si="12"/>
        <v>0</v>
      </c>
      <c r="U12" s="120"/>
      <c r="V12" s="130">
        <v>0</v>
      </c>
      <c r="W12" s="130">
        <v>3</v>
      </c>
      <c r="X12" s="130">
        <f t="shared" si="13"/>
        <v>0</v>
      </c>
      <c r="Y12" s="120"/>
      <c r="Z12" s="121">
        <f t="shared" si="0"/>
        <v>6</v>
      </c>
      <c r="AA12" s="116" t="str">
        <f t="shared" si="1"/>
        <v>Francia</v>
      </c>
      <c r="AB12" s="116">
        <f t="shared" si="14"/>
        <v>6</v>
      </c>
      <c r="AC12" s="116" t="str">
        <f t="shared" si="2"/>
        <v>**Portugal</v>
      </c>
      <c r="AD12" s="116">
        <f t="shared" si="15"/>
        <v>0</v>
      </c>
      <c r="AE12" s="156" t="str">
        <f>Terceros!G13</f>
        <v>Alemania</v>
      </c>
      <c r="AF12" s="116">
        <f t="shared" si="16"/>
        <v>0</v>
      </c>
      <c r="AG12" s="148">
        <f t="shared" si="17"/>
        <v>12</v>
      </c>
      <c r="AJ12" s="132">
        <f t="shared" si="3"/>
        <v>4.5249999999999995</v>
      </c>
      <c r="AK12" s="132">
        <f t="shared" si="4"/>
        <v>0.41000000000000003</v>
      </c>
      <c r="AL12" s="132">
        <f t="shared" si="5"/>
        <v>9.5550000000000015</v>
      </c>
      <c r="AM12" s="132">
        <f t="shared" si="6"/>
        <v>4.5249999999999995</v>
      </c>
      <c r="AN12" s="113">
        <f t="shared" si="18"/>
        <v>2</v>
      </c>
      <c r="AO12" s="113">
        <f t="shared" si="18"/>
        <v>4</v>
      </c>
      <c r="AP12" s="113">
        <f t="shared" si="18"/>
        <v>1</v>
      </c>
      <c r="AQ12" s="113">
        <f t="shared" si="18"/>
        <v>2</v>
      </c>
      <c r="AR12" s="113">
        <f t="shared" si="19"/>
        <v>1</v>
      </c>
      <c r="AS12" s="113">
        <f t="shared" si="20"/>
        <v>2</v>
      </c>
    </row>
    <row r="13" spans="1:45">
      <c r="A13" s="129" t="str">
        <f>Participantes!B10</f>
        <v>Radames Guerrero</v>
      </c>
      <c r="B13" s="150">
        <v>2</v>
      </c>
      <c r="C13" s="150">
        <v>2</v>
      </c>
      <c r="D13" s="150">
        <f t="shared" si="8"/>
        <v>0</v>
      </c>
      <c r="E13" s="120"/>
      <c r="F13" s="150">
        <v>1</v>
      </c>
      <c r="G13" s="150">
        <v>2</v>
      </c>
      <c r="H13" s="150">
        <f t="shared" si="9"/>
        <v>0</v>
      </c>
      <c r="I13" s="120"/>
      <c r="J13" s="150">
        <v>1</v>
      </c>
      <c r="K13" s="150">
        <v>1</v>
      </c>
      <c r="L13" s="150">
        <f t="shared" si="10"/>
        <v>3</v>
      </c>
      <c r="M13" s="120"/>
      <c r="N13" s="150">
        <v>1</v>
      </c>
      <c r="O13" s="150">
        <v>0</v>
      </c>
      <c r="P13" s="150">
        <f t="shared" si="11"/>
        <v>1</v>
      </c>
      <c r="Q13" s="120"/>
      <c r="R13" s="130">
        <v>2</v>
      </c>
      <c r="S13" s="130">
        <v>0</v>
      </c>
      <c r="T13" s="130">
        <f t="shared" si="12"/>
        <v>0</v>
      </c>
      <c r="U13" s="120"/>
      <c r="V13" s="130">
        <v>1</v>
      </c>
      <c r="W13" s="130">
        <v>3</v>
      </c>
      <c r="X13" s="130">
        <f t="shared" si="13"/>
        <v>0</v>
      </c>
      <c r="Y13" s="120"/>
      <c r="Z13" s="121">
        <f t="shared" si="0"/>
        <v>4</v>
      </c>
      <c r="AA13" s="116" t="str">
        <f t="shared" si="1"/>
        <v>Alemania</v>
      </c>
      <c r="AB13" s="116">
        <f t="shared" si="14"/>
        <v>0</v>
      </c>
      <c r="AC13" s="116" t="str">
        <f t="shared" si="2"/>
        <v>Portugal</v>
      </c>
      <c r="AD13" s="116">
        <f t="shared" si="15"/>
        <v>6</v>
      </c>
      <c r="AE13" s="156" t="str">
        <f>Terceros!G14</f>
        <v/>
      </c>
      <c r="AF13" s="116">
        <f t="shared" si="16"/>
        <v>0</v>
      </c>
      <c r="AG13" s="148">
        <f t="shared" si="17"/>
        <v>10</v>
      </c>
      <c r="AJ13" s="132">
        <f t="shared" si="3"/>
        <v>4.5139999999999993</v>
      </c>
      <c r="AK13" s="132">
        <f t="shared" si="4"/>
        <v>2.484</v>
      </c>
      <c r="AL13" s="132">
        <f t="shared" si="5"/>
        <v>1.472</v>
      </c>
      <c r="AM13" s="132">
        <f t="shared" si="6"/>
        <v>9.5459999999999994</v>
      </c>
      <c r="AN13" s="113">
        <f t="shared" si="18"/>
        <v>2</v>
      </c>
      <c r="AO13" s="113">
        <f t="shared" si="18"/>
        <v>3</v>
      </c>
      <c r="AP13" s="113">
        <f t="shared" si="18"/>
        <v>4</v>
      </c>
      <c r="AQ13" s="113">
        <f t="shared" si="18"/>
        <v>1</v>
      </c>
      <c r="AR13" s="113">
        <f t="shared" si="19"/>
        <v>1</v>
      </c>
      <c r="AS13" s="113">
        <f t="shared" si="20"/>
        <v>1</v>
      </c>
    </row>
    <row r="14" spans="1:45">
      <c r="A14" s="129" t="str">
        <f>Participantes!B11</f>
        <v>Effie Latouche</v>
      </c>
      <c r="B14" s="150">
        <v>3</v>
      </c>
      <c r="C14" s="150">
        <v>1</v>
      </c>
      <c r="D14" s="150">
        <f t="shared" si="8"/>
        <v>1</v>
      </c>
      <c r="E14" s="120"/>
      <c r="F14" s="150">
        <v>1</v>
      </c>
      <c r="G14" s="150">
        <v>3</v>
      </c>
      <c r="H14" s="150">
        <f t="shared" si="9"/>
        <v>0</v>
      </c>
      <c r="I14" s="120"/>
      <c r="J14" s="150">
        <v>1</v>
      </c>
      <c r="K14" s="150">
        <v>2</v>
      </c>
      <c r="L14" s="150">
        <f t="shared" si="10"/>
        <v>0</v>
      </c>
      <c r="M14" s="120"/>
      <c r="N14" s="150">
        <v>2</v>
      </c>
      <c r="O14" s="150">
        <v>3</v>
      </c>
      <c r="P14" s="150">
        <f t="shared" si="11"/>
        <v>0</v>
      </c>
      <c r="Q14" s="120"/>
      <c r="R14" s="130">
        <v>2</v>
      </c>
      <c r="S14" s="130">
        <v>1</v>
      </c>
      <c r="T14" s="130">
        <f t="shared" si="12"/>
        <v>0</v>
      </c>
      <c r="U14" s="120"/>
      <c r="V14" s="130">
        <v>1</v>
      </c>
      <c r="W14" s="130">
        <v>2</v>
      </c>
      <c r="X14" s="130">
        <f t="shared" si="13"/>
        <v>0</v>
      </c>
      <c r="Y14" s="120"/>
      <c r="Z14" s="121">
        <f t="shared" si="0"/>
        <v>1</v>
      </c>
      <c r="AA14" s="116" t="str">
        <f t="shared" si="1"/>
        <v>Portugal</v>
      </c>
      <c r="AB14" s="116">
        <f t="shared" si="14"/>
        <v>3</v>
      </c>
      <c r="AC14" s="116" t="str">
        <f t="shared" si="2"/>
        <v>Alemania</v>
      </c>
      <c r="AD14" s="116">
        <f t="shared" si="15"/>
        <v>0</v>
      </c>
      <c r="AE14" s="156" t="str">
        <f>Terceros!G15</f>
        <v>Francia</v>
      </c>
      <c r="AF14" s="116">
        <f t="shared" si="16"/>
        <v>3</v>
      </c>
      <c r="AG14" s="148">
        <f t="shared" si="17"/>
        <v>7</v>
      </c>
      <c r="AJ14" s="132">
        <f t="shared" si="3"/>
        <v>9.5479999999999983</v>
      </c>
      <c r="AK14" s="132">
        <f t="shared" si="4"/>
        <v>0.46300000000000002</v>
      </c>
      <c r="AL14" s="132">
        <f t="shared" si="5"/>
        <v>3.484</v>
      </c>
      <c r="AM14" s="132">
        <f t="shared" si="6"/>
        <v>6.5269999999999992</v>
      </c>
      <c r="AN14" s="113">
        <f t="shared" si="18"/>
        <v>1</v>
      </c>
      <c r="AO14" s="113">
        <f t="shared" si="18"/>
        <v>4</v>
      </c>
      <c r="AP14" s="113">
        <f t="shared" si="18"/>
        <v>3</v>
      </c>
      <c r="AQ14" s="113">
        <f t="shared" si="18"/>
        <v>2</v>
      </c>
      <c r="AR14" s="113">
        <f t="shared" si="19"/>
        <v>1</v>
      </c>
      <c r="AS14" s="113">
        <f t="shared" si="20"/>
        <v>1</v>
      </c>
    </row>
    <row r="15" spans="1:45">
      <c r="A15" s="129" t="str">
        <f>Participantes!B12</f>
        <v>Sandra Badilla</v>
      </c>
      <c r="B15" s="150">
        <v>1</v>
      </c>
      <c r="C15" s="150">
        <v>0</v>
      </c>
      <c r="D15" s="150">
        <f t="shared" si="8"/>
        <v>1</v>
      </c>
      <c r="E15" s="120"/>
      <c r="F15" s="150">
        <v>2</v>
      </c>
      <c r="G15" s="150">
        <v>1</v>
      </c>
      <c r="H15" s="150">
        <f t="shared" si="9"/>
        <v>1</v>
      </c>
      <c r="I15" s="120"/>
      <c r="J15" s="150">
        <v>0</v>
      </c>
      <c r="K15" s="150">
        <v>1</v>
      </c>
      <c r="L15" s="150">
        <f t="shared" si="10"/>
        <v>0</v>
      </c>
      <c r="M15" s="120"/>
      <c r="N15" s="150">
        <v>1</v>
      </c>
      <c r="O15" s="150">
        <v>1</v>
      </c>
      <c r="P15" s="150">
        <f t="shared" si="11"/>
        <v>0</v>
      </c>
      <c r="Q15" s="120"/>
      <c r="R15" s="130">
        <v>1</v>
      </c>
      <c r="S15" s="130">
        <v>2</v>
      </c>
      <c r="T15" s="130">
        <f t="shared" si="12"/>
        <v>0</v>
      </c>
      <c r="U15" s="120"/>
      <c r="V15" s="130">
        <v>0</v>
      </c>
      <c r="W15" s="130">
        <v>2</v>
      </c>
      <c r="X15" s="130">
        <f t="shared" si="13"/>
        <v>0</v>
      </c>
      <c r="Y15" s="120"/>
      <c r="Z15" s="121">
        <f t="shared" si="0"/>
        <v>2</v>
      </c>
      <c r="AA15" s="116" t="str">
        <f t="shared" si="1"/>
        <v>Francia</v>
      </c>
      <c r="AB15" s="116">
        <f t="shared" si="14"/>
        <v>6</v>
      </c>
      <c r="AC15" s="116" t="str">
        <f t="shared" si="2"/>
        <v>Alemania</v>
      </c>
      <c r="AD15" s="116">
        <f t="shared" si="15"/>
        <v>0</v>
      </c>
      <c r="AE15" s="156" t="str">
        <f>Terceros!G16</f>
        <v>Portugal</v>
      </c>
      <c r="AF15" s="116">
        <f t="shared" si="16"/>
        <v>3</v>
      </c>
      <c r="AG15" s="148">
        <f t="shared" si="17"/>
        <v>11</v>
      </c>
      <c r="AJ15" s="132">
        <f t="shared" si="3"/>
        <v>4.5030000000000001</v>
      </c>
      <c r="AK15" s="132">
        <f t="shared" si="4"/>
        <v>0.46</v>
      </c>
      <c r="AL15" s="132">
        <f t="shared" si="5"/>
        <v>9.5350000000000001</v>
      </c>
      <c r="AM15" s="132">
        <f t="shared" si="6"/>
        <v>4.5139999999999993</v>
      </c>
      <c r="AN15" s="113">
        <f t="shared" si="18"/>
        <v>3</v>
      </c>
      <c r="AO15" s="113">
        <f t="shared" si="18"/>
        <v>4</v>
      </c>
      <c r="AP15" s="113">
        <f t="shared" si="18"/>
        <v>1</v>
      </c>
      <c r="AQ15" s="113">
        <f t="shared" si="18"/>
        <v>2</v>
      </c>
      <c r="AR15" s="113">
        <f t="shared" si="19"/>
        <v>1</v>
      </c>
      <c r="AS15" s="113">
        <f t="shared" si="20"/>
        <v>1</v>
      </c>
    </row>
    <row r="16" spans="1:45">
      <c r="A16" s="129" t="str">
        <f>Participantes!B13</f>
        <v>Samantha Montero 1</v>
      </c>
      <c r="B16" s="150">
        <v>2</v>
      </c>
      <c r="C16" s="150">
        <v>1</v>
      </c>
      <c r="D16" s="150">
        <f t="shared" si="8"/>
        <v>1</v>
      </c>
      <c r="E16" s="120"/>
      <c r="F16" s="150">
        <v>3</v>
      </c>
      <c r="G16" s="150">
        <v>2</v>
      </c>
      <c r="H16" s="150">
        <f t="shared" si="9"/>
        <v>1</v>
      </c>
      <c r="I16" s="120"/>
      <c r="J16" s="150">
        <v>1</v>
      </c>
      <c r="K16" s="150">
        <v>2</v>
      </c>
      <c r="L16" s="150">
        <f t="shared" si="10"/>
        <v>0</v>
      </c>
      <c r="M16" s="120"/>
      <c r="N16" s="150">
        <v>2</v>
      </c>
      <c r="O16" s="150">
        <v>3</v>
      </c>
      <c r="P16" s="150">
        <f t="shared" si="11"/>
        <v>0</v>
      </c>
      <c r="Q16" s="120"/>
      <c r="R16" s="130">
        <v>2</v>
      </c>
      <c r="S16" s="130">
        <v>3</v>
      </c>
      <c r="T16" s="130">
        <f t="shared" si="12"/>
        <v>0</v>
      </c>
      <c r="U16" s="120"/>
      <c r="V16" s="130">
        <v>1</v>
      </c>
      <c r="W16" s="130">
        <v>3</v>
      </c>
      <c r="X16" s="130">
        <f t="shared" si="13"/>
        <v>0</v>
      </c>
      <c r="Y16" s="120"/>
      <c r="Z16" s="121">
        <f t="shared" si="0"/>
        <v>2</v>
      </c>
      <c r="AA16" s="116" t="str">
        <f t="shared" si="1"/>
        <v>Francia</v>
      </c>
      <c r="AB16" s="116">
        <f t="shared" si="14"/>
        <v>6</v>
      </c>
      <c r="AC16" s="116" t="str">
        <f t="shared" si="2"/>
        <v>Portugal</v>
      </c>
      <c r="AD16" s="116">
        <f t="shared" si="15"/>
        <v>6</v>
      </c>
      <c r="AE16" s="156" t="str">
        <f>Terceros!G17</f>
        <v>Alemania</v>
      </c>
      <c r="AF16" s="116">
        <f t="shared" si="16"/>
        <v>0</v>
      </c>
      <c r="AG16" s="148">
        <f t="shared" si="17"/>
        <v>14</v>
      </c>
      <c r="AJ16" s="132">
        <f t="shared" si="3"/>
        <v>6.5169999999999995</v>
      </c>
      <c r="AK16" s="132">
        <f t="shared" si="4"/>
        <v>0.46300000000000002</v>
      </c>
      <c r="AL16" s="132">
        <f t="shared" si="5"/>
        <v>9.5379999999999985</v>
      </c>
      <c r="AM16" s="132">
        <f t="shared" si="6"/>
        <v>3.5070000000000001</v>
      </c>
      <c r="AN16" s="113">
        <f t="shared" si="18"/>
        <v>2</v>
      </c>
      <c r="AO16" s="113">
        <f t="shared" si="18"/>
        <v>4</v>
      </c>
      <c r="AP16" s="113">
        <f t="shared" si="18"/>
        <v>1</v>
      </c>
      <c r="AQ16" s="113">
        <f t="shared" si="18"/>
        <v>3</v>
      </c>
      <c r="AR16" s="113">
        <f t="shared" si="19"/>
        <v>1</v>
      </c>
      <c r="AS16" s="113">
        <f t="shared" si="20"/>
        <v>1</v>
      </c>
    </row>
    <row r="17" spans="1:45">
      <c r="A17" s="129" t="str">
        <f>Participantes!B14</f>
        <v>Samantha Mont. 2 (Jairo)</v>
      </c>
      <c r="B17" s="150">
        <v>4</v>
      </c>
      <c r="C17" s="150">
        <v>1</v>
      </c>
      <c r="D17" s="150">
        <f t="shared" si="8"/>
        <v>1</v>
      </c>
      <c r="E17" s="120"/>
      <c r="F17" s="150">
        <v>3</v>
      </c>
      <c r="G17" s="150">
        <v>2</v>
      </c>
      <c r="H17" s="150">
        <f t="shared" si="9"/>
        <v>1</v>
      </c>
      <c r="I17" s="120"/>
      <c r="J17" s="150">
        <v>0</v>
      </c>
      <c r="K17" s="150">
        <v>4</v>
      </c>
      <c r="L17" s="150">
        <f t="shared" si="10"/>
        <v>0</v>
      </c>
      <c r="M17" s="120"/>
      <c r="N17" s="150">
        <v>2</v>
      </c>
      <c r="O17" s="150">
        <v>2</v>
      </c>
      <c r="P17" s="150">
        <f t="shared" si="11"/>
        <v>0</v>
      </c>
      <c r="Q17" s="120"/>
      <c r="R17" s="130">
        <v>3</v>
      </c>
      <c r="S17" s="130">
        <v>3</v>
      </c>
      <c r="T17" s="130">
        <f t="shared" si="12"/>
        <v>0</v>
      </c>
      <c r="U17" s="120"/>
      <c r="V17" s="130">
        <v>0</v>
      </c>
      <c r="W17" s="130">
        <v>2</v>
      </c>
      <c r="X17" s="130">
        <f t="shared" si="13"/>
        <v>0</v>
      </c>
      <c r="Y17" s="120"/>
      <c r="Z17" s="121">
        <f t="shared" si="0"/>
        <v>2</v>
      </c>
      <c r="AA17" s="116" t="str">
        <f t="shared" si="1"/>
        <v>Francia</v>
      </c>
      <c r="AB17" s="116">
        <f t="shared" si="14"/>
        <v>6</v>
      </c>
      <c r="AC17" s="116" t="str">
        <f t="shared" si="2"/>
        <v>Portugal</v>
      </c>
      <c r="AD17" s="116">
        <f t="shared" si="15"/>
        <v>6</v>
      </c>
      <c r="AE17" s="156" t="str">
        <f>Terceros!G18</f>
        <v>Alemania</v>
      </c>
      <c r="AF17" s="116">
        <f t="shared" si="16"/>
        <v>0</v>
      </c>
      <c r="AG17" s="148">
        <f t="shared" si="17"/>
        <v>14</v>
      </c>
      <c r="AJ17" s="132">
        <f t="shared" si="3"/>
        <v>5.5390000000000006</v>
      </c>
      <c r="AK17" s="132">
        <f t="shared" si="4"/>
        <v>0.41100000000000003</v>
      </c>
      <c r="AL17" s="132">
        <f t="shared" si="5"/>
        <v>7.56</v>
      </c>
      <c r="AM17" s="132">
        <f t="shared" si="6"/>
        <v>4.516</v>
      </c>
      <c r="AN17" s="113">
        <f t="shared" si="18"/>
        <v>2</v>
      </c>
      <c r="AO17" s="113">
        <f t="shared" si="18"/>
        <v>4</v>
      </c>
      <c r="AP17" s="113">
        <f t="shared" si="18"/>
        <v>1</v>
      </c>
      <c r="AQ17" s="113">
        <f t="shared" si="18"/>
        <v>3</v>
      </c>
      <c r="AR17" s="113">
        <f t="shared" si="19"/>
        <v>1</v>
      </c>
      <c r="AS17" s="113">
        <f t="shared" si="20"/>
        <v>1</v>
      </c>
    </row>
    <row r="18" spans="1:45">
      <c r="A18" s="129" t="str">
        <f>Participantes!B15</f>
        <v>Samantha Mont. 3(Jafet)</v>
      </c>
      <c r="B18" s="150">
        <v>3</v>
      </c>
      <c r="C18" s="150">
        <v>0</v>
      </c>
      <c r="D18" s="150">
        <f t="shared" si="8"/>
        <v>3</v>
      </c>
      <c r="E18" s="120"/>
      <c r="F18" s="150">
        <v>3</v>
      </c>
      <c r="G18" s="150">
        <v>2</v>
      </c>
      <c r="H18" s="150">
        <f t="shared" si="9"/>
        <v>1</v>
      </c>
      <c r="I18" s="120"/>
      <c r="J18" s="150">
        <v>0</v>
      </c>
      <c r="K18" s="150">
        <v>2</v>
      </c>
      <c r="L18" s="150">
        <f t="shared" si="10"/>
        <v>0</v>
      </c>
      <c r="M18" s="120"/>
      <c r="N18" s="150">
        <v>1</v>
      </c>
      <c r="O18" s="150">
        <v>2</v>
      </c>
      <c r="P18" s="150">
        <f t="shared" si="11"/>
        <v>0</v>
      </c>
      <c r="Q18" s="120"/>
      <c r="R18" s="130">
        <v>1</v>
      </c>
      <c r="S18" s="130">
        <v>1</v>
      </c>
      <c r="T18" s="130">
        <f t="shared" si="12"/>
        <v>0</v>
      </c>
      <c r="U18" s="120"/>
      <c r="V18" s="130">
        <v>1</v>
      </c>
      <c r="W18" s="130">
        <v>3</v>
      </c>
      <c r="X18" s="130">
        <f t="shared" si="13"/>
        <v>0</v>
      </c>
      <c r="Y18" s="120"/>
      <c r="Z18" s="121">
        <f t="shared" si="0"/>
        <v>4</v>
      </c>
      <c r="AA18" s="116" t="str">
        <f t="shared" si="1"/>
        <v>Portugal</v>
      </c>
      <c r="AB18" s="116">
        <f t="shared" si="14"/>
        <v>3</v>
      </c>
      <c r="AC18" s="116" t="str">
        <f t="shared" si="2"/>
        <v>Francia</v>
      </c>
      <c r="AD18" s="116">
        <f t="shared" si="15"/>
        <v>3</v>
      </c>
      <c r="AE18" s="156" t="str">
        <f>Terceros!G19</f>
        <v>Alemania</v>
      </c>
      <c r="AF18" s="116">
        <f t="shared" si="16"/>
        <v>0</v>
      </c>
      <c r="AG18" s="148">
        <f t="shared" si="17"/>
        <v>10</v>
      </c>
      <c r="AJ18" s="132">
        <f t="shared" si="3"/>
        <v>7.5460000000000003</v>
      </c>
      <c r="AK18" s="132">
        <f t="shared" si="4"/>
        <v>0.43099999999999999</v>
      </c>
      <c r="AL18" s="132">
        <f t="shared" si="5"/>
        <v>7.5360000000000005</v>
      </c>
      <c r="AM18" s="132">
        <f t="shared" si="6"/>
        <v>3.5059999999999998</v>
      </c>
      <c r="AN18" s="113">
        <f t="shared" si="18"/>
        <v>1</v>
      </c>
      <c r="AO18" s="113">
        <f t="shared" si="18"/>
        <v>4</v>
      </c>
      <c r="AP18" s="113">
        <f t="shared" si="18"/>
        <v>2</v>
      </c>
      <c r="AQ18" s="113">
        <f t="shared" si="18"/>
        <v>3</v>
      </c>
      <c r="AR18" s="113">
        <f t="shared" si="19"/>
        <v>1</v>
      </c>
      <c r="AS18" s="113">
        <f t="shared" si="20"/>
        <v>1</v>
      </c>
    </row>
    <row r="19" spans="1:45">
      <c r="A19" s="129" t="str">
        <f>Participantes!B16</f>
        <v>Mileny Acosta</v>
      </c>
      <c r="B19" s="150">
        <v>2</v>
      </c>
      <c r="C19" s="150">
        <v>0</v>
      </c>
      <c r="D19" s="150">
        <f t="shared" si="8"/>
        <v>1</v>
      </c>
      <c r="E19" s="120"/>
      <c r="F19" s="150">
        <v>2</v>
      </c>
      <c r="G19" s="150">
        <v>1</v>
      </c>
      <c r="H19" s="150">
        <f t="shared" si="9"/>
        <v>1</v>
      </c>
      <c r="I19" s="120"/>
      <c r="J19" s="150">
        <v>0</v>
      </c>
      <c r="K19" s="150">
        <v>3</v>
      </c>
      <c r="L19" s="150">
        <f t="shared" si="10"/>
        <v>0</v>
      </c>
      <c r="M19" s="120"/>
      <c r="N19" s="150">
        <v>1</v>
      </c>
      <c r="O19" s="150">
        <v>0</v>
      </c>
      <c r="P19" s="150">
        <f t="shared" si="11"/>
        <v>1</v>
      </c>
      <c r="Q19" s="120"/>
      <c r="R19" s="130">
        <v>1</v>
      </c>
      <c r="S19" s="130">
        <v>2</v>
      </c>
      <c r="T19" s="130">
        <f t="shared" si="12"/>
        <v>0</v>
      </c>
      <c r="U19" s="120"/>
      <c r="V19" s="130">
        <v>0</v>
      </c>
      <c r="W19" s="130">
        <v>1</v>
      </c>
      <c r="X19" s="130">
        <f t="shared" si="13"/>
        <v>0</v>
      </c>
      <c r="Y19" s="120"/>
      <c r="Z19" s="121">
        <f t="shared" si="0"/>
        <v>3</v>
      </c>
      <c r="AA19" s="116" t="str">
        <f t="shared" si="1"/>
        <v>Francia</v>
      </c>
      <c r="AB19" s="116">
        <f t="shared" si="14"/>
        <v>6</v>
      </c>
      <c r="AC19" s="116" t="str">
        <f t="shared" si="2"/>
        <v>Alemania</v>
      </c>
      <c r="AD19" s="116">
        <f t="shared" si="15"/>
        <v>0</v>
      </c>
      <c r="AE19" s="156" t="str">
        <f>Terceros!G20</f>
        <v>Portugal</v>
      </c>
      <c r="AF19" s="116">
        <f t="shared" si="16"/>
        <v>3</v>
      </c>
      <c r="AG19" s="148">
        <f t="shared" si="17"/>
        <v>12</v>
      </c>
      <c r="AJ19" s="132">
        <f t="shared" si="3"/>
        <v>3.5030000000000001</v>
      </c>
      <c r="AK19" s="132">
        <f t="shared" si="4"/>
        <v>0.44</v>
      </c>
      <c r="AL19" s="132">
        <f t="shared" si="5"/>
        <v>9.5570000000000004</v>
      </c>
      <c r="AM19" s="132">
        <f t="shared" si="6"/>
        <v>6.5129999999999999</v>
      </c>
      <c r="AN19" s="113">
        <f t="shared" si="18"/>
        <v>3</v>
      </c>
      <c r="AO19" s="113">
        <f t="shared" si="18"/>
        <v>4</v>
      </c>
      <c r="AP19" s="113">
        <f t="shared" si="18"/>
        <v>1</v>
      </c>
      <c r="AQ19" s="113">
        <f t="shared" si="18"/>
        <v>2</v>
      </c>
      <c r="AR19" s="113">
        <f t="shared" si="19"/>
        <v>1</v>
      </c>
      <c r="AS19" s="113">
        <f t="shared" si="20"/>
        <v>1</v>
      </c>
    </row>
    <row r="20" spans="1:45">
      <c r="A20" s="129" t="str">
        <f>Participantes!B17</f>
        <v>Mileny Acosta(CF)</v>
      </c>
      <c r="B20" s="150">
        <v>2</v>
      </c>
      <c r="C20" s="150">
        <v>0</v>
      </c>
      <c r="D20" s="150">
        <f t="shared" si="8"/>
        <v>1</v>
      </c>
      <c r="E20" s="120"/>
      <c r="F20" s="150">
        <v>3</v>
      </c>
      <c r="G20" s="150">
        <v>2</v>
      </c>
      <c r="H20" s="150">
        <f t="shared" si="9"/>
        <v>1</v>
      </c>
      <c r="I20" s="120"/>
      <c r="J20" s="150">
        <v>1</v>
      </c>
      <c r="K20" s="150">
        <v>3</v>
      </c>
      <c r="L20" s="150">
        <f t="shared" si="10"/>
        <v>0</v>
      </c>
      <c r="M20" s="120"/>
      <c r="N20" s="150">
        <v>1</v>
      </c>
      <c r="O20" s="150">
        <v>1</v>
      </c>
      <c r="P20" s="150">
        <f t="shared" si="11"/>
        <v>0</v>
      </c>
      <c r="Q20" s="120"/>
      <c r="R20" s="130">
        <v>1</v>
      </c>
      <c r="S20" s="130">
        <v>2</v>
      </c>
      <c r="T20" s="130">
        <f t="shared" si="12"/>
        <v>0</v>
      </c>
      <c r="U20" s="120"/>
      <c r="V20" s="130">
        <v>1</v>
      </c>
      <c r="W20" s="130">
        <v>3</v>
      </c>
      <c r="X20" s="130">
        <f t="shared" si="13"/>
        <v>0</v>
      </c>
      <c r="Y20" s="120"/>
      <c r="Z20" s="121">
        <f t="shared" si="0"/>
        <v>2</v>
      </c>
      <c r="AA20" s="116" t="str">
        <f t="shared" si="1"/>
        <v>Francia</v>
      </c>
      <c r="AB20" s="116">
        <f t="shared" si="14"/>
        <v>6</v>
      </c>
      <c r="AC20" s="116" t="str">
        <f t="shared" si="2"/>
        <v>Alemania</v>
      </c>
      <c r="AD20" s="116">
        <f t="shared" si="15"/>
        <v>0</v>
      </c>
      <c r="AE20" s="156" t="str">
        <f>Terceros!G21</f>
        <v>Portugal</v>
      </c>
      <c r="AF20" s="116">
        <f t="shared" si="16"/>
        <v>3</v>
      </c>
      <c r="AG20" s="148">
        <f t="shared" si="17"/>
        <v>11</v>
      </c>
      <c r="AJ20" s="132">
        <f t="shared" si="3"/>
        <v>4.5139999999999993</v>
      </c>
      <c r="AK20" s="132">
        <f t="shared" si="4"/>
        <v>0.442</v>
      </c>
      <c r="AL20" s="132">
        <f t="shared" si="5"/>
        <v>9.5479999999999983</v>
      </c>
      <c r="AM20" s="132">
        <f t="shared" si="6"/>
        <v>4.516</v>
      </c>
      <c r="AN20" s="113">
        <f t="shared" si="18"/>
        <v>3</v>
      </c>
      <c r="AO20" s="113">
        <f t="shared" si="18"/>
        <v>4</v>
      </c>
      <c r="AP20" s="113">
        <f t="shared" si="18"/>
        <v>1</v>
      </c>
      <c r="AQ20" s="113">
        <f t="shared" si="18"/>
        <v>2</v>
      </c>
      <c r="AR20" s="113">
        <f t="shared" si="19"/>
        <v>1</v>
      </c>
      <c r="AS20" s="113">
        <f t="shared" si="20"/>
        <v>1</v>
      </c>
    </row>
    <row r="21" spans="1:45">
      <c r="A21" s="129" t="str">
        <f>Participantes!B18</f>
        <v>Juan Rojas</v>
      </c>
      <c r="B21" s="150">
        <v>2</v>
      </c>
      <c r="C21" s="150">
        <v>1</v>
      </c>
      <c r="D21" s="150">
        <f t="shared" si="8"/>
        <v>1</v>
      </c>
      <c r="E21" s="120"/>
      <c r="F21" s="150">
        <v>2</v>
      </c>
      <c r="G21" s="150">
        <v>2</v>
      </c>
      <c r="H21" s="150">
        <f t="shared" si="9"/>
        <v>0</v>
      </c>
      <c r="I21" s="120"/>
      <c r="J21" s="150">
        <v>1</v>
      </c>
      <c r="K21" s="150">
        <v>2</v>
      </c>
      <c r="L21" s="150">
        <f t="shared" si="10"/>
        <v>0</v>
      </c>
      <c r="M21" s="120"/>
      <c r="N21" s="150">
        <v>2</v>
      </c>
      <c r="O21" s="150">
        <v>1</v>
      </c>
      <c r="P21" s="150">
        <f t="shared" si="11"/>
        <v>1</v>
      </c>
      <c r="Q21" s="120"/>
      <c r="R21" s="130">
        <v>2</v>
      </c>
      <c r="S21" s="130">
        <v>2</v>
      </c>
      <c r="T21" s="130">
        <f t="shared" si="12"/>
        <v>0</v>
      </c>
      <c r="U21" s="120"/>
      <c r="V21" s="130">
        <v>1</v>
      </c>
      <c r="W21" s="130">
        <v>3</v>
      </c>
      <c r="X21" s="130">
        <f t="shared" si="13"/>
        <v>0</v>
      </c>
      <c r="Y21" s="120"/>
      <c r="Z21" s="121">
        <f t="shared" si="0"/>
        <v>2</v>
      </c>
      <c r="AA21" s="116" t="str">
        <f t="shared" si="1"/>
        <v>Alemania</v>
      </c>
      <c r="AB21" s="116">
        <f t="shared" si="14"/>
        <v>0</v>
      </c>
      <c r="AC21" s="116" t="str">
        <f t="shared" si="2"/>
        <v>Francia</v>
      </c>
      <c r="AD21" s="116">
        <f t="shared" si="15"/>
        <v>3</v>
      </c>
      <c r="AE21" s="156" t="str">
        <f>Terceros!G22</f>
        <v>Portugal</v>
      </c>
      <c r="AF21" s="116">
        <f t="shared" si="16"/>
        <v>3</v>
      </c>
      <c r="AG21" s="148">
        <f t="shared" si="17"/>
        <v>8</v>
      </c>
      <c r="AJ21" s="132">
        <f t="shared" si="3"/>
        <v>4.5049999999999999</v>
      </c>
      <c r="AK21" s="132">
        <f t="shared" si="4"/>
        <v>0.46300000000000002</v>
      </c>
      <c r="AL21" s="132">
        <f t="shared" si="5"/>
        <v>5.516</v>
      </c>
      <c r="AM21" s="132">
        <f t="shared" si="6"/>
        <v>7.5369999999999999</v>
      </c>
      <c r="AN21" s="113">
        <f t="shared" si="18"/>
        <v>3</v>
      </c>
      <c r="AO21" s="113">
        <f t="shared" si="18"/>
        <v>4</v>
      </c>
      <c r="AP21" s="113">
        <f t="shared" si="18"/>
        <v>2</v>
      </c>
      <c r="AQ21" s="113">
        <f t="shared" si="18"/>
        <v>1</v>
      </c>
      <c r="AR21" s="113">
        <f t="shared" si="19"/>
        <v>1</v>
      </c>
      <c r="AS21" s="113">
        <f t="shared" si="20"/>
        <v>1</v>
      </c>
    </row>
    <row r="22" spans="1:45">
      <c r="A22" s="129" t="str">
        <f>Participantes!B19</f>
        <v>Bilis Cedeño</v>
      </c>
      <c r="B22" s="150">
        <v>2</v>
      </c>
      <c r="C22" s="150">
        <v>0</v>
      </c>
      <c r="D22" s="150">
        <f t="shared" si="8"/>
        <v>1</v>
      </c>
      <c r="E22" s="120"/>
      <c r="F22" s="150">
        <v>2</v>
      </c>
      <c r="G22" s="150">
        <v>1</v>
      </c>
      <c r="H22" s="150">
        <f t="shared" si="9"/>
        <v>1</v>
      </c>
      <c r="I22" s="120"/>
      <c r="J22" s="150">
        <v>0</v>
      </c>
      <c r="K22" s="150">
        <v>3</v>
      </c>
      <c r="L22" s="150">
        <f t="shared" si="10"/>
        <v>0</v>
      </c>
      <c r="M22" s="120"/>
      <c r="N22" s="150">
        <v>1</v>
      </c>
      <c r="O22" s="150">
        <v>1</v>
      </c>
      <c r="P22" s="150">
        <f t="shared" si="11"/>
        <v>0</v>
      </c>
      <c r="Q22" s="120"/>
      <c r="R22" s="130">
        <v>1</v>
      </c>
      <c r="S22" s="130">
        <v>2</v>
      </c>
      <c r="T22" s="130">
        <f t="shared" si="12"/>
        <v>0</v>
      </c>
      <c r="U22" s="120"/>
      <c r="V22" s="130">
        <v>1</v>
      </c>
      <c r="W22" s="130">
        <v>3</v>
      </c>
      <c r="X22" s="130">
        <f t="shared" si="13"/>
        <v>0</v>
      </c>
      <c r="Y22" s="120"/>
      <c r="Z22" s="121">
        <f t="shared" si="0"/>
        <v>2</v>
      </c>
      <c r="AA22" s="116" t="str">
        <f t="shared" si="1"/>
        <v>Francia</v>
      </c>
      <c r="AB22" s="116">
        <f t="shared" si="14"/>
        <v>6</v>
      </c>
      <c r="AC22" s="116" t="str">
        <f t="shared" si="2"/>
        <v>Alemania</v>
      </c>
      <c r="AD22" s="116">
        <f t="shared" si="15"/>
        <v>0</v>
      </c>
      <c r="AE22" s="156" t="str">
        <f>Terceros!G23</f>
        <v>Portugal</v>
      </c>
      <c r="AF22" s="116">
        <f t="shared" si="16"/>
        <v>3</v>
      </c>
      <c r="AG22" s="148">
        <f t="shared" si="17"/>
        <v>11</v>
      </c>
      <c r="AJ22" s="132">
        <f t="shared" si="3"/>
        <v>4.5139999999999993</v>
      </c>
      <c r="AK22" s="132">
        <f t="shared" si="4"/>
        <v>0.43099999999999999</v>
      </c>
      <c r="AL22" s="132">
        <f t="shared" si="5"/>
        <v>9.5570000000000004</v>
      </c>
      <c r="AM22" s="132">
        <f t="shared" si="6"/>
        <v>4.5149999999999997</v>
      </c>
      <c r="AN22" s="113">
        <f t="shared" si="18"/>
        <v>3</v>
      </c>
      <c r="AO22" s="113">
        <f t="shared" si="18"/>
        <v>4</v>
      </c>
      <c r="AP22" s="113">
        <f t="shared" si="18"/>
        <v>1</v>
      </c>
      <c r="AQ22" s="113">
        <f t="shared" si="18"/>
        <v>2</v>
      </c>
      <c r="AR22" s="113">
        <f t="shared" si="19"/>
        <v>1</v>
      </c>
      <c r="AS22" s="113">
        <f t="shared" si="20"/>
        <v>1</v>
      </c>
    </row>
    <row r="23" spans="1:45">
      <c r="A23" s="129" t="str">
        <f>Participantes!B20</f>
        <v>Alfredo Quintero 1</v>
      </c>
      <c r="B23" s="150">
        <v>2</v>
      </c>
      <c r="C23" s="150">
        <v>1</v>
      </c>
      <c r="D23" s="150">
        <f t="shared" si="8"/>
        <v>1</v>
      </c>
      <c r="E23" s="120"/>
      <c r="F23" s="150">
        <v>2</v>
      </c>
      <c r="G23" s="150">
        <v>2</v>
      </c>
      <c r="H23" s="150">
        <f t="shared" si="9"/>
        <v>0</v>
      </c>
      <c r="I23" s="120"/>
      <c r="J23" s="150">
        <v>1</v>
      </c>
      <c r="K23" s="150">
        <v>3</v>
      </c>
      <c r="L23" s="150">
        <f t="shared" si="10"/>
        <v>0</v>
      </c>
      <c r="M23" s="120"/>
      <c r="N23" s="150">
        <v>3</v>
      </c>
      <c r="O23" s="150">
        <v>2</v>
      </c>
      <c r="P23" s="150">
        <f t="shared" si="11"/>
        <v>1</v>
      </c>
      <c r="Q23" s="120"/>
      <c r="R23" s="130">
        <v>0</v>
      </c>
      <c r="S23" s="130">
        <v>2</v>
      </c>
      <c r="T23" s="130">
        <f t="shared" si="12"/>
        <v>0</v>
      </c>
      <c r="U23" s="120"/>
      <c r="V23" s="130">
        <v>1</v>
      </c>
      <c r="W23" s="130">
        <v>4</v>
      </c>
      <c r="X23" s="130">
        <f t="shared" si="13"/>
        <v>0</v>
      </c>
      <c r="Y23" s="120"/>
      <c r="Z23" s="121">
        <f t="shared" si="0"/>
        <v>2</v>
      </c>
      <c r="AA23" s="116" t="str">
        <f t="shared" si="1"/>
        <v>Alemania</v>
      </c>
      <c r="AB23" s="116">
        <f t="shared" si="14"/>
        <v>0</v>
      </c>
      <c r="AC23" s="116" t="str">
        <f t="shared" si="2"/>
        <v>Francia</v>
      </c>
      <c r="AD23" s="116">
        <f t="shared" si="15"/>
        <v>3</v>
      </c>
      <c r="AE23" s="156" t="str">
        <f>Terceros!G24</f>
        <v/>
      </c>
      <c r="AF23" s="116">
        <f t="shared" si="16"/>
        <v>0</v>
      </c>
      <c r="AG23" s="148">
        <f t="shared" si="17"/>
        <v>5</v>
      </c>
      <c r="AJ23" s="132">
        <f t="shared" si="3"/>
        <v>3.484</v>
      </c>
      <c r="AK23" s="132">
        <f t="shared" si="4"/>
        <v>0.443</v>
      </c>
      <c r="AL23" s="132">
        <f t="shared" si="5"/>
        <v>7.5469999999999997</v>
      </c>
      <c r="AM23" s="132">
        <f t="shared" si="6"/>
        <v>7.5490000000000004</v>
      </c>
      <c r="AN23" s="113">
        <f t="shared" si="18"/>
        <v>3</v>
      </c>
      <c r="AO23" s="113">
        <f t="shared" si="18"/>
        <v>4</v>
      </c>
      <c r="AP23" s="113">
        <f t="shared" si="18"/>
        <v>2</v>
      </c>
      <c r="AQ23" s="113">
        <f t="shared" si="18"/>
        <v>1</v>
      </c>
      <c r="AR23" s="113">
        <f t="shared" si="19"/>
        <v>1</v>
      </c>
      <c r="AS23" s="113">
        <f t="shared" si="20"/>
        <v>1</v>
      </c>
    </row>
    <row r="24" spans="1:45">
      <c r="A24" s="129" t="str">
        <f>Participantes!B21</f>
        <v>Alfredo Quintero 2</v>
      </c>
      <c r="B24" s="150">
        <v>1</v>
      </c>
      <c r="C24" s="150">
        <v>0</v>
      </c>
      <c r="D24" s="150">
        <f t="shared" si="8"/>
        <v>1</v>
      </c>
      <c r="E24" s="120"/>
      <c r="F24" s="150">
        <v>3</v>
      </c>
      <c r="G24" s="150">
        <v>2</v>
      </c>
      <c r="H24" s="150">
        <f t="shared" si="9"/>
        <v>1</v>
      </c>
      <c r="I24" s="120"/>
      <c r="J24" s="150">
        <v>0</v>
      </c>
      <c r="K24" s="150">
        <v>2</v>
      </c>
      <c r="L24" s="150">
        <f t="shared" si="10"/>
        <v>0</v>
      </c>
      <c r="M24" s="120"/>
      <c r="N24" s="150">
        <v>2</v>
      </c>
      <c r="O24" s="150">
        <v>2</v>
      </c>
      <c r="P24" s="150">
        <f t="shared" si="11"/>
        <v>0</v>
      </c>
      <c r="Q24" s="120"/>
      <c r="R24" s="130">
        <v>1</v>
      </c>
      <c r="S24" s="130">
        <v>2</v>
      </c>
      <c r="T24" s="130">
        <f t="shared" si="12"/>
        <v>0</v>
      </c>
      <c r="U24" s="120"/>
      <c r="V24" s="130">
        <v>0</v>
      </c>
      <c r="W24" s="130">
        <v>2</v>
      </c>
      <c r="X24" s="130">
        <f t="shared" si="13"/>
        <v>0</v>
      </c>
      <c r="Y24" s="120"/>
      <c r="Z24" s="121">
        <f t="shared" si="0"/>
        <v>2</v>
      </c>
      <c r="AA24" s="116" t="str">
        <f t="shared" si="1"/>
        <v>Francia</v>
      </c>
      <c r="AB24" s="116">
        <f t="shared" si="14"/>
        <v>6</v>
      </c>
      <c r="AC24" s="116" t="str">
        <f t="shared" si="2"/>
        <v>Alemania</v>
      </c>
      <c r="AD24" s="116">
        <f t="shared" si="15"/>
        <v>0</v>
      </c>
      <c r="AE24" s="156" t="str">
        <f>Terceros!G25</f>
        <v>Portugal</v>
      </c>
      <c r="AF24" s="116">
        <f t="shared" si="16"/>
        <v>3</v>
      </c>
      <c r="AG24" s="148">
        <f t="shared" si="17"/>
        <v>11</v>
      </c>
      <c r="AJ24" s="132">
        <f t="shared" si="3"/>
        <v>4.5039999999999996</v>
      </c>
      <c r="AK24" s="132">
        <f t="shared" si="4"/>
        <v>0.45</v>
      </c>
      <c r="AL24" s="132">
        <f t="shared" si="5"/>
        <v>9.5469999999999988</v>
      </c>
      <c r="AM24" s="132">
        <f t="shared" si="6"/>
        <v>4.516</v>
      </c>
      <c r="AN24" s="113">
        <f t="shared" si="18"/>
        <v>3</v>
      </c>
      <c r="AO24" s="113">
        <f t="shared" si="18"/>
        <v>4</v>
      </c>
      <c r="AP24" s="113">
        <f t="shared" si="18"/>
        <v>1</v>
      </c>
      <c r="AQ24" s="113">
        <f t="shared" si="18"/>
        <v>2</v>
      </c>
      <c r="AR24" s="113">
        <f t="shared" si="19"/>
        <v>1</v>
      </c>
      <c r="AS24" s="113">
        <f t="shared" si="20"/>
        <v>1</v>
      </c>
    </row>
    <row r="25" spans="1:45">
      <c r="A25" s="129" t="str">
        <f>Participantes!B22</f>
        <v>Antonio Barahona</v>
      </c>
      <c r="B25" s="150">
        <v>2</v>
      </c>
      <c r="C25" s="150">
        <v>1</v>
      </c>
      <c r="D25" s="150">
        <f t="shared" si="8"/>
        <v>1</v>
      </c>
      <c r="E25" s="120"/>
      <c r="F25" s="150">
        <v>2</v>
      </c>
      <c r="G25" s="150">
        <v>2</v>
      </c>
      <c r="H25" s="150">
        <f t="shared" si="9"/>
        <v>0</v>
      </c>
      <c r="I25" s="120"/>
      <c r="J25" s="150">
        <v>0</v>
      </c>
      <c r="K25" s="150">
        <v>2</v>
      </c>
      <c r="L25" s="150">
        <f t="shared" si="10"/>
        <v>0</v>
      </c>
      <c r="M25" s="120"/>
      <c r="N25" s="150">
        <v>1</v>
      </c>
      <c r="O25" s="150">
        <v>0</v>
      </c>
      <c r="P25" s="150">
        <f t="shared" si="11"/>
        <v>1</v>
      </c>
      <c r="Q25" s="120"/>
      <c r="R25" s="130">
        <v>1</v>
      </c>
      <c r="S25" s="130">
        <v>0</v>
      </c>
      <c r="T25" s="130">
        <f t="shared" si="12"/>
        <v>0</v>
      </c>
      <c r="U25" s="120"/>
      <c r="V25" s="130">
        <v>1</v>
      </c>
      <c r="W25" s="130">
        <v>3</v>
      </c>
      <c r="X25" s="130">
        <f t="shared" si="13"/>
        <v>0</v>
      </c>
      <c r="Y25" s="120"/>
      <c r="Z25" s="121">
        <f t="shared" si="0"/>
        <v>2</v>
      </c>
      <c r="AA25" s="116" t="str">
        <f t="shared" si="1"/>
        <v>Alemania</v>
      </c>
      <c r="AB25" s="116">
        <f t="shared" si="14"/>
        <v>0</v>
      </c>
      <c r="AC25" s="116" t="str">
        <f t="shared" si="2"/>
        <v>Portugal</v>
      </c>
      <c r="AD25" s="116">
        <f t="shared" si="15"/>
        <v>6</v>
      </c>
      <c r="AE25" s="156" t="str">
        <f>Terceros!G26</f>
        <v>Francia</v>
      </c>
      <c r="AF25" s="116">
        <f t="shared" si="16"/>
        <v>3</v>
      </c>
      <c r="AG25" s="148">
        <f t="shared" si="17"/>
        <v>11</v>
      </c>
      <c r="AJ25" s="132">
        <f t="shared" si="3"/>
        <v>6.5129999999999999</v>
      </c>
      <c r="AK25" s="132">
        <f t="shared" si="4"/>
        <v>0.45200000000000001</v>
      </c>
      <c r="AL25" s="132">
        <f t="shared" si="5"/>
        <v>4.5139999999999993</v>
      </c>
      <c r="AM25" s="132">
        <f t="shared" si="6"/>
        <v>7.5360000000000005</v>
      </c>
      <c r="AN25" s="113">
        <f t="shared" si="18"/>
        <v>2</v>
      </c>
      <c r="AO25" s="113">
        <f t="shared" si="18"/>
        <v>4</v>
      </c>
      <c r="AP25" s="113">
        <f t="shared" si="18"/>
        <v>3</v>
      </c>
      <c r="AQ25" s="113">
        <f t="shared" si="18"/>
        <v>1</v>
      </c>
      <c r="AR25" s="113">
        <f t="shared" si="19"/>
        <v>1</v>
      </c>
      <c r="AS25" s="113">
        <f t="shared" si="20"/>
        <v>1</v>
      </c>
    </row>
    <row r="26" spans="1:45">
      <c r="A26" s="129" t="str">
        <f>Participantes!B23</f>
        <v>Jose Caballero 1</v>
      </c>
      <c r="B26" s="150">
        <v>3</v>
      </c>
      <c r="C26" s="150">
        <v>1</v>
      </c>
      <c r="D26" s="150">
        <f t="shared" si="8"/>
        <v>1</v>
      </c>
      <c r="E26" s="120"/>
      <c r="F26" s="150">
        <v>2</v>
      </c>
      <c r="G26" s="150">
        <v>2</v>
      </c>
      <c r="H26" s="150">
        <f t="shared" si="9"/>
        <v>0</v>
      </c>
      <c r="I26" s="120"/>
      <c r="J26" s="150">
        <v>0</v>
      </c>
      <c r="K26" s="150">
        <v>3</v>
      </c>
      <c r="L26" s="150">
        <f t="shared" si="10"/>
        <v>0</v>
      </c>
      <c r="M26" s="120"/>
      <c r="N26" s="150">
        <v>2</v>
      </c>
      <c r="O26" s="150">
        <v>2</v>
      </c>
      <c r="P26" s="150">
        <f t="shared" si="11"/>
        <v>0</v>
      </c>
      <c r="Q26" s="120"/>
      <c r="R26" s="130">
        <v>2</v>
      </c>
      <c r="S26" s="130">
        <v>3</v>
      </c>
      <c r="T26" s="130">
        <f t="shared" si="12"/>
        <v>0</v>
      </c>
      <c r="U26" s="120"/>
      <c r="V26" s="130">
        <v>1</v>
      </c>
      <c r="W26" s="130">
        <v>4</v>
      </c>
      <c r="X26" s="130">
        <f t="shared" si="13"/>
        <v>0</v>
      </c>
      <c r="Y26" s="120"/>
      <c r="Z26" s="121">
        <f t="shared" si="0"/>
        <v>1</v>
      </c>
      <c r="AA26" s="116" t="str">
        <f t="shared" si="1"/>
        <v>Francia</v>
      </c>
      <c r="AB26" s="116">
        <f t="shared" si="14"/>
        <v>6</v>
      </c>
      <c r="AC26" s="116" t="str">
        <f t="shared" si="2"/>
        <v>Alemania</v>
      </c>
      <c r="AD26" s="116">
        <f t="shared" si="15"/>
        <v>0</v>
      </c>
      <c r="AE26" s="156" t="str">
        <f>Terceros!G27</f>
        <v>Portugal</v>
      </c>
      <c r="AF26" s="116">
        <f t="shared" si="16"/>
        <v>3</v>
      </c>
      <c r="AG26" s="148">
        <f t="shared" si="17"/>
        <v>10</v>
      </c>
      <c r="AJ26" s="132">
        <f t="shared" si="3"/>
        <v>4.5169999999999995</v>
      </c>
      <c r="AK26" s="132">
        <f t="shared" si="4"/>
        <v>0.42199999999999999</v>
      </c>
      <c r="AL26" s="132">
        <f t="shared" si="5"/>
        <v>7.548</v>
      </c>
      <c r="AM26" s="132">
        <f t="shared" si="6"/>
        <v>5.5380000000000003</v>
      </c>
      <c r="AN26" s="113">
        <f t="shared" si="18"/>
        <v>3</v>
      </c>
      <c r="AO26" s="113">
        <f t="shared" si="18"/>
        <v>4</v>
      </c>
      <c r="AP26" s="113">
        <f t="shared" si="18"/>
        <v>1</v>
      </c>
      <c r="AQ26" s="113">
        <f t="shared" si="18"/>
        <v>2</v>
      </c>
      <c r="AR26" s="113">
        <f t="shared" si="19"/>
        <v>1</v>
      </c>
      <c r="AS26" s="113">
        <f t="shared" si="20"/>
        <v>1</v>
      </c>
    </row>
    <row r="27" spans="1:45">
      <c r="A27" s="129" t="str">
        <f>Participantes!B24</f>
        <v>Jose Caballero 2(Betito)</v>
      </c>
      <c r="B27" s="150">
        <v>2</v>
      </c>
      <c r="C27" s="150">
        <v>0</v>
      </c>
      <c r="D27" s="150">
        <f t="shared" si="8"/>
        <v>1</v>
      </c>
      <c r="E27" s="120"/>
      <c r="F27" s="150">
        <v>3</v>
      </c>
      <c r="G27" s="150">
        <v>3</v>
      </c>
      <c r="H27" s="150">
        <f t="shared" si="9"/>
        <v>0</v>
      </c>
      <c r="I27" s="120"/>
      <c r="J27" s="150">
        <v>0</v>
      </c>
      <c r="K27" s="150">
        <v>4</v>
      </c>
      <c r="L27" s="150">
        <f t="shared" si="10"/>
        <v>0</v>
      </c>
      <c r="M27" s="120"/>
      <c r="N27" s="150">
        <v>4</v>
      </c>
      <c r="O27" s="150">
        <v>1</v>
      </c>
      <c r="P27" s="150">
        <f t="shared" si="11"/>
        <v>1</v>
      </c>
      <c r="Q27" s="120"/>
      <c r="R27" s="130">
        <v>2</v>
      </c>
      <c r="S27" s="130">
        <v>4</v>
      </c>
      <c r="T27" s="130">
        <f t="shared" si="12"/>
        <v>0</v>
      </c>
      <c r="U27" s="120"/>
      <c r="V27" s="130">
        <v>0</v>
      </c>
      <c r="W27" s="130">
        <v>3</v>
      </c>
      <c r="X27" s="130">
        <f t="shared" si="13"/>
        <v>0</v>
      </c>
      <c r="Y27" s="120"/>
      <c r="Z27" s="121">
        <f t="shared" si="0"/>
        <v>2</v>
      </c>
      <c r="AA27" s="116" t="str">
        <f t="shared" si="1"/>
        <v>Francia</v>
      </c>
      <c r="AB27" s="116">
        <f t="shared" si="14"/>
        <v>6</v>
      </c>
      <c r="AC27" s="116" t="str">
        <f t="shared" si="2"/>
        <v>Alemania</v>
      </c>
      <c r="AD27" s="116">
        <f t="shared" si="15"/>
        <v>0</v>
      </c>
      <c r="AE27" s="156" t="str">
        <f>Terceros!G28</f>
        <v/>
      </c>
      <c r="AF27" s="116">
        <f t="shared" si="16"/>
        <v>0</v>
      </c>
      <c r="AG27" s="148">
        <f t="shared" si="17"/>
        <v>8</v>
      </c>
      <c r="AJ27" s="132">
        <f t="shared" si="3"/>
        <v>3.4750000000000001</v>
      </c>
      <c r="AK27" s="132">
        <f t="shared" si="4"/>
        <v>0.41000000000000003</v>
      </c>
      <c r="AL27" s="132">
        <f t="shared" si="5"/>
        <v>7.5709999999999997</v>
      </c>
      <c r="AM27" s="132">
        <f t="shared" si="6"/>
        <v>7.5699999999999994</v>
      </c>
      <c r="AN27" s="113">
        <f t="shared" si="18"/>
        <v>3</v>
      </c>
      <c r="AO27" s="113">
        <f t="shared" si="18"/>
        <v>4</v>
      </c>
      <c r="AP27" s="113">
        <f t="shared" si="18"/>
        <v>1</v>
      </c>
      <c r="AQ27" s="113">
        <f t="shared" si="18"/>
        <v>2</v>
      </c>
      <c r="AR27" s="113">
        <f t="shared" si="19"/>
        <v>1</v>
      </c>
      <c r="AS27" s="113">
        <f t="shared" si="20"/>
        <v>1</v>
      </c>
    </row>
  </sheetData>
  <mergeCells count="14">
    <mergeCell ref="AG2:AG3"/>
    <mergeCell ref="V1:X1"/>
    <mergeCell ref="B1:D1"/>
    <mergeCell ref="F1:H1"/>
    <mergeCell ref="J1:L1"/>
    <mergeCell ref="N1:P1"/>
    <mergeCell ref="R1:T1"/>
    <mergeCell ref="Z2:Z3"/>
    <mergeCell ref="D2:D3"/>
    <mergeCell ref="H2:H3"/>
    <mergeCell ref="L2:L3"/>
    <mergeCell ref="P2:P3"/>
    <mergeCell ref="T2:T3"/>
    <mergeCell ref="X2:X3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9BA25985-AA45-458F-9163-B3B260C6E0EB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2" id="{9CDD6976-3F70-44C2-B5DA-5B1DF776CCCA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3" id="{D6E0E460-C9C2-4D01-A1DB-26176ABC41F3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V3:W3</xm:sqref>
        </x14:conditionalFormatting>
        <x14:conditionalFormatting xmlns:xm="http://schemas.microsoft.com/office/excel/2006/main">
          <x14:cfRule type="expression" priority="16" id="{131B5D40-E6E9-4BCB-927D-B9A45B51685E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7" id="{61C90C35-E944-4411-86F6-37E1D1A43F70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8" id="{018C0FE6-AF0E-4E05-90C4-6F5FC14E27EB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B3:C3</xm:sqref>
        </x14:conditionalFormatting>
        <x14:conditionalFormatting xmlns:xm="http://schemas.microsoft.com/office/excel/2006/main">
          <x14:cfRule type="expression" priority="13" id="{2CF5DA44-AE7D-4A70-99BA-01653E515FC8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4" id="{C2DCA8A6-885C-4891-ADCA-FFCA2CBE82B2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5" id="{97E2F2BA-7B1C-4B28-8762-08C578CBC45F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F3:G3</xm:sqref>
        </x14:conditionalFormatting>
        <x14:conditionalFormatting xmlns:xm="http://schemas.microsoft.com/office/excel/2006/main">
          <x14:cfRule type="expression" priority="10" id="{4BDA5C7C-4CB9-44E7-8F66-47098501ECCA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1" id="{AEE5A4C6-0A54-40B0-97BC-72B58E288172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12" id="{4D9F89B4-3AB9-4C59-AF11-5CE433B60517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J3:K3</xm:sqref>
        </x14:conditionalFormatting>
        <x14:conditionalFormatting xmlns:xm="http://schemas.microsoft.com/office/excel/2006/main">
          <x14:cfRule type="expression" priority="7" id="{661C0668-527C-45E4-B5F8-113ABBF5AF3C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8" id="{99858F1E-3177-45D4-85D6-A2F64C9B5E8A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9" id="{B283218F-45E1-4CAD-A55D-EFE5270AD06B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N3:O3</xm:sqref>
        </x14:conditionalFormatting>
        <x14:conditionalFormatting xmlns:xm="http://schemas.microsoft.com/office/excel/2006/main">
          <x14:cfRule type="expression" priority="4" id="{9542828A-AD29-4349-A2A6-777376CD0490}">
            <xm:f>'E:\Users\jecaballero\Desktop\Carpetas\tododesktop\bajado\soft\polla\[posicionesdf.xlsx]A'!#REF!="P"</xm:f>
            <x14:dxf>
              <font>
                <color rgb="FFFF0000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5" id="{6DD6E192-5ADD-4CDD-AFC7-4C2614182D87}">
            <xm:f>'E:\Users\jecaballero\Desktop\Carpetas\tododesktop\bajado\soft\polla\[posicionesdf.xlsx]A'!#REF!="E"</xm:f>
            <x14:dxf>
              <font>
                <color auto="1"/>
              </font>
              <fill>
                <patternFill patternType="solid">
                  <bgColor rgb="FFFFFFCC"/>
                </patternFill>
              </fill>
            </x14:dxf>
          </x14:cfRule>
          <x14:cfRule type="expression" priority="6" id="{48C7886A-B29B-4515-BFB1-88AD34C8A1D9}">
            <xm:f>'E:\Users\jecaballero\Desktop\Carpetas\tododesktop\bajado\soft\polla\[posicionesdf.xlsx]A'!#REF!="G"</xm:f>
            <x14:dxf>
              <font>
                <color rgb="FF00B741"/>
              </font>
              <fill>
                <patternFill patternType="solid">
                  <bgColor rgb="FFFFFFCC"/>
                </patternFill>
              </fill>
            </x14:dxf>
          </x14:cfRule>
          <xm:sqref>R3:S3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showGridLines="0" workbookViewId="0">
      <pane ySplit="3" topLeftCell="A16" activePane="bottomLeft" state="frozen"/>
      <selection pane="bottomLeft" activeCell="G31" sqref="G31"/>
    </sheetView>
  </sheetViews>
  <sheetFormatPr baseColWidth="10" defaultColWidth="14.42578125" defaultRowHeight="15" customHeight="1"/>
  <cols>
    <col min="1" max="1" width="6" customWidth="1"/>
    <col min="2" max="2" width="4.7109375" customWidth="1"/>
    <col min="3" max="3" width="9.7109375" hidden="1" customWidth="1"/>
    <col min="4" max="4" width="13" customWidth="1"/>
    <col min="5" max="5" width="2.42578125" customWidth="1"/>
    <col min="6" max="6" width="12.42578125" customWidth="1"/>
    <col min="7" max="7" width="2.7109375" customWidth="1"/>
    <col min="8" max="8" width="1.7109375" customWidth="1"/>
    <col min="9" max="9" width="9.7109375" customWidth="1"/>
    <col min="10" max="17" width="3.28515625" customWidth="1"/>
    <col min="18" max="18" width="4.140625" customWidth="1"/>
    <col min="19" max="19" width="17.7109375" customWidth="1"/>
    <col min="20" max="20" width="2.7109375" customWidth="1"/>
    <col min="21" max="21" width="2.140625" customWidth="1"/>
    <col min="22" max="22" width="6" customWidth="1"/>
    <col min="23" max="24" width="11.42578125" customWidth="1"/>
    <col min="25" max="26" width="10" customWidth="1"/>
  </cols>
  <sheetData>
    <row r="1" spans="1:27" ht="13.5" customHeight="1" thickBot="1">
      <c r="A1" s="15" t="str">
        <f>'H2'!K2</f>
        <v>Diferencia  ± GMT</v>
      </c>
      <c r="B1" s="16"/>
      <c r="C1" s="16"/>
      <c r="D1" s="16"/>
      <c r="E1" s="16"/>
      <c r="F1" s="16"/>
      <c r="G1" s="16"/>
      <c r="H1" s="16"/>
      <c r="I1" s="17" t="str">
        <f>IF(N58="","",IF(N58='H2'!K53,S58,S59)&amp;'H2'!K3)</f>
        <v/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8"/>
      <c r="U1" s="18"/>
      <c r="V1" s="19"/>
      <c r="W1" s="1"/>
      <c r="X1" s="1"/>
      <c r="Y1" s="1"/>
      <c r="Z1" s="1"/>
    </row>
    <row r="2" spans="1:27" ht="13.5" customHeight="1" thickTop="1">
      <c r="A2" s="20"/>
      <c r="B2" s="21">
        <v>-5</v>
      </c>
      <c r="C2" s="22"/>
      <c r="D2" s="22"/>
      <c r="E2" s="22"/>
      <c r="F2" s="22"/>
      <c r="G2" s="22"/>
      <c r="H2" s="22"/>
      <c r="I2" s="23" t="str">
        <f>'H2'!K4&amp;YEAR(A5)&amp;" - "&amp;'H2'!K55</f>
        <v>programa de la copa EURO 2021 - Europa</v>
      </c>
      <c r="J2" s="22"/>
      <c r="K2" s="22"/>
      <c r="L2" s="22"/>
      <c r="M2" s="22"/>
      <c r="N2" s="22"/>
      <c r="O2" s="22"/>
      <c r="P2" s="22"/>
      <c r="Q2" s="22"/>
      <c r="R2" s="22"/>
      <c r="S2" s="24" t="str">
        <f>'H2'!K25</f>
        <v>Idioma</v>
      </c>
      <c r="T2" s="234" t="s">
        <v>0</v>
      </c>
      <c r="U2" s="235"/>
      <c r="V2" s="236"/>
      <c r="W2" s="2"/>
      <c r="X2" s="2"/>
      <c r="Y2" s="2"/>
      <c r="Z2" s="2"/>
    </row>
    <row r="3" spans="1:27" ht="13.5" customHeight="1" thickBot="1">
      <c r="A3" s="237">
        <f>DATE(YEAR(A5),MONTH(A5),DAY(A5))</f>
        <v>44358</v>
      </c>
      <c r="B3" s="238"/>
      <c r="C3" s="25" t="str">
        <f>'H2'!K6</f>
        <v>ciudad</v>
      </c>
      <c r="D3" s="26"/>
      <c r="E3" s="25" t="str">
        <f>'H2'!K7</f>
        <v>equipos y goles</v>
      </c>
      <c r="F3" s="27"/>
      <c r="G3" s="28"/>
      <c r="H3" s="29"/>
      <c r="I3" s="27"/>
      <c r="J3" s="29"/>
      <c r="K3" s="28"/>
      <c r="L3" s="25" t="str">
        <f>'H2'!K8</f>
        <v>tablas de clasificación</v>
      </c>
      <c r="M3" s="28"/>
      <c r="N3" s="28"/>
      <c r="O3" s="28"/>
      <c r="P3" s="28"/>
      <c r="Q3" s="28"/>
      <c r="R3" s="28"/>
      <c r="S3" s="25" t="str">
        <f>C3</f>
        <v>ciudad</v>
      </c>
      <c r="T3" s="239">
        <f>A3</f>
        <v>44358</v>
      </c>
      <c r="U3" s="238"/>
      <c r="V3" s="238"/>
      <c r="W3" s="1"/>
      <c r="X3" s="1"/>
      <c r="Y3" s="1"/>
      <c r="Z3" s="1"/>
    </row>
    <row r="4" spans="1:27" ht="12" customHeight="1" thickBot="1">
      <c r="A4" s="30" t="str">
        <f>'H2'!K9</f>
        <v>Día</v>
      </c>
      <c r="B4" s="31" t="str">
        <f>'H2'!K10</f>
        <v>Hora</v>
      </c>
      <c r="C4" s="32">
        <v>1.0000000000000001E-5</v>
      </c>
      <c r="D4" s="33"/>
      <c r="E4" s="33"/>
      <c r="F4" s="33"/>
      <c r="G4" s="33"/>
      <c r="H4" s="34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4"/>
      <c r="U4" s="34"/>
      <c r="V4" s="35" t="str">
        <f>A4</f>
        <v>Día</v>
      </c>
      <c r="W4" s="1"/>
      <c r="X4" s="1"/>
      <c r="Y4" s="1"/>
      <c r="Z4" s="1"/>
    </row>
    <row r="5" spans="1:27" ht="13.5" customHeight="1" thickBot="1">
      <c r="A5" s="36">
        <f>DATE(2021,6,11)+(19+B$2)/24</f>
        <v>44358.583333333336</v>
      </c>
      <c r="B5" s="37">
        <f t="shared" ref="B5:B10" si="0">A5</f>
        <v>44358.583333333336</v>
      </c>
      <c r="C5" s="38" t="str">
        <f>'H2'!K59</f>
        <v>Roma</v>
      </c>
      <c r="D5" s="64" t="str">
        <f>'H2'!K27</f>
        <v>Italia</v>
      </c>
      <c r="E5" s="147">
        <v>3</v>
      </c>
      <c r="F5" s="64" t="str">
        <f t="shared" ref="F5:F6" si="1">D7</f>
        <v>Turquía</v>
      </c>
      <c r="G5" s="147">
        <v>0</v>
      </c>
      <c r="H5" s="212" t="str">
        <f>'H2'!K11&amp;" A"</f>
        <v>Grupo: A</v>
      </c>
      <c r="I5" s="213"/>
      <c r="J5" s="214" t="str">
        <f>'H2'!K13</f>
        <v>cotejo</v>
      </c>
      <c r="K5" s="215"/>
      <c r="L5" s="215"/>
      <c r="M5" s="216"/>
      <c r="N5" s="217" t="str">
        <f>'H2'!K14</f>
        <v>goles</v>
      </c>
      <c r="O5" s="215"/>
      <c r="P5" s="218"/>
      <c r="Q5" s="69"/>
      <c r="R5" s="39"/>
      <c r="S5" s="40" t="str">
        <f>'H2'!K64</f>
        <v>Ámsterdam</v>
      </c>
      <c r="T5" s="41">
        <v>1</v>
      </c>
      <c r="U5" s="42" t="s">
        <v>1</v>
      </c>
      <c r="V5" s="31" t="str">
        <f>B4</f>
        <v>Hora</v>
      </c>
      <c r="W5" s="1"/>
      <c r="X5" s="1"/>
      <c r="Y5" s="1"/>
      <c r="Z5" s="1"/>
    </row>
    <row r="6" spans="1:27" ht="13.5" customHeight="1" thickBot="1">
      <c r="A6" s="36">
        <f>DATE(2021,6,12)+(13+B$2)/24</f>
        <v>44359.333333333336</v>
      </c>
      <c r="B6" s="37">
        <f t="shared" si="0"/>
        <v>44359.333333333336</v>
      </c>
      <c r="C6" s="38" t="str">
        <f>'H2'!K60</f>
        <v>Bakú</v>
      </c>
      <c r="D6" s="65" t="str">
        <f>'H2'!K28</f>
        <v>Gales</v>
      </c>
      <c r="E6" s="147">
        <v>1</v>
      </c>
      <c r="F6" s="65" t="str">
        <f t="shared" si="1"/>
        <v>Suiza</v>
      </c>
      <c r="G6" s="147">
        <v>1</v>
      </c>
      <c r="H6" s="71"/>
      <c r="I6" s="72" t="str">
        <f>'H2'!K12</f>
        <v>equipos</v>
      </c>
      <c r="J6" s="73" t="str">
        <f>'H2'!K18</f>
        <v>J</v>
      </c>
      <c r="K6" s="74" t="str">
        <f>'H2'!K19</f>
        <v>G</v>
      </c>
      <c r="L6" s="74" t="str">
        <f>'H2'!K20</f>
        <v>E</v>
      </c>
      <c r="M6" s="75" t="str">
        <f>'H2'!K21</f>
        <v>P</v>
      </c>
      <c r="N6" s="76" t="str">
        <f>'H2'!K22</f>
        <v>F</v>
      </c>
      <c r="O6" s="77" t="str">
        <f>'H2'!K23</f>
        <v>C</v>
      </c>
      <c r="P6" s="78" t="str">
        <f>'H2'!K24</f>
        <v>D</v>
      </c>
      <c r="Q6" s="79" t="str">
        <f>IF('H2'!C1=7,"О","Pts")</f>
        <v>Pts</v>
      </c>
      <c r="R6" s="223" t="str">
        <f>'H2'!K15</f>
        <v>OCTAVOS ·· DE ·· F I NAL</v>
      </c>
      <c r="S6" s="109" t="str">
        <f>IF(J8,I8,"2A")</f>
        <v>Gales</v>
      </c>
      <c r="T6" s="44"/>
      <c r="U6" s="45"/>
      <c r="V6" s="36">
        <f>DATE(2021,6,26)+(16+B$2)/24</f>
        <v>44373.458333333336</v>
      </c>
      <c r="W6" s="1"/>
      <c r="X6" s="1"/>
      <c r="Y6" s="1"/>
      <c r="Z6" s="1"/>
    </row>
    <row r="7" spans="1:27" ht="13.5" customHeight="1" thickBot="1">
      <c r="A7" s="36">
        <f>DATE(2021,6,16)+(16+B$2)/24</f>
        <v>44363.458333333336</v>
      </c>
      <c r="B7" s="37">
        <f t="shared" si="0"/>
        <v>44363.458333333336</v>
      </c>
      <c r="C7" s="38" t="str">
        <f>'H2'!K60</f>
        <v>Bakú</v>
      </c>
      <c r="D7" s="65" t="str">
        <f>'H2'!K29</f>
        <v>Turquía</v>
      </c>
      <c r="E7" s="147">
        <v>0</v>
      </c>
      <c r="F7" s="65" t="str">
        <f>D6</f>
        <v>Gales</v>
      </c>
      <c r="G7" s="147">
        <v>2</v>
      </c>
      <c r="H7" s="71" t="str">
        <f>IF(AND(J7=3,MIN(ABS(Q5-Q7),ABS(Q7-Q8))&lt;C$4),"‼","")</f>
        <v/>
      </c>
      <c r="I7" s="80" t="str">
        <f t="array" ref="I7">INDEX(D5:D8,MATCH(Q7,'H2'!C3:C6,0))</f>
        <v>Italia</v>
      </c>
      <c r="J7" s="81">
        <f>SUMPRODUCT((D5:F10=I7)*ISNUMBER(E5:E10))</f>
        <v>3</v>
      </c>
      <c r="K7" s="82">
        <f t="shared" ref="K7:K10" si="2">(INT(Q7)-L7)/3</f>
        <v>3</v>
      </c>
      <c r="L7" s="82">
        <f>SUMPRODUCT((D5:F10=I7)*(E5:E10=G5:G10)*(E5:E10&lt;&gt;""))</f>
        <v>0</v>
      </c>
      <c r="M7" s="83">
        <f t="shared" ref="M7:M10" si="3">J7-K7-L7</f>
        <v>0</v>
      </c>
      <c r="N7" s="84">
        <f t="shared" ref="N7:N10" si="4">P7+O7</f>
        <v>7</v>
      </c>
      <c r="O7" s="82">
        <f t="array" ref="O7">INDEX('H2'!A3:A6,MATCH(Q7,'H2'!C3:C6,0))</f>
        <v>0</v>
      </c>
      <c r="P7" s="85">
        <f t="array" ref="P7">INDEX('H2'!B3:B6,MATCH(Q7,'H2'!C3:C6,0))</f>
        <v>7</v>
      </c>
      <c r="Q7" s="86">
        <f>LARGE('H2'!C3:C6,1)</f>
        <v>9.056999900000001</v>
      </c>
      <c r="R7" s="222"/>
      <c r="S7" s="110" t="str">
        <f>IF(J15,I15,"2B")</f>
        <v>Dinamarca</v>
      </c>
      <c r="T7" s="46"/>
      <c r="U7" s="45"/>
      <c r="V7" s="37">
        <f>V6</f>
        <v>44373.458333333336</v>
      </c>
      <c r="W7" s="1"/>
      <c r="X7" s="1"/>
      <c r="Y7" s="1"/>
      <c r="Z7" s="1"/>
    </row>
    <row r="8" spans="1:27" ht="13.5" customHeight="1" thickBot="1">
      <c r="A8" s="36">
        <f>DATE(2021,6,16)+(19+B$2)/24</f>
        <v>44363.583333333336</v>
      </c>
      <c r="B8" s="37">
        <f t="shared" si="0"/>
        <v>44363.583333333336</v>
      </c>
      <c r="C8" s="38" t="str">
        <f>'H2'!K59</f>
        <v>Roma</v>
      </c>
      <c r="D8" s="65" t="str">
        <f>'H2'!K30</f>
        <v>Suiza</v>
      </c>
      <c r="E8" s="147">
        <v>0</v>
      </c>
      <c r="F8" s="65" t="str">
        <f>D5</f>
        <v>Italia</v>
      </c>
      <c r="G8" s="147">
        <v>3</v>
      </c>
      <c r="H8" s="71" t="str">
        <f>IF(AND(J8=3,MIN(ABS(Q7-Q8),ABS(Q8-Q9))&lt;C$4),"‼","")</f>
        <v/>
      </c>
      <c r="I8" s="65" t="str">
        <f t="array" ref="I8">INDEX(D5:D8,MATCH(Q8,'H2'!C3:C6,0))</f>
        <v>Gales</v>
      </c>
      <c r="J8" s="87">
        <f>SUMPRODUCT((D5:F10=I8)*ISNUMBER(E5:E10))</f>
        <v>3</v>
      </c>
      <c r="K8" s="88">
        <f t="shared" si="2"/>
        <v>1</v>
      </c>
      <c r="L8" s="88">
        <f>SUMPRODUCT((D5:F10=I8)*(E5:E10=G5:G10)*(E5:E10&lt;&gt;""))</f>
        <v>1</v>
      </c>
      <c r="M8" s="89">
        <f t="shared" si="3"/>
        <v>1</v>
      </c>
      <c r="N8" s="90">
        <f t="shared" si="4"/>
        <v>3</v>
      </c>
      <c r="O8" s="88">
        <f t="array" ref="O8">INDEX('H2'!A3:A6,MATCH(Q8,'H2'!C3:C6,0))</f>
        <v>2</v>
      </c>
      <c r="P8" s="91">
        <f t="array" ref="P8">INDEX('H2'!B3:B6,MATCH(Q8,'H2'!C3:C6,0))</f>
        <v>1</v>
      </c>
      <c r="Q8" s="92">
        <f>LARGE('H2'!C3:C6,2)</f>
        <v>4.0510198000000006</v>
      </c>
      <c r="R8" s="222"/>
      <c r="S8" s="40" t="str">
        <f>'H2'!K65</f>
        <v>Londres</v>
      </c>
      <c r="T8" s="41">
        <v>2</v>
      </c>
      <c r="U8" s="42"/>
      <c r="V8" s="33"/>
      <c r="W8" s="4"/>
      <c r="X8" s="1"/>
      <c r="Y8" s="1"/>
      <c r="Z8" s="1"/>
    </row>
    <row r="9" spans="1:27" ht="13.5" customHeight="1" thickBot="1">
      <c r="A9" s="36">
        <f t="shared" ref="A9:A10" si="5">DATE(2021,6,20)+(16+B$2)/24</f>
        <v>44367.458333333336</v>
      </c>
      <c r="B9" s="37">
        <f t="shared" si="0"/>
        <v>44367.458333333336</v>
      </c>
      <c r="C9" s="38" t="str">
        <f>'H2'!K60</f>
        <v>Bakú</v>
      </c>
      <c r="D9" s="65" t="str">
        <f>D7</f>
        <v>Turquía</v>
      </c>
      <c r="E9" s="147">
        <v>1</v>
      </c>
      <c r="F9" s="65" t="str">
        <f>D8</f>
        <v>Suiza</v>
      </c>
      <c r="G9" s="147">
        <v>3</v>
      </c>
      <c r="H9" s="71" t="str">
        <f>IF(AND(J9=3,MIN(ABS(Q8-Q9),ABS(Q9-Q10))&lt;C$4),"‼","")</f>
        <v/>
      </c>
      <c r="I9" s="65" t="str">
        <f t="array" ref="I9">INDEX(D5:D8,MATCH(Q9,'H2'!C3:C6,0))</f>
        <v>Suiza</v>
      </c>
      <c r="J9" s="93">
        <f>SUMPRODUCT((D5:F10=I9)*ISNUMBER(E5:E10))</f>
        <v>3</v>
      </c>
      <c r="K9" s="88">
        <f t="shared" si="2"/>
        <v>1</v>
      </c>
      <c r="L9" s="88">
        <f>SUMPRODUCT((D5:F10=I9)*(E5:E10=G5:G10)*(E5:E10&lt;&gt;""))</f>
        <v>1</v>
      </c>
      <c r="M9" s="94">
        <f t="shared" si="3"/>
        <v>1</v>
      </c>
      <c r="N9" s="90">
        <f t="shared" si="4"/>
        <v>4</v>
      </c>
      <c r="O9" s="88">
        <f t="array" ref="O9">INDEX('H2'!A3:A6,MATCH(Q9,'H2'!C3:C6,0))</f>
        <v>5</v>
      </c>
      <c r="P9" s="91">
        <f t="array" ref="P9">INDEX('H2'!B3:B6,MATCH(Q9,'H2'!C3:C6,0))</f>
        <v>-1</v>
      </c>
      <c r="Q9" s="95">
        <f>LARGE('H2'!C3:C6,3)</f>
        <v>4.0490496</v>
      </c>
      <c r="R9" s="222"/>
      <c r="S9" s="109" t="str">
        <f>IF(J7,I7,"1A")</f>
        <v>Italia</v>
      </c>
      <c r="T9" s="44"/>
      <c r="U9" s="45"/>
      <c r="V9" s="36">
        <f>DATE(2021,6,26)+(19+B$2)/24</f>
        <v>44373.583333333336</v>
      </c>
      <c r="W9" s="1"/>
      <c r="X9" s="1"/>
      <c r="Y9" s="1"/>
      <c r="Z9" s="1"/>
    </row>
    <row r="10" spans="1:27" ht="13.5" customHeight="1" thickBot="1">
      <c r="A10" s="36">
        <f t="shared" si="5"/>
        <v>44367.458333333336</v>
      </c>
      <c r="B10" s="37">
        <f t="shared" si="0"/>
        <v>44367.458333333336</v>
      </c>
      <c r="C10" s="38" t="str">
        <f>'H2'!K59</f>
        <v>Roma</v>
      </c>
      <c r="D10" s="66" t="str">
        <f>D6</f>
        <v>Gales</v>
      </c>
      <c r="E10" s="147">
        <v>0</v>
      </c>
      <c r="F10" s="66" t="str">
        <f>D5</f>
        <v>Italia</v>
      </c>
      <c r="G10" s="147">
        <v>1</v>
      </c>
      <c r="H10" s="71" t="str">
        <f>IF(AND(J10=3,MIN(ABS(Q9-Q10),ABS(Q10-Q11))&lt;C$4),"‼","")</f>
        <v/>
      </c>
      <c r="I10" s="66" t="str">
        <f t="array" ref="I10">INDEX(D5:D8,MATCH(Q10,'H2'!C3:C6,0))</f>
        <v>Turquía</v>
      </c>
      <c r="J10" s="96">
        <f>SUMPRODUCT((D5:F10=I10)*ISNUMBER(E5:E10))</f>
        <v>3</v>
      </c>
      <c r="K10" s="97">
        <f t="shared" si="2"/>
        <v>0</v>
      </c>
      <c r="L10" s="97">
        <f>SUMPRODUCT((D5:F10=I10)*(E5:E10=G5:G10)*(E5:E10&lt;&gt;""))</f>
        <v>0</v>
      </c>
      <c r="M10" s="98">
        <f t="shared" si="3"/>
        <v>3</v>
      </c>
      <c r="N10" s="99">
        <f t="shared" si="4"/>
        <v>1</v>
      </c>
      <c r="O10" s="97">
        <f t="array" ref="O10">INDEX('H2'!A3:A6,MATCH(Q10,'H2'!C3:C6,0))</f>
        <v>8</v>
      </c>
      <c r="P10" s="100">
        <f t="array" ref="P10">INDEX('H2'!B3:B6,MATCH(Q10,'H2'!C3:C6,0))</f>
        <v>-7</v>
      </c>
      <c r="Q10" s="101">
        <f>LARGE('H2'!C3:C6,4)</f>
        <v>4.3079699999999999E-2</v>
      </c>
      <c r="R10" s="222"/>
      <c r="S10" s="110" t="str">
        <f>IF(J22,I22,"2C")</f>
        <v>Austria</v>
      </c>
      <c r="T10" s="46"/>
      <c r="U10" s="45"/>
      <c r="V10" s="37">
        <f>V9</f>
        <v>44373.583333333336</v>
      </c>
      <c r="W10" s="1"/>
      <c r="X10" s="1"/>
      <c r="Y10" s="1"/>
      <c r="Z10" s="1"/>
      <c r="AA10">
        <f>E5</f>
        <v>3</v>
      </c>
    </row>
    <row r="11" spans="1:27" ht="12" customHeight="1" thickBot="1">
      <c r="A11" s="47"/>
      <c r="B11" s="48"/>
      <c r="C11" s="48"/>
      <c r="D11" s="67"/>
      <c r="E11" s="68"/>
      <c r="F11" s="69"/>
      <c r="G11" s="68"/>
      <c r="H11" s="71"/>
      <c r="I11" s="69"/>
      <c r="J11" s="69"/>
      <c r="K11" s="69"/>
      <c r="L11" s="69"/>
      <c r="M11" s="69"/>
      <c r="N11" s="69"/>
      <c r="O11" s="69"/>
      <c r="P11" s="69"/>
      <c r="Q11" s="69"/>
      <c r="R11" s="222"/>
      <c r="S11" s="43"/>
      <c r="T11" s="43"/>
      <c r="U11" s="34"/>
      <c r="V11" s="33"/>
      <c r="W11" s="1"/>
      <c r="X11" s="1"/>
      <c r="Y11" s="1"/>
      <c r="Z11" s="1"/>
    </row>
    <row r="12" spans="1:27" ht="13.5" customHeight="1" thickBot="1">
      <c r="A12" s="36">
        <f>DATE(2021,6,12)+(16+B$2)/24</f>
        <v>44359.458333333336</v>
      </c>
      <c r="B12" s="37">
        <f t="shared" ref="B12:B17" si="6">A12</f>
        <v>44359.458333333336</v>
      </c>
      <c r="C12" s="38" t="str">
        <f>'H2'!K61</f>
        <v>Copenhague</v>
      </c>
      <c r="D12" s="64" t="str">
        <f>'H2'!K31</f>
        <v>Dinamarca</v>
      </c>
      <c r="E12" s="147">
        <v>0</v>
      </c>
      <c r="F12" s="64" t="str">
        <f t="shared" ref="F12:F13" si="7">D14</f>
        <v>Finlandia</v>
      </c>
      <c r="G12" s="147">
        <v>1</v>
      </c>
      <c r="H12" s="212" t="str">
        <f>'H2'!K11&amp;" B"</f>
        <v>Grupo: B</v>
      </c>
      <c r="I12" s="213"/>
      <c r="J12" s="214" t="str">
        <f>J5</f>
        <v>cotejo</v>
      </c>
      <c r="K12" s="215"/>
      <c r="L12" s="215"/>
      <c r="M12" s="216"/>
      <c r="N12" s="217" t="str">
        <f>N5</f>
        <v>goles</v>
      </c>
      <c r="O12" s="215"/>
      <c r="P12" s="218"/>
      <c r="Q12" s="69"/>
      <c r="R12" s="222"/>
      <c r="S12" s="40" t="str">
        <f>'H2'!K70</f>
        <v>Budapest</v>
      </c>
      <c r="T12" s="41">
        <v>3</v>
      </c>
      <c r="U12" s="42"/>
      <c r="V12" s="33"/>
      <c r="Y12" s="1"/>
      <c r="Z12" s="1"/>
    </row>
    <row r="13" spans="1:27" ht="13.5" customHeight="1" thickBot="1">
      <c r="A13" s="36">
        <f>DATE(2021,6,12)+(19+B$2)/24</f>
        <v>44359.583333333336</v>
      </c>
      <c r="B13" s="37">
        <f t="shared" si="6"/>
        <v>44359.583333333336</v>
      </c>
      <c r="C13" s="38" t="str">
        <f>'H2'!K62</f>
        <v>Petersburgo</v>
      </c>
      <c r="D13" s="65" t="str">
        <f>'H2'!K32</f>
        <v>Rusia</v>
      </c>
      <c r="E13" s="147">
        <v>0</v>
      </c>
      <c r="F13" s="65" t="str">
        <f t="shared" si="7"/>
        <v>Bélgica</v>
      </c>
      <c r="G13" s="147">
        <v>3</v>
      </c>
      <c r="H13" s="71"/>
      <c r="I13" s="72" t="str">
        <f t="shared" ref="I13:Q13" si="8">I6</f>
        <v>equipos</v>
      </c>
      <c r="J13" s="73" t="str">
        <f t="shared" si="8"/>
        <v>J</v>
      </c>
      <c r="K13" s="74" t="str">
        <f t="shared" si="8"/>
        <v>G</v>
      </c>
      <c r="L13" s="74" t="str">
        <f t="shared" si="8"/>
        <v>E</v>
      </c>
      <c r="M13" s="75" t="str">
        <f t="shared" si="8"/>
        <v>P</v>
      </c>
      <c r="N13" s="76" t="str">
        <f t="shared" si="8"/>
        <v>F</v>
      </c>
      <c r="O13" s="77" t="str">
        <f t="shared" si="8"/>
        <v>C</v>
      </c>
      <c r="P13" s="78" t="str">
        <f t="shared" si="8"/>
        <v>D</v>
      </c>
      <c r="Q13" s="79" t="str">
        <f t="shared" si="8"/>
        <v>Pts</v>
      </c>
      <c r="R13" s="222"/>
      <c r="S13" s="109" t="str">
        <f>IF(J21,I21,"1C")</f>
        <v>Países Baj.</v>
      </c>
      <c r="T13" s="44"/>
      <c r="U13" s="45"/>
      <c r="V13" s="36">
        <f>DATE(2021,6,27)+(16+B$2)/24</f>
        <v>44374.458333333336</v>
      </c>
      <c r="Y13" s="1"/>
      <c r="Z13" s="1"/>
    </row>
    <row r="14" spans="1:27" ht="13.5" customHeight="1" thickBot="1">
      <c r="A14" s="36">
        <f>DATE(2021,6,16)+(13+B$2)/24</f>
        <v>44363.333333333336</v>
      </c>
      <c r="B14" s="37">
        <f t="shared" si="6"/>
        <v>44363.333333333336</v>
      </c>
      <c r="C14" s="38" t="str">
        <f>'H2'!K62</f>
        <v>Petersburgo</v>
      </c>
      <c r="D14" s="65" t="str">
        <f>'H2'!K33</f>
        <v>Finlandia</v>
      </c>
      <c r="E14" s="147">
        <v>0</v>
      </c>
      <c r="F14" s="65" t="str">
        <f>D13</f>
        <v>Rusia</v>
      </c>
      <c r="G14" s="147">
        <v>1</v>
      </c>
      <c r="H14" s="71" t="str">
        <f>IF(AND(J14=3,MIN(ABS(Q12-Q14),ABS(Q14-Q15))&lt;C$4),"‼","")</f>
        <v/>
      </c>
      <c r="I14" s="80" t="str">
        <f t="array" ref="I14">INDEX(D12:D15,MATCH(Q14,'H2'!C10:C13,0))</f>
        <v>Bélgica</v>
      </c>
      <c r="J14" s="81">
        <f>SUMPRODUCT((D12:F17=I14)*ISNUMBER(E12:E17))</f>
        <v>3</v>
      </c>
      <c r="K14" s="82">
        <f t="shared" ref="K14:K17" si="9">(INT(Q14)-L14)/3</f>
        <v>3</v>
      </c>
      <c r="L14" s="82">
        <f>SUMPRODUCT((D12:F17=I14)*(E12:E17=G12:G17)*(E12:E17&lt;&gt;""))</f>
        <v>0</v>
      </c>
      <c r="M14" s="83">
        <f t="shared" ref="M14:M17" si="10">J14-K14-L14</f>
        <v>0</v>
      </c>
      <c r="N14" s="84">
        <f t="shared" ref="N14:N17" si="11">P14+O14</f>
        <v>7</v>
      </c>
      <c r="O14" s="82">
        <f t="array" ref="O14">INDEX('H2'!A10:A13,MATCH(Q14,'H2'!C10:C13,0))</f>
        <v>1</v>
      </c>
      <c r="P14" s="85">
        <f t="array" ref="P14">INDEX('H2'!B10:B13,MATCH(Q14,'H2'!C10:C13,0))</f>
        <v>6</v>
      </c>
      <c r="Q14" s="86">
        <f>LARGE('H2'!C10:C13,1)</f>
        <v>9.0560091999999983</v>
      </c>
      <c r="R14" s="222"/>
      <c r="S14" s="110" t="str">
        <f t="array" aca="1" ref="S14" ca="1">IF(SUM(J49:J54)&lt;18,"3ºD/E/F",VLOOKUP(INDEX('H2'!L2:O16,H55,2),H49:I52,2,0))</f>
        <v>3ºD/E/F</v>
      </c>
      <c r="T14" s="46"/>
      <c r="U14" s="45"/>
      <c r="V14" s="37">
        <f>V13</f>
        <v>44374.458333333336</v>
      </c>
      <c r="Y14" s="1"/>
      <c r="Z14" s="1"/>
    </row>
    <row r="15" spans="1:27" ht="13.5" customHeight="1" thickBot="1">
      <c r="A15" s="36">
        <f>DATE(2021,6,17)+(16+B$2)/24</f>
        <v>44364.458333333336</v>
      </c>
      <c r="B15" s="37">
        <f t="shared" si="6"/>
        <v>44364.458333333336</v>
      </c>
      <c r="C15" s="38" t="str">
        <f>'H2'!K61</f>
        <v>Copenhague</v>
      </c>
      <c r="D15" s="65" t="str">
        <f>'H2'!K34</f>
        <v>Bélgica</v>
      </c>
      <c r="E15" s="147">
        <v>2</v>
      </c>
      <c r="F15" s="65" t="str">
        <f t="shared" ref="F15:F16" si="12">D12</f>
        <v>Dinamarca</v>
      </c>
      <c r="G15" s="147">
        <v>1</v>
      </c>
      <c r="H15" s="71" t="str">
        <f>IF(AND(J15=3,MIN(ABS(Q14-Q15),ABS(Q15-Q16))&lt;C$4),"‼","")</f>
        <v/>
      </c>
      <c r="I15" s="65" t="str">
        <f t="array" ref="I15">INDEX(D12:D15,MATCH(Q15,'H2'!C10:C13,0))</f>
        <v>Dinamarca</v>
      </c>
      <c r="J15" s="87">
        <f>SUMPRODUCT((D12:F17=I15)*ISNUMBER(E12:E17))</f>
        <v>3</v>
      </c>
      <c r="K15" s="88">
        <f t="shared" si="9"/>
        <v>1</v>
      </c>
      <c r="L15" s="88">
        <f>SUMPRODUCT((D12:F17=I15)*(E12:E17=G12:G17)*(E12:E17&lt;&gt;""))</f>
        <v>0</v>
      </c>
      <c r="M15" s="89">
        <f t="shared" si="10"/>
        <v>2</v>
      </c>
      <c r="N15" s="90">
        <f t="shared" si="11"/>
        <v>5</v>
      </c>
      <c r="O15" s="88">
        <f t="array" ref="O15">INDEX('H2'!A10:A13,MATCH(Q15,'H2'!C10:C13,0))</f>
        <v>4</v>
      </c>
      <c r="P15" s="91">
        <f t="array" ref="P15">INDEX('H2'!B10:B13,MATCH(Q15,'H2'!C10:C13,0))</f>
        <v>1</v>
      </c>
      <c r="Q15" s="92">
        <f>LARGE('H2'!C10:C13,2)</f>
        <v>3.0510394999999999</v>
      </c>
      <c r="R15" s="222"/>
      <c r="S15" s="40" t="str">
        <f>'H2'!K68</f>
        <v>Sevilla</v>
      </c>
      <c r="T15" s="41">
        <v>4</v>
      </c>
      <c r="U15" s="42"/>
      <c r="V15" s="33"/>
      <c r="Y15" s="1"/>
      <c r="Z15" s="1"/>
    </row>
    <row r="16" spans="1:27" ht="13.5" customHeight="1" thickBot="1">
      <c r="A16" s="36">
        <f t="shared" ref="A16:A17" si="13">DATE(2021,6,21)+(19+B$2)/24</f>
        <v>44368.583333333336</v>
      </c>
      <c r="B16" s="37">
        <f t="shared" si="6"/>
        <v>44368.583333333336</v>
      </c>
      <c r="C16" s="38" t="str">
        <f>'H2'!K61</f>
        <v>Copenhague</v>
      </c>
      <c r="D16" s="65" t="str">
        <f>D12</f>
        <v>Dinamarca</v>
      </c>
      <c r="E16" s="168">
        <v>4</v>
      </c>
      <c r="F16" s="65" t="str">
        <f t="shared" si="12"/>
        <v>Rusia</v>
      </c>
      <c r="G16" s="168">
        <v>1</v>
      </c>
      <c r="H16" s="71" t="str">
        <f>IF(AND(J16=3,MIN(ABS(Q15-Q16),ABS(Q16-Q17))&lt;C$4),"‼","")</f>
        <v/>
      </c>
      <c r="I16" s="65" t="str">
        <f t="array" ref="I16">INDEX(D12:D15,MATCH(Q16,'H2'!C10:C13,0))</f>
        <v>Finlandia</v>
      </c>
      <c r="J16" s="93">
        <f>SUMPRODUCT((D12:F17=I16)*ISNUMBER(E12:E17))</f>
        <v>3</v>
      </c>
      <c r="K16" s="88">
        <f t="shared" si="9"/>
        <v>1</v>
      </c>
      <c r="L16" s="88">
        <f>SUMPRODUCT((D12:F17=I16)*(E12:E17=G12:G17)*(E12:E17&lt;&gt;""))</f>
        <v>0</v>
      </c>
      <c r="M16" s="94">
        <f t="shared" si="10"/>
        <v>2</v>
      </c>
      <c r="N16" s="90">
        <f t="shared" si="11"/>
        <v>1</v>
      </c>
      <c r="O16" s="88">
        <f t="array" ref="O16">INDEX('H2'!A10:A13,MATCH(Q16,'H2'!C10:C13,0))</f>
        <v>3</v>
      </c>
      <c r="P16" s="91">
        <f t="array" ref="P16">INDEX('H2'!B10:B13,MATCH(Q16,'H2'!C10:C13,0))</f>
        <v>-2</v>
      </c>
      <c r="Q16" s="95">
        <f>LARGE('H2'!C10:C13,3)</f>
        <v>3.0480293000000001</v>
      </c>
      <c r="R16" s="222"/>
      <c r="S16" s="109" t="str">
        <f>IF(J14,I14,"1B")</f>
        <v>Bélgica</v>
      </c>
      <c r="T16" s="44"/>
      <c r="U16" s="45"/>
      <c r="V16" s="36">
        <f>DATE(2021,6,27)+(19+B$2)/24</f>
        <v>44374.583333333336</v>
      </c>
      <c r="Y16" s="1"/>
      <c r="Z16" s="1"/>
    </row>
    <row r="17" spans="1:26" ht="13.5" customHeight="1" thickBot="1">
      <c r="A17" s="36">
        <f t="shared" si="13"/>
        <v>44368.583333333336</v>
      </c>
      <c r="B17" s="37">
        <f t="shared" si="6"/>
        <v>44368.583333333336</v>
      </c>
      <c r="C17" s="38" t="str">
        <f>'H2'!K62</f>
        <v>Petersburgo</v>
      </c>
      <c r="D17" s="66" t="str">
        <f>D14</f>
        <v>Finlandia</v>
      </c>
      <c r="E17" s="168">
        <v>0</v>
      </c>
      <c r="F17" s="66" t="str">
        <f>D15</f>
        <v>Bélgica</v>
      </c>
      <c r="G17" s="168">
        <v>2</v>
      </c>
      <c r="H17" s="71" t="str">
        <f>IF(AND(J17=3,MIN(ABS(Q16-Q17),ABS(Q17-Q18))&lt;C$4),"‼","")</f>
        <v/>
      </c>
      <c r="I17" s="66" t="str">
        <f t="array" ref="I17">INDEX(D12:D15,MATCH(Q17,'H2'!C10:C13,0))</f>
        <v>Rusia</v>
      </c>
      <c r="J17" s="96">
        <f>SUMPRODUCT((D12:F17=I17)*ISNUMBER(E12:E17))</f>
        <v>3</v>
      </c>
      <c r="K17" s="97">
        <f t="shared" si="9"/>
        <v>1</v>
      </c>
      <c r="L17" s="97">
        <f>SUMPRODUCT((D12:F17=I17)*(E12:E17=G12:G17)*(E12:E17&lt;&gt;""))</f>
        <v>0</v>
      </c>
      <c r="M17" s="98">
        <f t="shared" si="10"/>
        <v>2</v>
      </c>
      <c r="N17" s="99">
        <f t="shared" si="11"/>
        <v>2</v>
      </c>
      <c r="O17" s="97">
        <f t="array" ref="O17">INDEX('H2'!A10:A13,MATCH(Q17,'H2'!C10:C13,0))</f>
        <v>7</v>
      </c>
      <c r="P17" s="100">
        <f t="array" ref="P17">INDEX('H2'!B10:B13,MATCH(Q17,'H2'!C10:C13,0))</f>
        <v>-5</v>
      </c>
      <c r="Q17" s="101">
        <f>LARGE('H2'!C10:C13,4)</f>
        <v>3.0450694</v>
      </c>
      <c r="R17" s="222"/>
      <c r="S17" s="110" t="str">
        <f t="array" aca="1" ref="S17" ca="1">IF(SUM(J49:J54)&lt;18,"3ºA/D/E/F",VLOOKUP(INDEX('H2'!L2:O16,H55,1),H49:I52,2,0))</f>
        <v>3ºA/D/E/F</v>
      </c>
      <c r="T17" s="46"/>
      <c r="U17" s="45"/>
      <c r="V17" s="37">
        <f>V16</f>
        <v>44374.583333333336</v>
      </c>
      <c r="Y17" s="1"/>
      <c r="Z17" s="1"/>
    </row>
    <row r="18" spans="1:26" ht="12" customHeight="1" thickBot="1">
      <c r="A18" s="47"/>
      <c r="B18" s="48"/>
      <c r="C18" s="48"/>
      <c r="D18" s="67"/>
      <c r="E18" s="68"/>
      <c r="F18" s="69"/>
      <c r="G18" s="68"/>
      <c r="H18" s="71"/>
      <c r="I18" s="69"/>
      <c r="J18" s="69"/>
      <c r="K18" s="69"/>
      <c r="L18" s="69"/>
      <c r="M18" s="69"/>
      <c r="N18" s="69"/>
      <c r="O18" s="69"/>
      <c r="P18" s="69"/>
      <c r="Q18" s="69"/>
      <c r="R18" s="222"/>
      <c r="S18" s="39"/>
      <c r="T18" s="43"/>
      <c r="U18" s="34"/>
      <c r="V18" s="33"/>
      <c r="W18" s="1"/>
      <c r="X18" s="1"/>
      <c r="Y18" s="1"/>
      <c r="Z18" s="1"/>
    </row>
    <row r="19" spans="1:26" ht="13.5" customHeight="1" thickBot="1">
      <c r="A19" s="36">
        <f>DATE(2021,6,13)+(16+B$2)/24</f>
        <v>44360.458333333336</v>
      </c>
      <c r="B19" s="37">
        <f t="shared" ref="B19:B24" si="14">A19</f>
        <v>44360.458333333336</v>
      </c>
      <c r="C19" s="38" t="str">
        <f>'H2'!K63</f>
        <v>Bucarest</v>
      </c>
      <c r="D19" s="64" t="str">
        <f>'H2'!K35</f>
        <v>Austria</v>
      </c>
      <c r="E19" s="147">
        <v>3</v>
      </c>
      <c r="F19" s="64" t="str">
        <f t="shared" ref="F19:F20" si="15">D21</f>
        <v>Macedonia</v>
      </c>
      <c r="G19" s="147">
        <v>1</v>
      </c>
      <c r="H19" s="212" t="str">
        <f>'H2'!K11&amp;" C"</f>
        <v>Grupo: C</v>
      </c>
      <c r="I19" s="213"/>
      <c r="J19" s="214" t="str">
        <f>J12</f>
        <v>cotejo</v>
      </c>
      <c r="K19" s="215"/>
      <c r="L19" s="215"/>
      <c r="M19" s="216"/>
      <c r="N19" s="217" t="str">
        <f>N12</f>
        <v>goles</v>
      </c>
      <c r="O19" s="215"/>
      <c r="P19" s="218"/>
      <c r="Q19" s="69"/>
      <c r="R19" s="222"/>
      <c r="S19" s="40" t="str">
        <f>'H2'!K61</f>
        <v>Copenhague</v>
      </c>
      <c r="T19" s="41">
        <v>5</v>
      </c>
      <c r="U19" s="42"/>
      <c r="V19" s="33"/>
      <c r="W19" s="1"/>
      <c r="X19" s="1"/>
      <c r="Y19" s="1"/>
      <c r="Z19" s="1"/>
    </row>
    <row r="20" spans="1:26" ht="13.5" customHeight="1" thickBot="1">
      <c r="A20" s="36">
        <f>DATE(2021,6,13)+(19+B$2)/24</f>
        <v>44360.583333333336</v>
      </c>
      <c r="B20" s="37">
        <f t="shared" si="14"/>
        <v>44360.583333333336</v>
      </c>
      <c r="C20" s="38" t="str">
        <f>'H2'!K64</f>
        <v>Ámsterdam</v>
      </c>
      <c r="D20" s="65" t="str">
        <f>'H2'!K36</f>
        <v>Ucrania</v>
      </c>
      <c r="E20" s="147">
        <v>2</v>
      </c>
      <c r="F20" s="65" t="str">
        <f t="shared" si="15"/>
        <v>Países Baj.</v>
      </c>
      <c r="G20" s="147">
        <v>3</v>
      </c>
      <c r="H20" s="71"/>
      <c r="I20" s="72" t="str">
        <f t="shared" ref="I20:Q20" si="16">I13</f>
        <v>equipos</v>
      </c>
      <c r="J20" s="73" t="str">
        <f t="shared" si="16"/>
        <v>J</v>
      </c>
      <c r="K20" s="74" t="str">
        <f t="shared" si="16"/>
        <v>G</v>
      </c>
      <c r="L20" s="74" t="str">
        <f t="shared" si="16"/>
        <v>E</v>
      </c>
      <c r="M20" s="75" t="str">
        <f t="shared" si="16"/>
        <v>P</v>
      </c>
      <c r="N20" s="76" t="str">
        <f t="shared" si="16"/>
        <v>F</v>
      </c>
      <c r="O20" s="77" t="str">
        <f t="shared" si="16"/>
        <v>C</v>
      </c>
      <c r="P20" s="78" t="str">
        <f t="shared" si="16"/>
        <v>D</v>
      </c>
      <c r="Q20" s="79" t="str">
        <f t="shared" si="16"/>
        <v>Pts</v>
      </c>
      <c r="R20" s="222"/>
      <c r="S20" s="109" t="str">
        <f>IF(J29,I29,"2D")</f>
        <v>Rep.Checa</v>
      </c>
      <c r="T20" s="44"/>
      <c r="U20" s="45"/>
      <c r="V20" s="36">
        <f>DATE(2021,6,28)+(16+B$2)/24</f>
        <v>44375.458333333336</v>
      </c>
      <c r="W20" s="1"/>
      <c r="X20" s="1"/>
      <c r="Y20" s="1"/>
      <c r="Z20" s="1"/>
    </row>
    <row r="21" spans="1:26" ht="13.5" customHeight="1" thickBot="1">
      <c r="A21" s="36">
        <f>DATE(2021,6,17)+(13+B$2)/24</f>
        <v>44364.333333333336</v>
      </c>
      <c r="B21" s="37">
        <f t="shared" si="14"/>
        <v>44364.333333333336</v>
      </c>
      <c r="C21" s="38" t="str">
        <f>'H2'!K63</f>
        <v>Bucarest</v>
      </c>
      <c r="D21" s="65" t="str">
        <f>'H2'!K37</f>
        <v>Macedonia</v>
      </c>
      <c r="E21" s="147">
        <v>1</v>
      </c>
      <c r="F21" s="65" t="str">
        <f>D20</f>
        <v>Ucrania</v>
      </c>
      <c r="G21" s="147">
        <v>2</v>
      </c>
      <c r="H21" s="71" t="str">
        <f>IF(AND(J21=3,MIN(ABS(Q19-Q21),ABS(Q21-Q22))&lt;C$4),"‼","")</f>
        <v/>
      </c>
      <c r="I21" s="80" t="str">
        <f t="array" ref="I21">INDEX(D19:D22,MATCH(Q21,'H2'!C17:C20,0))</f>
        <v>Países Baj.</v>
      </c>
      <c r="J21" s="81">
        <f>SUMPRODUCT((D19:F24=I21)*ISNUMBER(E19:E24))</f>
        <v>3</v>
      </c>
      <c r="K21" s="82">
        <f t="shared" ref="K21:K24" si="17">(INT(Q21)-L21)/3</f>
        <v>3</v>
      </c>
      <c r="L21" s="82">
        <f>SUMPRODUCT((D19:F24=I21)*(E19:E24=G19:G24)*(E19:E24&lt;&gt;""))</f>
        <v>0</v>
      </c>
      <c r="M21" s="83">
        <f t="shared" ref="M21:M24" si="18">J21-K21-L21</f>
        <v>0</v>
      </c>
      <c r="N21" s="84">
        <f t="shared" ref="N21:N24" si="19">P21+O21</f>
        <v>8</v>
      </c>
      <c r="O21" s="82">
        <f t="array" ref="O21">INDEX('H2'!A17:A20,MATCH(Q21,'H2'!C17:C20,0))</f>
        <v>2</v>
      </c>
      <c r="P21" s="85">
        <f t="array" ref="P21">INDEX('H2'!B17:B20,MATCH(Q21,'H2'!C17:C20,0))</f>
        <v>6</v>
      </c>
      <c r="Q21" s="86">
        <f>LARGE('H2'!C17:C20,1)</f>
        <v>9.0560187999999986</v>
      </c>
      <c r="R21" s="222"/>
      <c r="S21" s="110" t="str">
        <f>IF(J36,I36,"2E")</f>
        <v>Eslovaquia</v>
      </c>
      <c r="T21" s="46"/>
      <c r="U21" s="45"/>
      <c r="V21" s="37">
        <f>V20</f>
        <v>44375.458333333336</v>
      </c>
      <c r="W21" s="1"/>
      <c r="X21" s="1"/>
      <c r="Y21" s="1"/>
      <c r="Z21" s="1"/>
    </row>
    <row r="22" spans="1:26" ht="13.5" customHeight="1" thickBot="1">
      <c r="A22" s="36">
        <f>DATE(2021,6,17)+(19+B$2)/24</f>
        <v>44364.583333333336</v>
      </c>
      <c r="B22" s="37">
        <f t="shared" si="14"/>
        <v>44364.583333333336</v>
      </c>
      <c r="C22" s="38" t="str">
        <f>'H2'!K64</f>
        <v>Ámsterdam</v>
      </c>
      <c r="D22" s="65" t="str">
        <f>'H2'!K38</f>
        <v>Países Baj.</v>
      </c>
      <c r="E22" s="147">
        <v>2</v>
      </c>
      <c r="F22" s="65" t="str">
        <f>D19</f>
        <v>Austria</v>
      </c>
      <c r="G22" s="147">
        <v>0</v>
      </c>
      <c r="H22" s="71" t="str">
        <f>IF(AND(J22=3,MIN(ABS(Q21-Q22),ABS(Q22-Q23))&lt;C$4),"‼","")</f>
        <v/>
      </c>
      <c r="I22" s="65" t="str">
        <f t="array" ref="I22">INDEX(D19:D22,MATCH(Q22,'H2'!C17:C20,0))</f>
        <v>Austria</v>
      </c>
      <c r="J22" s="87">
        <f>SUMPRODUCT((D19:F24=I22)*ISNUMBER(E19:E24))</f>
        <v>3</v>
      </c>
      <c r="K22" s="88">
        <f t="shared" si="17"/>
        <v>2</v>
      </c>
      <c r="L22" s="88">
        <f>SUMPRODUCT((D19:F24=I22)*(E19:E24=G19:G24)*(E19:E24&lt;&gt;""))</f>
        <v>0</v>
      </c>
      <c r="M22" s="89">
        <f t="shared" si="18"/>
        <v>1</v>
      </c>
      <c r="N22" s="90">
        <f t="shared" si="19"/>
        <v>4</v>
      </c>
      <c r="O22" s="88">
        <f t="array" ref="O22">INDEX('H2'!A17:A20,MATCH(Q22,'H2'!C17:C20,0))</f>
        <v>3</v>
      </c>
      <c r="P22" s="91">
        <f t="array" ref="P22">INDEX('H2'!B17:B20,MATCH(Q22,'H2'!C17:C20,0))</f>
        <v>1</v>
      </c>
      <c r="Q22" s="92">
        <f>LARGE('H2'!C17:C20,2)</f>
        <v>6.0510291</v>
      </c>
      <c r="R22" s="222"/>
      <c r="S22" s="40" t="str">
        <f>'H2'!K63</f>
        <v>Bucarest</v>
      </c>
      <c r="T22" s="41">
        <v>6</v>
      </c>
      <c r="U22" s="34"/>
      <c r="V22" s="33"/>
      <c r="W22" s="1"/>
      <c r="X22" s="1"/>
      <c r="Y22" s="1"/>
      <c r="Z22" s="1"/>
    </row>
    <row r="23" spans="1:26" ht="13.5" customHeight="1" thickBot="1">
      <c r="A23" s="36">
        <f t="shared" ref="A23:A24" si="20">DATE(2021,6,21)+(16+B$2)/24</f>
        <v>44368.458333333336</v>
      </c>
      <c r="B23" s="37">
        <f t="shared" si="14"/>
        <v>44368.458333333336</v>
      </c>
      <c r="C23" s="38" t="str">
        <f>'H2'!K64</f>
        <v>Ámsterdam</v>
      </c>
      <c r="D23" s="65" t="str">
        <f>D21</f>
        <v>Macedonia</v>
      </c>
      <c r="E23" s="168">
        <v>0</v>
      </c>
      <c r="F23" s="65" t="str">
        <f>D22</f>
        <v>Países Baj.</v>
      </c>
      <c r="G23" s="168">
        <v>3</v>
      </c>
      <c r="H23" s="71" t="str">
        <f>IF(AND(J23=3,MIN(ABS(Q22-Q23),ABS(Q23-Q24))&lt;C$4),"‼","")</f>
        <v/>
      </c>
      <c r="I23" s="65" t="str">
        <f t="array" ref="I23">INDEX(D19:D22,MATCH(Q23,'H2'!C17:C20,0))</f>
        <v>Ucrania</v>
      </c>
      <c r="J23" s="93">
        <f>SUMPRODUCT((D19:F24=I23)*ISNUMBER(E19:E24))</f>
        <v>3</v>
      </c>
      <c r="K23" s="88">
        <f t="shared" si="17"/>
        <v>1</v>
      </c>
      <c r="L23" s="88">
        <f>SUMPRODUCT((D19:F24=I23)*(E19:E24=G19:G24)*(E19:E24&lt;&gt;""))</f>
        <v>0</v>
      </c>
      <c r="M23" s="94">
        <f t="shared" si="18"/>
        <v>2</v>
      </c>
      <c r="N23" s="90">
        <f t="shared" si="19"/>
        <v>4</v>
      </c>
      <c r="O23" s="88">
        <f t="array" ref="O23">INDEX('H2'!A17:A20,MATCH(Q23,'H2'!C17:C20,0))</f>
        <v>5</v>
      </c>
      <c r="P23" s="91">
        <f t="array" ref="P23">INDEX('H2'!B17:B20,MATCH(Q23,'H2'!C17:C20,0))</f>
        <v>-1</v>
      </c>
      <c r="Q23" s="95">
        <f>LARGE('H2'!C17:C20,3)</f>
        <v>3.0490489999999997</v>
      </c>
      <c r="R23" s="222"/>
      <c r="S23" s="109" t="str">
        <f>IF(J42,I42,"1F")</f>
        <v>Francia</v>
      </c>
      <c r="T23" s="44"/>
      <c r="U23" s="45"/>
      <c r="V23" s="36">
        <f>DATE(2021,6,28)+(19+B$2)/24</f>
        <v>44375.583333333336</v>
      </c>
      <c r="W23" s="1"/>
      <c r="X23" s="1"/>
      <c r="Y23" s="1"/>
      <c r="Z23" s="1"/>
    </row>
    <row r="24" spans="1:26" ht="13.5" customHeight="1" thickBot="1">
      <c r="A24" s="36">
        <f t="shared" si="20"/>
        <v>44368.458333333336</v>
      </c>
      <c r="B24" s="37">
        <f t="shared" si="14"/>
        <v>44368.458333333336</v>
      </c>
      <c r="C24" s="38" t="str">
        <f>'H2'!K63</f>
        <v>Bucarest</v>
      </c>
      <c r="D24" s="66" t="str">
        <f>D20</f>
        <v>Ucrania</v>
      </c>
      <c r="E24" s="168">
        <v>0</v>
      </c>
      <c r="F24" s="66" t="str">
        <f>D19</f>
        <v>Austria</v>
      </c>
      <c r="G24" s="168">
        <v>1</v>
      </c>
      <c r="H24" s="71" t="str">
        <f>IF(AND(J24=3,MIN(ABS(Q23-Q24),ABS(Q24-Q25))&lt;C$4),"‼","")</f>
        <v/>
      </c>
      <c r="I24" s="66" t="str">
        <f t="array" ref="I24">INDEX(D19:D22,MATCH(Q24,'H2'!C17:C20,0))</f>
        <v>Macedonia</v>
      </c>
      <c r="J24" s="96">
        <f>SUMPRODUCT((D19:F24=I24)*ISNUMBER(E19:E24))</f>
        <v>3</v>
      </c>
      <c r="K24" s="97">
        <f t="shared" si="17"/>
        <v>0</v>
      </c>
      <c r="L24" s="97">
        <f>SUMPRODUCT((D19:F24=I24)*(E19:E24=G19:G24)*(E19:E24&lt;&gt;""))</f>
        <v>0</v>
      </c>
      <c r="M24" s="98">
        <f t="shared" si="18"/>
        <v>3</v>
      </c>
      <c r="N24" s="99">
        <f t="shared" si="19"/>
        <v>2</v>
      </c>
      <c r="O24" s="97">
        <f t="array" ref="O24">INDEX('H2'!A17:A20,MATCH(Q24,'H2'!C17:C20,0))</f>
        <v>8</v>
      </c>
      <c r="P24" s="100">
        <f t="array" ref="P24">INDEX('H2'!B17:B20,MATCH(Q24,'H2'!C17:C20,0))</f>
        <v>-6</v>
      </c>
      <c r="Q24" s="101">
        <f>LARGE('H2'!C17:C20,4)</f>
        <v>4.4078899999999997E-2</v>
      </c>
      <c r="R24" s="222"/>
      <c r="S24" s="110" t="str">
        <f t="array" aca="1" ref="S24" ca="1">IF(SUM(J49:J54)&lt;18,"3ºA/B/C",VLOOKUP(INDEX('H2'!L2:O16,H55,4),H49:I52,2,0))</f>
        <v>3ºA/B/C</v>
      </c>
      <c r="T24" s="46"/>
      <c r="U24" s="45"/>
      <c r="V24" s="37">
        <f>V23</f>
        <v>44375.583333333336</v>
      </c>
      <c r="W24" s="1"/>
      <c r="X24" s="1"/>
      <c r="Y24" s="1"/>
      <c r="Z24" s="1"/>
    </row>
    <row r="25" spans="1:26" ht="12" customHeight="1" thickBot="1">
      <c r="A25" s="47"/>
      <c r="B25" s="48"/>
      <c r="C25" s="48"/>
      <c r="D25" s="67"/>
      <c r="E25" s="68"/>
      <c r="F25" s="69"/>
      <c r="G25" s="68"/>
      <c r="H25" s="71"/>
      <c r="I25" s="69"/>
      <c r="J25" s="69"/>
      <c r="K25" s="69"/>
      <c r="L25" s="69"/>
      <c r="M25" s="69"/>
      <c r="N25" s="69"/>
      <c r="O25" s="69"/>
      <c r="P25" s="69"/>
      <c r="Q25" s="69"/>
      <c r="R25" s="222"/>
      <c r="S25" s="43"/>
      <c r="T25" s="43"/>
      <c r="U25" s="34"/>
      <c r="V25" s="33"/>
      <c r="W25" s="1"/>
      <c r="X25" s="1"/>
      <c r="Y25" s="1"/>
      <c r="Z25" s="1"/>
    </row>
    <row r="26" spans="1:26" ht="13.5" customHeight="1" thickBot="1">
      <c r="A26" s="36">
        <f>DATE(2021,6,13)+(13+B$2)/24</f>
        <v>44360.333333333336</v>
      </c>
      <c r="B26" s="37">
        <f t="shared" ref="B26:B31" si="21">A26</f>
        <v>44360.333333333336</v>
      </c>
      <c r="C26" s="38" t="str">
        <f>'H2'!K65</f>
        <v>Londres</v>
      </c>
      <c r="D26" s="64" t="str">
        <f>'H2'!K39</f>
        <v>Inglaterra</v>
      </c>
      <c r="E26" s="147">
        <v>1</v>
      </c>
      <c r="F26" s="64" t="str">
        <f t="shared" ref="F26:F27" si="22">D28</f>
        <v>Croacia</v>
      </c>
      <c r="G26" s="147">
        <v>0</v>
      </c>
      <c r="H26" s="212" t="str">
        <f>'H2'!K11&amp;" D"</f>
        <v>Grupo: D</v>
      </c>
      <c r="I26" s="213"/>
      <c r="J26" s="214" t="str">
        <f>J19</f>
        <v>cotejo</v>
      </c>
      <c r="K26" s="215"/>
      <c r="L26" s="215"/>
      <c r="M26" s="216"/>
      <c r="N26" s="217" t="str">
        <f>N19</f>
        <v>goles</v>
      </c>
      <c r="O26" s="215"/>
      <c r="P26" s="218"/>
      <c r="Q26" s="69"/>
      <c r="R26" s="222"/>
      <c r="S26" s="40" t="str">
        <f>'H2'!K65</f>
        <v>Londres</v>
      </c>
      <c r="T26" s="41">
        <v>7</v>
      </c>
      <c r="U26" s="42"/>
      <c r="V26" s="33"/>
      <c r="W26" s="1"/>
      <c r="X26" s="1"/>
      <c r="Y26" s="1"/>
      <c r="Z26" s="1"/>
    </row>
    <row r="27" spans="1:26" ht="13.5" customHeight="1" thickBot="1">
      <c r="A27" s="36">
        <f>DATE(2021,6,14)+(13+B$2)/24</f>
        <v>44361.333333333336</v>
      </c>
      <c r="B27" s="37">
        <f t="shared" si="21"/>
        <v>44361.333333333336</v>
      </c>
      <c r="C27" s="38" t="str">
        <f>'H2'!K66</f>
        <v>Glasgow</v>
      </c>
      <c r="D27" s="65" t="str">
        <f>'H2'!K40</f>
        <v>Rep.Checa</v>
      </c>
      <c r="E27" s="147">
        <v>2</v>
      </c>
      <c r="F27" s="65" t="str">
        <f t="shared" si="22"/>
        <v>Escocia</v>
      </c>
      <c r="G27" s="147">
        <v>0</v>
      </c>
      <c r="H27" s="71"/>
      <c r="I27" s="72" t="str">
        <f t="shared" ref="I27:Q27" si="23">I20</f>
        <v>equipos</v>
      </c>
      <c r="J27" s="73" t="str">
        <f t="shared" si="23"/>
        <v>J</v>
      </c>
      <c r="K27" s="74" t="str">
        <f t="shared" si="23"/>
        <v>G</v>
      </c>
      <c r="L27" s="74" t="str">
        <f t="shared" si="23"/>
        <v>E</v>
      </c>
      <c r="M27" s="75" t="str">
        <f t="shared" si="23"/>
        <v>P</v>
      </c>
      <c r="N27" s="76" t="str">
        <f t="shared" si="23"/>
        <v>F</v>
      </c>
      <c r="O27" s="77" t="str">
        <f t="shared" si="23"/>
        <v>C</v>
      </c>
      <c r="P27" s="78" t="str">
        <f t="shared" si="23"/>
        <v>D</v>
      </c>
      <c r="Q27" s="79" t="str">
        <f t="shared" si="23"/>
        <v>Pts</v>
      </c>
      <c r="R27" s="222"/>
      <c r="S27" s="109" t="str">
        <f>IF(J28,I28,"1D")</f>
        <v>Inglaterra</v>
      </c>
      <c r="T27" s="44"/>
      <c r="U27" s="45"/>
      <c r="V27" s="36">
        <f>DATE(2021,6,29)+(16+B$2)/24</f>
        <v>44376.458333333336</v>
      </c>
      <c r="W27" s="1"/>
      <c r="X27" s="1"/>
      <c r="Y27" s="1"/>
      <c r="Z27" s="1"/>
    </row>
    <row r="28" spans="1:26" ht="13.5" customHeight="1" thickBot="1">
      <c r="A28" s="36">
        <f>DATE(2021,6,18)+(16+B$2)/24</f>
        <v>44365.458333333336</v>
      </c>
      <c r="B28" s="37">
        <f t="shared" si="21"/>
        <v>44365.458333333336</v>
      </c>
      <c r="C28" s="38" t="str">
        <f>'H2'!K66</f>
        <v>Glasgow</v>
      </c>
      <c r="D28" s="65" t="str">
        <f>'H2'!K41</f>
        <v>Croacia</v>
      </c>
      <c r="E28" s="147">
        <v>1</v>
      </c>
      <c r="F28" s="65" t="str">
        <f>D27</f>
        <v>Rep.Checa</v>
      </c>
      <c r="G28" s="147">
        <v>1</v>
      </c>
      <c r="H28" s="71" t="str">
        <f>IF(AND(J28=3,MIN(ABS(Q26-Q28),ABS(Q28-Q29))&lt;C$4),"‼","")</f>
        <v/>
      </c>
      <c r="I28" s="80" t="str">
        <f t="array" ref="I28">INDEX(D26:D29,MATCH(Q28,'H2'!C24:C27,0))</f>
        <v>Inglaterra</v>
      </c>
      <c r="J28" s="81">
        <f>SUMPRODUCT((D26:F31=I28)*ISNUMBER(E26:E31))</f>
        <v>3</v>
      </c>
      <c r="K28" s="82">
        <f t="shared" ref="K28:K31" si="24">(INT(Q28)-L28)/3</f>
        <v>2</v>
      </c>
      <c r="L28" s="82">
        <f>SUMPRODUCT((D26:F31=I28)*(E26:E31=G26:G31)*(E26:E31&lt;&gt;""))</f>
        <v>1</v>
      </c>
      <c r="M28" s="83">
        <f t="shared" ref="M28:M31" si="25">J28-K28-L28</f>
        <v>0</v>
      </c>
      <c r="N28" s="84">
        <f t="shared" ref="N28:N31" si="26">P28+O28</f>
        <v>2</v>
      </c>
      <c r="O28" s="82">
        <f t="array" ref="O28">INDEX('H2'!A24:A27,MATCH(Q28,'H2'!C24:C27,0))</f>
        <v>0</v>
      </c>
      <c r="P28" s="85">
        <f t="array" ref="P28">INDEX('H2'!B24:B27,MATCH(Q28,'H2'!C24:C27,0))</f>
        <v>2</v>
      </c>
      <c r="Q28" s="86">
        <f>LARGE('H2'!C24:C27,1)</f>
        <v>7.0519986999999995</v>
      </c>
      <c r="R28" s="222"/>
      <c r="S28" s="110" t="str">
        <f>IF(J43,I43,"2F")</f>
        <v>Portugal</v>
      </c>
      <c r="T28" s="46"/>
      <c r="U28" s="45"/>
      <c r="V28" s="37">
        <f>V27</f>
        <v>44376.458333333336</v>
      </c>
      <c r="W28" s="1"/>
      <c r="X28" s="1"/>
      <c r="Y28" s="1"/>
      <c r="Z28" s="1"/>
    </row>
    <row r="29" spans="1:26" ht="13.5" customHeight="1" thickBot="1">
      <c r="A29" s="36">
        <f>DATE(2021,6,18)+(19+B$2)/24</f>
        <v>44365.583333333336</v>
      </c>
      <c r="B29" s="37">
        <f t="shared" si="21"/>
        <v>44365.583333333336</v>
      </c>
      <c r="C29" s="38" t="str">
        <f>'H2'!K65</f>
        <v>Londres</v>
      </c>
      <c r="D29" s="65" t="str">
        <f>'H2'!K42</f>
        <v>Escocia</v>
      </c>
      <c r="E29" s="147">
        <v>0</v>
      </c>
      <c r="F29" s="65" t="str">
        <f>D26</f>
        <v>Inglaterra</v>
      </c>
      <c r="G29" s="147">
        <v>0</v>
      </c>
      <c r="H29" s="71" t="str">
        <f>IF(AND(J29=3,MIN(ABS(Q28-Q29),ABS(Q29-Q30))&lt;C$4),"‼","")</f>
        <v/>
      </c>
      <c r="I29" s="65" t="str">
        <f t="array" ref="I29">INDEX(D26:D29,MATCH(Q29,'H2'!C24:C27,0))</f>
        <v>Rep.Checa</v>
      </c>
      <c r="J29" s="87">
        <f>SUMPRODUCT((D26:F31=I29)*ISNUMBER(E26:E31))</f>
        <v>3</v>
      </c>
      <c r="K29" s="88">
        <f t="shared" si="24"/>
        <v>1</v>
      </c>
      <c r="L29" s="88">
        <f>SUMPRODUCT((D26:F31=I29)*(E26:E31=G26:G31)*(E26:E31&lt;&gt;""))</f>
        <v>1</v>
      </c>
      <c r="M29" s="89">
        <f t="shared" si="25"/>
        <v>1</v>
      </c>
      <c r="N29" s="90">
        <f t="shared" si="26"/>
        <v>3</v>
      </c>
      <c r="O29" s="88">
        <f t="array" ref="O29">INDEX('H2'!A24:A27,MATCH(Q29,'H2'!C24:C27,0))</f>
        <v>2</v>
      </c>
      <c r="P29" s="91">
        <f t="array" ref="P29">INDEX('H2'!B24:B27,MATCH(Q29,'H2'!C24:C27,0))</f>
        <v>1</v>
      </c>
      <c r="Q29" s="92">
        <f>LARGE('H2'!C24:C27,2)</f>
        <v>4.0510185999999999</v>
      </c>
      <c r="R29" s="222"/>
      <c r="S29" s="40" t="str">
        <f>'H2'!K66</f>
        <v>Glasgow</v>
      </c>
      <c r="T29" s="41">
        <v>8</v>
      </c>
      <c r="U29" s="42"/>
      <c r="V29" s="33"/>
      <c r="W29" s="1"/>
      <c r="X29" s="1"/>
      <c r="Y29" s="1"/>
      <c r="Z29" s="1"/>
    </row>
    <row r="30" spans="1:26" ht="13.5" customHeight="1" thickBot="1">
      <c r="A30" s="36">
        <f t="shared" ref="A30:A31" si="27">DATE(2021,6,22)+(19+B$2)/24</f>
        <v>44369.583333333336</v>
      </c>
      <c r="B30" s="37">
        <f t="shared" si="21"/>
        <v>44369.583333333336</v>
      </c>
      <c r="C30" s="38" t="str">
        <f>'H2'!K66</f>
        <v>Glasgow</v>
      </c>
      <c r="D30" s="166" t="str">
        <f>D28</f>
        <v>Croacia</v>
      </c>
      <c r="E30" s="165">
        <v>0</v>
      </c>
      <c r="F30" s="166" t="str">
        <f>D29</f>
        <v>Escocia</v>
      </c>
      <c r="G30" s="165">
        <v>0</v>
      </c>
      <c r="H30" s="71" t="str">
        <f>IF(AND(J30=3,MIN(ABS(Q29-Q30),ABS(Q30-Q31))&lt;C$4),"‼","")</f>
        <v/>
      </c>
      <c r="I30" s="65" t="str">
        <f t="array" ref="I30">INDEX(D26:D29,MATCH(Q30,'H2'!C24:C27,0))</f>
        <v>Croacia</v>
      </c>
      <c r="J30" s="93">
        <f>SUMPRODUCT((D26:F31=I30)*ISNUMBER(E26:E31))</f>
        <v>3</v>
      </c>
      <c r="K30" s="88">
        <f t="shared" si="24"/>
        <v>0</v>
      </c>
      <c r="L30" s="88">
        <f>SUMPRODUCT((D26:F31=I30)*(E26:E31=G26:G31)*(E26:E31&lt;&gt;""))</f>
        <v>2</v>
      </c>
      <c r="M30" s="94">
        <f t="shared" si="25"/>
        <v>1</v>
      </c>
      <c r="N30" s="90">
        <f t="shared" si="26"/>
        <v>1</v>
      </c>
      <c r="O30" s="88">
        <f t="array" ref="O30">INDEX('H2'!A24:A27,MATCH(Q30,'H2'!C24:C27,0))</f>
        <v>2</v>
      </c>
      <c r="P30" s="91">
        <f t="array" ref="P30">INDEX('H2'!B24:B27,MATCH(Q30,'H2'!C24:C27,0))</f>
        <v>-1</v>
      </c>
      <c r="Q30" s="95">
        <f>LARGE('H2'!C24:C27,3)</f>
        <v>2.0490184999999999</v>
      </c>
      <c r="R30" s="222"/>
      <c r="S30" s="109" t="str">
        <f>IF(J35,I35,"1E")</f>
        <v>Suecia</v>
      </c>
      <c r="T30" s="44"/>
      <c r="U30" s="45"/>
      <c r="V30" s="36">
        <f>DATE(2021,6,29)+(19+B$2)/24</f>
        <v>44376.583333333336</v>
      </c>
      <c r="W30" s="1"/>
      <c r="X30" s="1"/>
      <c r="Y30" s="1"/>
      <c r="Z30" s="1"/>
    </row>
    <row r="31" spans="1:26" ht="13.5" customHeight="1" thickBot="1">
      <c r="A31" s="36">
        <f t="shared" si="27"/>
        <v>44369.583333333336</v>
      </c>
      <c r="B31" s="37">
        <f t="shared" si="21"/>
        <v>44369.583333333336</v>
      </c>
      <c r="C31" s="38" t="str">
        <f>'H2'!K65</f>
        <v>Londres</v>
      </c>
      <c r="D31" s="167" t="str">
        <f>D26</f>
        <v>Inglaterra</v>
      </c>
      <c r="E31" s="165">
        <v>1</v>
      </c>
      <c r="F31" s="167" t="str">
        <f>D27</f>
        <v>Rep.Checa</v>
      </c>
      <c r="G31" s="165">
        <v>0</v>
      </c>
      <c r="H31" s="71" t="str">
        <f>IF(AND(J31=3,MIN(ABS(Q30-Q31),ABS(Q31-Q32))&lt;C$4),"‼","")</f>
        <v/>
      </c>
      <c r="I31" s="66" t="str">
        <f t="array" ref="I31">INDEX(D26:D29,MATCH(Q31,'H2'!C24:C27,0))</f>
        <v>Escocia</v>
      </c>
      <c r="J31" s="96">
        <f>SUMPRODUCT((D26:F31=I31)*ISNUMBER(E26:E31))</f>
        <v>3</v>
      </c>
      <c r="K31" s="97">
        <f t="shared" si="24"/>
        <v>0</v>
      </c>
      <c r="L31" s="97">
        <f>SUMPRODUCT((D26:F31=I31)*(E26:E31=G26:G31)*(E26:E31&lt;&gt;""))</f>
        <v>2</v>
      </c>
      <c r="M31" s="98">
        <f t="shared" si="25"/>
        <v>1</v>
      </c>
      <c r="N31" s="99">
        <f t="shared" si="26"/>
        <v>0</v>
      </c>
      <c r="O31" s="97">
        <f t="array" ref="O31">INDEX('H2'!A24:A27,MATCH(Q31,'H2'!C24:C27,0))</f>
        <v>2</v>
      </c>
      <c r="P31" s="100">
        <f t="array" ref="P31">INDEX('H2'!B24:B27,MATCH(Q31,'H2'!C24:C27,0))</f>
        <v>-2</v>
      </c>
      <c r="Q31" s="101">
        <f>LARGE('H2'!C24:C27,4)</f>
        <v>2.0480184000000001</v>
      </c>
      <c r="R31" s="222"/>
      <c r="S31" s="110" t="str">
        <f t="array" aca="1" ref="S31" ca="1">IF(SUM(J49:J54)&lt;18,"3ºA/B/C/D",VLOOKUP(INDEX('H2'!L2:O16,H55,3),H49:I52,2,0))</f>
        <v>3ºA/B/C/D</v>
      </c>
      <c r="T31" s="46"/>
      <c r="U31" s="45"/>
      <c r="V31" s="37">
        <f>V30</f>
        <v>44376.583333333336</v>
      </c>
      <c r="W31" s="1"/>
      <c r="X31" s="1"/>
      <c r="Y31" s="1"/>
      <c r="Z31" s="1"/>
    </row>
    <row r="32" spans="1:26" ht="12" customHeight="1" thickBot="1">
      <c r="A32" s="49"/>
      <c r="B32" s="49"/>
      <c r="C32" s="49"/>
      <c r="D32" s="69"/>
      <c r="E32" s="70"/>
      <c r="F32" s="69"/>
      <c r="G32" s="70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39"/>
      <c r="S32" s="50"/>
      <c r="T32" s="39"/>
      <c r="U32" s="51"/>
      <c r="V32" s="28"/>
      <c r="W32" s="1"/>
      <c r="X32" s="1"/>
      <c r="Y32" s="1"/>
      <c r="Z32" s="1"/>
    </row>
    <row r="33" spans="1:26" ht="13.5" customHeight="1" thickBot="1">
      <c r="A33" s="36">
        <f>DATE(2021,6,14)+(16+B$2)/24</f>
        <v>44361.458333333336</v>
      </c>
      <c r="B33" s="37">
        <f t="shared" ref="B33:B38" si="28">A33</f>
        <v>44361.458333333336</v>
      </c>
      <c r="C33" s="38" t="str">
        <f>'H2'!K62</f>
        <v>Petersburgo</v>
      </c>
      <c r="D33" s="64" t="str">
        <f>'H2'!K43</f>
        <v>Polonia</v>
      </c>
      <c r="E33" s="147">
        <v>1</v>
      </c>
      <c r="F33" s="64" t="str">
        <f t="shared" ref="F33:F34" si="29">D35</f>
        <v>Eslovaquia</v>
      </c>
      <c r="G33" s="147">
        <v>2</v>
      </c>
      <c r="H33" s="212" t="str">
        <f>'H2'!K11&amp;" E"</f>
        <v>Grupo: E</v>
      </c>
      <c r="I33" s="213"/>
      <c r="J33" s="214" t="str">
        <f>J26</f>
        <v>cotejo</v>
      </c>
      <c r="K33" s="215"/>
      <c r="L33" s="215"/>
      <c r="M33" s="216"/>
      <c r="N33" s="217" t="str">
        <f>N26</f>
        <v>goles</v>
      </c>
      <c r="O33" s="215"/>
      <c r="P33" s="218"/>
      <c r="Q33" s="69"/>
      <c r="R33" s="223" t="str">
        <f>'H2'!K16</f>
        <v>CUARTOS ·· F I NAL</v>
      </c>
      <c r="S33" s="40" t="str">
        <f>'H2'!K62</f>
        <v>Petersburgo</v>
      </c>
      <c r="T33" s="41">
        <v>9</v>
      </c>
      <c r="U33" s="219">
        <f>V37</f>
        <v>44379.583333333336</v>
      </c>
      <c r="V33" s="220"/>
      <c r="W33" s="1"/>
      <c r="X33" s="1"/>
      <c r="Y33" s="1"/>
      <c r="Z33" s="1"/>
    </row>
    <row r="34" spans="1:26" ht="13.5" customHeight="1" thickBot="1">
      <c r="A34" s="36">
        <f>DATE(2021,6,14)+(19+B$2)/24</f>
        <v>44361.583333333336</v>
      </c>
      <c r="B34" s="37">
        <f t="shared" si="28"/>
        <v>44361.583333333336</v>
      </c>
      <c r="C34" s="38" t="str">
        <f>'H2'!K68</f>
        <v>Sevilla</v>
      </c>
      <c r="D34" s="65" t="str">
        <f>'H2'!K44</f>
        <v>Suecia</v>
      </c>
      <c r="E34" s="147">
        <v>0</v>
      </c>
      <c r="F34" s="65" t="str">
        <f t="shared" si="29"/>
        <v>España</v>
      </c>
      <c r="G34" s="147">
        <v>0</v>
      </c>
      <c r="H34" s="71"/>
      <c r="I34" s="72" t="str">
        <f t="shared" ref="I34:Q34" si="30">I27</f>
        <v>equipos</v>
      </c>
      <c r="J34" s="73" t="str">
        <f t="shared" si="30"/>
        <v>J</v>
      </c>
      <c r="K34" s="74" t="str">
        <f t="shared" si="30"/>
        <v>G</v>
      </c>
      <c r="L34" s="74" t="str">
        <f t="shared" si="30"/>
        <v>E</v>
      </c>
      <c r="M34" s="75" t="str">
        <f t="shared" si="30"/>
        <v>P</v>
      </c>
      <c r="N34" s="76" t="str">
        <f t="shared" si="30"/>
        <v>F</v>
      </c>
      <c r="O34" s="77" t="str">
        <f t="shared" si="30"/>
        <v>C</v>
      </c>
      <c r="P34" s="78" t="str">
        <f t="shared" si="30"/>
        <v>D</v>
      </c>
      <c r="Q34" s="79" t="str">
        <f t="shared" si="30"/>
        <v>Pts</v>
      </c>
      <c r="R34" s="222"/>
      <c r="S34" s="109" t="str">
        <f>IF(T20&amp;T21="","G5",IF(T20+U20&gt;T21+U21,S20,S21))</f>
        <v>G5</v>
      </c>
      <c r="T34" s="44"/>
      <c r="U34" s="52"/>
      <c r="V34" s="36">
        <f>DATE(2021,7,2)+(16+B$2)/24</f>
        <v>44379.458333333336</v>
      </c>
      <c r="W34" s="1"/>
      <c r="X34" s="5"/>
      <c r="Y34" s="1"/>
      <c r="Z34" s="1"/>
    </row>
    <row r="35" spans="1:26" ht="13.5" customHeight="1" thickBot="1">
      <c r="A35" s="36">
        <f>DATE(2021,6,18)+(13+B$2)/24</f>
        <v>44365.333333333336</v>
      </c>
      <c r="B35" s="37">
        <f t="shared" si="28"/>
        <v>44365.333333333336</v>
      </c>
      <c r="C35" s="38" t="str">
        <f>'H2'!K62</f>
        <v>Petersburgo</v>
      </c>
      <c r="D35" s="65" t="str">
        <f>'H2'!K45</f>
        <v>Eslovaquia</v>
      </c>
      <c r="E35" s="147">
        <v>0</v>
      </c>
      <c r="F35" s="65" t="str">
        <f>D34</f>
        <v>Suecia</v>
      </c>
      <c r="G35" s="147">
        <v>1</v>
      </c>
      <c r="H35" s="71" t="str">
        <f>IF(AND(J35=3,MIN(ABS(Q33-Q35),ABS(Q35-Q36))&lt;C$4),"‼","")</f>
        <v/>
      </c>
      <c r="I35" s="80" t="str">
        <f t="array" ref="I35">INDEX(D33:D36,MATCH(Q35,'H2'!C31:C34,0))</f>
        <v>Suecia</v>
      </c>
      <c r="J35" s="81">
        <f>SUMPRODUCT((D33:F38=I35)*ISNUMBER(E33:E38))</f>
        <v>2</v>
      </c>
      <c r="K35" s="82">
        <f t="shared" ref="K35:K38" si="31">(INT(Q35)-L35)/3</f>
        <v>1</v>
      </c>
      <c r="L35" s="82">
        <f>SUMPRODUCT((D33:F38=I35)*(E33:E38=G33:G38)*(E33:E38&lt;&gt;""))</f>
        <v>1</v>
      </c>
      <c r="M35" s="83">
        <f t="shared" ref="M35:M38" si="32">J35-K35-L35</f>
        <v>0</v>
      </c>
      <c r="N35" s="84">
        <f t="shared" ref="N35:N38" si="33">P35+O35</f>
        <v>1</v>
      </c>
      <c r="O35" s="82">
        <f t="array" ref="O35">INDEX('H2'!A31:A34,MATCH(Q35,'H2'!C31:C34,0))</f>
        <v>0</v>
      </c>
      <c r="P35" s="85">
        <f t="array" ref="P35">INDEX('H2'!B31:B34,MATCH(Q35,'H2'!C31:C34,0))</f>
        <v>1</v>
      </c>
      <c r="Q35" s="86">
        <f>LARGE('H2'!C31:C34,1)</f>
        <v>4.0509982000000004</v>
      </c>
      <c r="R35" s="222"/>
      <c r="S35" s="110" t="str">
        <f>IF(T23&amp;T24="","G6",IF(T23+U23&gt;T24+U24,S23,S24))</f>
        <v>G6</v>
      </c>
      <c r="T35" s="46"/>
      <c r="U35" s="45"/>
      <c r="V35" s="37">
        <f>V34</f>
        <v>44379.458333333336</v>
      </c>
      <c r="W35" s="1"/>
      <c r="X35" s="1"/>
      <c r="Y35" s="1"/>
      <c r="Z35" s="1"/>
    </row>
    <row r="36" spans="1:26" ht="13.5" customHeight="1" thickBot="1">
      <c r="A36" s="36">
        <f>DATE(2021,6,19)+(19+B$2)/24</f>
        <v>44366.583333333336</v>
      </c>
      <c r="B36" s="37">
        <f t="shared" si="28"/>
        <v>44366.583333333336</v>
      </c>
      <c r="C36" s="38" t="str">
        <f>'H2'!K68</f>
        <v>Sevilla</v>
      </c>
      <c r="D36" s="65" t="str">
        <f>'H2'!K46</f>
        <v>España</v>
      </c>
      <c r="E36" s="147">
        <v>1</v>
      </c>
      <c r="F36" s="65" t="str">
        <f>D33</f>
        <v>Polonia</v>
      </c>
      <c r="G36" s="147">
        <v>1</v>
      </c>
      <c r="H36" s="71" t="str">
        <f>IF(AND(J36=3,MIN(ABS(Q35-Q36),ABS(Q36-Q37))&lt;C$4),"‼","")</f>
        <v/>
      </c>
      <c r="I36" s="65" t="str">
        <f t="array" ref="I36">INDEX(D33:D36,MATCH(Q36,'H2'!C31:C34,0))</f>
        <v>Eslovaquia</v>
      </c>
      <c r="J36" s="87">
        <f>SUMPRODUCT((D33:F38=I36)*ISNUMBER(E33:E38))</f>
        <v>2</v>
      </c>
      <c r="K36" s="88">
        <f t="shared" si="31"/>
        <v>1</v>
      </c>
      <c r="L36" s="88">
        <f>SUMPRODUCT((D33:F38=I36)*(E33:E38=G33:G38)*(E33:E38&lt;&gt;""))</f>
        <v>0</v>
      </c>
      <c r="M36" s="89">
        <f t="shared" si="32"/>
        <v>1</v>
      </c>
      <c r="N36" s="90">
        <f t="shared" si="33"/>
        <v>2</v>
      </c>
      <c r="O36" s="88">
        <f t="array" ref="O36">INDEX('H2'!A31:A34,MATCH(Q36,'H2'!C31:C34,0))</f>
        <v>2</v>
      </c>
      <c r="P36" s="91">
        <f t="array" ref="P36">INDEX('H2'!B31:B34,MATCH(Q36,'H2'!C31:C34,0))</f>
        <v>0</v>
      </c>
      <c r="Q36" s="92">
        <f>LARGE('H2'!C31:C34,2)</f>
        <v>3.0500181</v>
      </c>
      <c r="R36" s="222"/>
      <c r="S36" s="40" t="str">
        <f>'H2'!K69</f>
        <v>Munich</v>
      </c>
      <c r="T36" s="41">
        <v>10</v>
      </c>
      <c r="U36" s="34"/>
      <c r="V36" s="33"/>
      <c r="W36" s="1"/>
      <c r="X36" s="1"/>
      <c r="Y36" s="1"/>
      <c r="Z36" s="1"/>
    </row>
    <row r="37" spans="1:26" ht="13.5" customHeight="1" thickBot="1">
      <c r="A37" s="36">
        <f t="shared" ref="A37:A38" si="34">DATE(2021,6,23)+(16+B$2)/24</f>
        <v>44370.458333333336</v>
      </c>
      <c r="B37" s="37">
        <f t="shared" si="28"/>
        <v>44370.458333333336</v>
      </c>
      <c r="C37" s="38" t="str">
        <f>'H2'!K68</f>
        <v>Sevilla</v>
      </c>
      <c r="D37" s="65" t="str">
        <f>D35</f>
        <v>Eslovaquia</v>
      </c>
      <c r="E37" s="147" t="s">
        <v>426</v>
      </c>
      <c r="F37" s="65" t="str">
        <f>D36</f>
        <v>España</v>
      </c>
      <c r="G37" s="147" t="s">
        <v>426</v>
      </c>
      <c r="H37" s="71" t="str">
        <f>IF(AND(J37=3,MIN(ABS(Q36-Q37),ABS(Q37-Q38))&lt;C$4),"‼","")</f>
        <v/>
      </c>
      <c r="I37" s="65" t="str">
        <f t="array" ref="I37">INDEX(D33:D36,MATCH(Q37,'H2'!C31:C34,0))</f>
        <v>España</v>
      </c>
      <c r="J37" s="93">
        <f>SUMPRODUCT((D33:F38=I37)*ISNUMBER(E33:E38))</f>
        <v>2</v>
      </c>
      <c r="K37" s="88">
        <f t="shared" si="31"/>
        <v>0</v>
      </c>
      <c r="L37" s="88">
        <f>SUMPRODUCT((D33:F38=I37)*(E33:E38=G33:G38)*(E33:E38&lt;&gt;""))</f>
        <v>2</v>
      </c>
      <c r="M37" s="94">
        <f t="shared" si="32"/>
        <v>0</v>
      </c>
      <c r="N37" s="90">
        <f t="shared" si="33"/>
        <v>1</v>
      </c>
      <c r="O37" s="88">
        <f t="array" ref="O37">INDEX('H2'!A31:A34,MATCH(Q37,'H2'!C31:C34,0))</f>
        <v>1</v>
      </c>
      <c r="P37" s="91">
        <f t="array" ref="P37">INDEX('H2'!B31:B34,MATCH(Q37,'H2'!C31:C34,0))</f>
        <v>0</v>
      </c>
      <c r="Q37" s="95">
        <f>LARGE('H2'!C31:C34,3)</f>
        <v>2.0500080000000001</v>
      </c>
      <c r="R37" s="222"/>
      <c r="S37" s="109" t="str">
        <f>IF(T9&amp;T10="","G2",IF(T9+U9&gt;T10+U10,S9,S10))</f>
        <v>G2</v>
      </c>
      <c r="T37" s="44"/>
      <c r="U37" s="45"/>
      <c r="V37" s="36">
        <f>DATE(2021,7,2)+(19+B$2)/24</f>
        <v>44379.583333333336</v>
      </c>
      <c r="W37" s="1"/>
      <c r="X37" s="1"/>
      <c r="Y37" s="1"/>
      <c r="Z37" s="1"/>
    </row>
    <row r="38" spans="1:26" ht="13.5" customHeight="1" thickBot="1">
      <c r="A38" s="36">
        <f t="shared" si="34"/>
        <v>44370.458333333336</v>
      </c>
      <c r="B38" s="37">
        <f t="shared" si="28"/>
        <v>44370.458333333336</v>
      </c>
      <c r="C38" s="38" t="str">
        <f>'H2'!K62</f>
        <v>Petersburgo</v>
      </c>
      <c r="D38" s="66" t="str">
        <f>D33</f>
        <v>Polonia</v>
      </c>
      <c r="E38" s="147" t="s">
        <v>426</v>
      </c>
      <c r="F38" s="66" t="str">
        <f>D34</f>
        <v>Suecia</v>
      </c>
      <c r="G38" s="147" t="s">
        <v>426</v>
      </c>
      <c r="H38" s="71" t="str">
        <f>IF(AND(J38=3,MIN(ABS(Q37-Q38),ABS(Q38-Q39))&lt;C$4),"‼","")</f>
        <v/>
      </c>
      <c r="I38" s="66" t="str">
        <f t="array" ref="I38">INDEX(D33:D36,MATCH(Q38,'H2'!C31:C34,0))</f>
        <v>Polonia</v>
      </c>
      <c r="J38" s="96">
        <f>SUMPRODUCT((D33:F38=I38)*ISNUMBER(E33:E38))</f>
        <v>2</v>
      </c>
      <c r="K38" s="97">
        <f t="shared" si="31"/>
        <v>0</v>
      </c>
      <c r="L38" s="97">
        <f>SUMPRODUCT((D33:F38=I38)*(E33:E38=G33:G38)*(E33:E38&lt;&gt;""))</f>
        <v>1</v>
      </c>
      <c r="M38" s="98">
        <f t="shared" si="32"/>
        <v>1</v>
      </c>
      <c r="N38" s="99">
        <f t="shared" si="33"/>
        <v>2</v>
      </c>
      <c r="O38" s="97">
        <f t="array" ref="O38">INDEX('H2'!A31:A34,MATCH(Q38,'H2'!C31:C34,0))</f>
        <v>3</v>
      </c>
      <c r="P38" s="100">
        <f t="array" ref="P38">INDEX('H2'!B31:B34,MATCH(Q38,'H2'!C31:C34,0))</f>
        <v>-1</v>
      </c>
      <c r="Q38" s="101">
        <f>LARGE('H2'!C31:C34,4)</f>
        <v>1.0490282999999998</v>
      </c>
      <c r="R38" s="222"/>
      <c r="S38" s="110" t="str">
        <f>IF(T16&amp;T17="","G4",IF(T16+U16&gt;T17+U17,S16,S17))</f>
        <v>G4</v>
      </c>
      <c r="T38" s="46"/>
      <c r="U38" s="45"/>
      <c r="V38" s="37">
        <f>V37</f>
        <v>44379.583333333336</v>
      </c>
      <c r="W38" s="1"/>
      <c r="X38" s="1"/>
      <c r="Y38" s="1"/>
      <c r="Z38" s="1"/>
    </row>
    <row r="39" spans="1:26" ht="12" customHeight="1" thickBot="1">
      <c r="A39" s="49"/>
      <c r="B39" s="49"/>
      <c r="C39" s="49"/>
      <c r="D39" s="69"/>
      <c r="E39" s="68"/>
      <c r="F39" s="69"/>
      <c r="G39" s="68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222"/>
      <c r="S39" s="43"/>
      <c r="T39" s="43"/>
      <c r="U39" s="34"/>
      <c r="V39" s="53"/>
      <c r="W39" s="1"/>
      <c r="X39" s="1"/>
      <c r="Y39" s="1"/>
      <c r="Z39" s="1"/>
    </row>
    <row r="40" spans="1:26" ht="13.5" customHeight="1" thickBot="1">
      <c r="A40" s="36">
        <f>DATE(2021,6,15)+(16+B$2)/24</f>
        <v>44362.458333333336</v>
      </c>
      <c r="B40" s="37">
        <f t="shared" ref="B40:B45" si="35">A40</f>
        <v>44362.458333333336</v>
      </c>
      <c r="C40" s="38" t="str">
        <f>'H2'!K70</f>
        <v>Budapest</v>
      </c>
      <c r="D40" s="64" t="str">
        <f>'H2'!K47</f>
        <v>Portugal</v>
      </c>
      <c r="E40" s="147">
        <v>3</v>
      </c>
      <c r="F40" s="64" t="str">
        <f t="shared" ref="F40:F41" si="36">D42</f>
        <v>Hungría</v>
      </c>
      <c r="G40" s="147">
        <v>0</v>
      </c>
      <c r="H40" s="212" t="str">
        <f>'H2'!K11&amp;" F"</f>
        <v>Grupo: F</v>
      </c>
      <c r="I40" s="213"/>
      <c r="J40" s="214" t="str">
        <f>J33</f>
        <v>cotejo</v>
      </c>
      <c r="K40" s="215"/>
      <c r="L40" s="215"/>
      <c r="M40" s="216"/>
      <c r="N40" s="217" t="str">
        <f>N33</f>
        <v>goles</v>
      </c>
      <c r="O40" s="215"/>
      <c r="P40" s="218"/>
      <c r="Q40" s="69"/>
      <c r="R40" s="222"/>
      <c r="S40" s="40" t="str">
        <f>'H2'!K60</f>
        <v>Bakú</v>
      </c>
      <c r="T40" s="41">
        <v>11</v>
      </c>
      <c r="U40" s="42"/>
      <c r="V40" s="54"/>
      <c r="W40" s="1"/>
      <c r="X40" s="1"/>
      <c r="Y40" s="1"/>
      <c r="Z40" s="1"/>
    </row>
    <row r="41" spans="1:26" ht="13.5" customHeight="1" thickBot="1">
      <c r="A41" s="36">
        <f>DATE(2021,6,15)+(19+B$2)/24</f>
        <v>44362.583333333336</v>
      </c>
      <c r="B41" s="37">
        <f t="shared" si="35"/>
        <v>44362.583333333336</v>
      </c>
      <c r="C41" s="38" t="str">
        <f>'H2'!K69</f>
        <v>Munich</v>
      </c>
      <c r="D41" s="65" t="str">
        <f>'H2'!K48</f>
        <v>Francia</v>
      </c>
      <c r="E41" s="147">
        <v>1</v>
      </c>
      <c r="F41" s="65" t="str">
        <f t="shared" si="36"/>
        <v>Alemania</v>
      </c>
      <c r="G41" s="147">
        <v>0</v>
      </c>
      <c r="H41" s="71"/>
      <c r="I41" s="72" t="str">
        <f t="shared" ref="I41:Q41" si="37">I34</f>
        <v>equipos</v>
      </c>
      <c r="J41" s="73" t="str">
        <f t="shared" si="37"/>
        <v>J</v>
      </c>
      <c r="K41" s="74" t="str">
        <f t="shared" si="37"/>
        <v>G</v>
      </c>
      <c r="L41" s="74" t="str">
        <f t="shared" si="37"/>
        <v>E</v>
      </c>
      <c r="M41" s="75" t="str">
        <f t="shared" si="37"/>
        <v>P</v>
      </c>
      <c r="N41" s="76" t="str">
        <f t="shared" si="37"/>
        <v>F</v>
      </c>
      <c r="O41" s="77" t="str">
        <f t="shared" si="37"/>
        <v>C</v>
      </c>
      <c r="P41" s="78" t="str">
        <f t="shared" si="37"/>
        <v>D</v>
      </c>
      <c r="Q41" s="79" t="str">
        <f t="shared" si="37"/>
        <v>Pts</v>
      </c>
      <c r="R41" s="222"/>
      <c r="S41" s="109" t="str">
        <f>IF(T6&amp;T7="","G1",IF(T6+U6&gt;T7+U7,S6,S7))</f>
        <v>G1</v>
      </c>
      <c r="T41" s="44"/>
      <c r="U41" s="45"/>
      <c r="V41" s="36">
        <f>DATE(2021,7,3)+(16+B$2)/24</f>
        <v>44380.458333333336</v>
      </c>
      <c r="W41" s="1"/>
      <c r="X41" s="1"/>
      <c r="Y41" s="1"/>
      <c r="Z41" s="1"/>
    </row>
    <row r="42" spans="1:26" ht="13.5" customHeight="1" thickBot="1">
      <c r="A42" s="36">
        <f>DATE(2021,6,19)+(13+B$2)/24</f>
        <v>44366.333333333336</v>
      </c>
      <c r="B42" s="37">
        <f t="shared" si="35"/>
        <v>44366.333333333336</v>
      </c>
      <c r="C42" s="38" t="str">
        <f>'H2'!K70</f>
        <v>Budapest</v>
      </c>
      <c r="D42" s="65" t="str">
        <f>'H2'!K49</f>
        <v>Hungría</v>
      </c>
      <c r="E42" s="147">
        <v>1</v>
      </c>
      <c r="F42" s="65" t="str">
        <f>D41</f>
        <v>Francia</v>
      </c>
      <c r="G42" s="147">
        <v>1</v>
      </c>
      <c r="H42" s="71" t="str">
        <f>IF(AND(J42=3,MIN(ABS(Q40-Q42),ABS(Q42-Q43))&lt;C$4),"‼","")</f>
        <v/>
      </c>
      <c r="I42" s="80" t="str">
        <f t="array" ref="I42">INDEX(D40:D43,MATCH(Q42,'H2'!C38:C41,0))</f>
        <v>Francia</v>
      </c>
      <c r="J42" s="81">
        <f>SUMPRODUCT((D40:F45=I42)*ISNUMBER(E40:E45))</f>
        <v>2</v>
      </c>
      <c r="K42" s="82">
        <f t="shared" ref="K42:K45" si="38">(INT(Q42)-L42)/3</f>
        <v>1</v>
      </c>
      <c r="L42" s="82">
        <f>SUMPRODUCT((D40:F45=I42)*(E40:E45=G40:G45)*(E40:E45&lt;&gt;""))</f>
        <v>1</v>
      </c>
      <c r="M42" s="83">
        <f t="shared" ref="M42:M45" si="39">J42-K42-L42</f>
        <v>0</v>
      </c>
      <c r="N42" s="84">
        <f t="shared" ref="N42:N45" si="40">P42+O42</f>
        <v>2</v>
      </c>
      <c r="O42" s="82">
        <f t="array" ref="O42">INDEX('H2'!A38:A41,MATCH(Q42,'H2'!C38:C41,0))</f>
        <v>1</v>
      </c>
      <c r="P42" s="85">
        <f t="array" ref="P42">INDEX('H2'!B38:B41,MATCH(Q42,'H2'!C38:C41,0))</f>
        <v>1</v>
      </c>
      <c r="Q42" s="86">
        <f>LARGE('H2'!C38:C41,1)</f>
        <v>4.0510077999999998</v>
      </c>
      <c r="R42" s="222"/>
      <c r="S42" s="110" t="str">
        <f>IF(T13&amp;T14="","G3",IF(T13+U13&gt;T14+U14,S13,S14))</f>
        <v>G3</v>
      </c>
      <c r="T42" s="46"/>
      <c r="U42" s="45"/>
      <c r="V42" s="37">
        <f>V41</f>
        <v>44380.458333333336</v>
      </c>
      <c r="W42" s="1"/>
      <c r="X42" s="1"/>
      <c r="Y42" s="1"/>
      <c r="Z42" s="1"/>
    </row>
    <row r="43" spans="1:26" ht="13.5" customHeight="1" thickBot="1">
      <c r="A43" s="36">
        <f>DATE(2021,6,19)+(16+B$2)/24</f>
        <v>44366.458333333336</v>
      </c>
      <c r="B43" s="37">
        <f t="shared" si="35"/>
        <v>44366.458333333336</v>
      </c>
      <c r="C43" s="38" t="str">
        <f>'H2'!K69</f>
        <v>Munich</v>
      </c>
      <c r="D43" s="65" t="str">
        <f>'H2'!K50</f>
        <v>Alemania</v>
      </c>
      <c r="E43" s="147">
        <v>4</v>
      </c>
      <c r="F43" s="65" t="str">
        <f t="shared" ref="F43:F44" si="41">D40</f>
        <v>Portugal</v>
      </c>
      <c r="G43" s="147">
        <v>2</v>
      </c>
      <c r="H43" s="71" t="str">
        <f>IF(AND(J43=3,MIN(ABS(Q42-Q43),ABS(Q43-Q44))&lt;C$4),"‼","")</f>
        <v/>
      </c>
      <c r="I43" s="65" t="str">
        <f t="array" ref="I43">INDEX(D40:D43,MATCH(Q43,'H2'!C38:C41,0))</f>
        <v>Portugal</v>
      </c>
      <c r="J43" s="87">
        <f>SUMPRODUCT((D40:F45=I43)*ISNUMBER(E40:E45))</f>
        <v>2</v>
      </c>
      <c r="K43" s="88">
        <f t="shared" si="38"/>
        <v>1</v>
      </c>
      <c r="L43" s="88">
        <f>SUMPRODUCT((D40:F45=I43)*(E40:E45=G40:G45)*(E40:E45&lt;&gt;""))</f>
        <v>0</v>
      </c>
      <c r="M43" s="89">
        <f t="shared" si="39"/>
        <v>1</v>
      </c>
      <c r="N43" s="90">
        <f t="shared" si="40"/>
        <v>5</v>
      </c>
      <c r="O43" s="88">
        <f t="array" ref="O43">INDEX('H2'!A38:A41,MATCH(Q43,'H2'!C38:C41,0))</f>
        <v>4</v>
      </c>
      <c r="P43" s="91">
        <f t="array" ref="P43">INDEX('H2'!B38:B41,MATCH(Q43,'H2'!C38:C41,0))</f>
        <v>1</v>
      </c>
      <c r="Q43" s="92">
        <f>LARGE('H2'!C38:C41,2)</f>
        <v>3.0510378999999999</v>
      </c>
      <c r="R43" s="222"/>
      <c r="S43" s="40" t="str">
        <f>'H2'!K59</f>
        <v>Roma</v>
      </c>
      <c r="T43" s="41">
        <v>12</v>
      </c>
      <c r="U43" s="42"/>
      <c r="V43" s="54"/>
      <c r="W43" s="1"/>
      <c r="X43" s="1"/>
      <c r="Y43" s="1"/>
      <c r="Z43" s="1"/>
    </row>
    <row r="44" spans="1:26" ht="13.5" customHeight="1" thickBot="1">
      <c r="A44" s="36">
        <f t="shared" ref="A44:A45" si="42">DATE(2021,6,23)+(19+B$2)/24</f>
        <v>44370.583333333336</v>
      </c>
      <c r="B44" s="37">
        <f t="shared" si="35"/>
        <v>44370.583333333336</v>
      </c>
      <c r="C44" s="38" t="str">
        <f>'H2'!K70</f>
        <v>Budapest</v>
      </c>
      <c r="D44" s="65" t="str">
        <f>D40</f>
        <v>Portugal</v>
      </c>
      <c r="E44" s="147" t="s">
        <v>426</v>
      </c>
      <c r="F44" s="65" t="str">
        <f t="shared" si="41"/>
        <v>Francia</v>
      </c>
      <c r="G44" s="147" t="s">
        <v>426</v>
      </c>
      <c r="H44" s="71" t="str">
        <f>IF(AND(J44=3,MIN(ABS(Q43-Q44),ABS(Q44-Q45))&lt;C$4),"‼","")</f>
        <v/>
      </c>
      <c r="I44" s="65" t="str">
        <f t="array" ref="I44">INDEX(D40:D43,MATCH(Q44,'H2'!C38:C41,0))</f>
        <v>Alemania</v>
      </c>
      <c r="J44" s="93">
        <f>SUMPRODUCT((D40:F45=I44)*ISNUMBER(E40:E45))</f>
        <v>2</v>
      </c>
      <c r="K44" s="88">
        <f t="shared" si="38"/>
        <v>1</v>
      </c>
      <c r="L44" s="88">
        <f>SUMPRODUCT((D40:F45=I44)*(E40:E45=G40:G45)*(E40:E45&lt;&gt;""))</f>
        <v>0</v>
      </c>
      <c r="M44" s="94">
        <f t="shared" si="39"/>
        <v>1</v>
      </c>
      <c r="N44" s="90">
        <f t="shared" si="40"/>
        <v>4</v>
      </c>
      <c r="O44" s="88">
        <f t="array" ref="O44">INDEX('H2'!A38:A41,MATCH(Q44,'H2'!C38:C41,0))</f>
        <v>3</v>
      </c>
      <c r="P44" s="91">
        <f t="array" ref="P44">INDEX('H2'!B38:B41,MATCH(Q44,'H2'!C38:C41,0))</f>
        <v>1</v>
      </c>
      <c r="Q44" s="95">
        <f>LARGE('H2'!C38:C41,3)</f>
        <v>3.0510276000000003</v>
      </c>
      <c r="R44" s="222"/>
      <c r="S44" s="109" t="str">
        <f>IF(T27&amp;T28="","G7",IF(T27+U27&gt;T28+U28,S27,S28))</f>
        <v>G7</v>
      </c>
      <c r="T44" s="44"/>
      <c r="U44" s="45"/>
      <c r="V44" s="36">
        <f>DATE(2021,7,3)+(19+B$2)/24</f>
        <v>44380.583333333336</v>
      </c>
      <c r="W44" s="1"/>
      <c r="X44" s="1"/>
      <c r="Y44" s="1"/>
      <c r="Z44" s="1"/>
    </row>
    <row r="45" spans="1:26" ht="13.5" customHeight="1" thickBot="1">
      <c r="A45" s="36">
        <f t="shared" si="42"/>
        <v>44370.583333333336</v>
      </c>
      <c r="B45" s="37">
        <f t="shared" si="35"/>
        <v>44370.583333333336</v>
      </c>
      <c r="C45" s="38" t="str">
        <f>'H2'!K69</f>
        <v>Munich</v>
      </c>
      <c r="D45" s="66" t="str">
        <f>D42</f>
        <v>Hungría</v>
      </c>
      <c r="E45" s="147" t="s">
        <v>426</v>
      </c>
      <c r="F45" s="66" t="str">
        <f>D43</f>
        <v>Alemania</v>
      </c>
      <c r="G45" s="147" t="s">
        <v>426</v>
      </c>
      <c r="H45" s="71" t="str">
        <f>IF(AND(J45=3,MIN(ABS(Q44-Q45),ABS(Q45-Q46))&lt;C$4),"‼","")</f>
        <v/>
      </c>
      <c r="I45" s="66" t="str">
        <f t="array" ref="I45">INDEX(D40:D43,MATCH(Q45,'H2'!C38:C41,0))</f>
        <v>Hungría</v>
      </c>
      <c r="J45" s="96">
        <f>SUMPRODUCT((D40:F45=I45)*ISNUMBER(E40:E45))</f>
        <v>2</v>
      </c>
      <c r="K45" s="97">
        <f t="shared" si="38"/>
        <v>0</v>
      </c>
      <c r="L45" s="97">
        <f>SUMPRODUCT((D40:F45=I45)*(E40:E45=G40:G45)*(E40:E45&lt;&gt;""))</f>
        <v>1</v>
      </c>
      <c r="M45" s="98">
        <f t="shared" si="39"/>
        <v>1</v>
      </c>
      <c r="N45" s="99">
        <f t="shared" si="40"/>
        <v>1</v>
      </c>
      <c r="O45" s="97">
        <f t="array" ref="O45">INDEX('H2'!A38:A41,MATCH(Q45,'H2'!C38:C41,0))</f>
        <v>4</v>
      </c>
      <c r="P45" s="100">
        <f t="array" ref="P45">INDEX('H2'!B38:B41,MATCH(Q45,'H2'!C38:C41,0))</f>
        <v>-3</v>
      </c>
      <c r="Q45" s="101">
        <f>LARGE('H2'!C38:C41,4)</f>
        <v>1.0470377</v>
      </c>
      <c r="R45" s="222"/>
      <c r="S45" s="110" t="str">
        <f>IF(T30&amp;T31="","G8",IF(T30+U30&gt;T31+U31,S30,S31))</f>
        <v>G8</v>
      </c>
      <c r="T45" s="46"/>
      <c r="U45" s="45"/>
      <c r="V45" s="37">
        <f>V44</f>
        <v>44380.583333333336</v>
      </c>
      <c r="W45" s="1"/>
      <c r="X45" s="1"/>
      <c r="Y45" s="1"/>
      <c r="Z45" s="1"/>
    </row>
    <row r="46" spans="1:26" ht="12" customHeight="1" thickBot="1">
      <c r="A46" s="49"/>
      <c r="B46" s="49"/>
      <c r="C46" s="49"/>
      <c r="D46" s="49"/>
      <c r="E46" s="49"/>
      <c r="F46" s="49"/>
      <c r="G46" s="49"/>
      <c r="H46" s="69"/>
      <c r="I46" s="69"/>
      <c r="J46" s="108" t="s">
        <v>2</v>
      </c>
      <c r="K46" s="108" t="s">
        <v>3</v>
      </c>
      <c r="L46" s="108" t="s">
        <v>4</v>
      </c>
      <c r="M46" s="108" t="s">
        <v>0</v>
      </c>
      <c r="N46" s="108" t="s">
        <v>5</v>
      </c>
      <c r="O46" s="108" t="s">
        <v>6</v>
      </c>
      <c r="P46" s="108" t="s">
        <v>7</v>
      </c>
      <c r="Q46" s="102"/>
      <c r="R46" s="222"/>
      <c r="S46" s="43"/>
      <c r="T46" s="43"/>
      <c r="U46" s="34"/>
      <c r="V46" s="53"/>
      <c r="W46" s="1"/>
      <c r="X46" s="1"/>
      <c r="Y46" s="1"/>
      <c r="Z46" s="1"/>
    </row>
    <row r="47" spans="1:26" ht="13.5" customHeight="1" thickBot="1">
      <c r="A47" s="49"/>
      <c r="B47" s="49"/>
      <c r="C47" s="49"/>
      <c r="D47" s="33"/>
      <c r="E47" s="33"/>
      <c r="F47" s="33"/>
      <c r="G47" s="49"/>
      <c r="H47" s="69"/>
      <c r="I47" s="103" t="str">
        <f>'H2'!K17</f>
        <v>Terceros</v>
      </c>
      <c r="J47" s="214" t="str">
        <f>J40</f>
        <v>cotejo</v>
      </c>
      <c r="K47" s="215"/>
      <c r="L47" s="215"/>
      <c r="M47" s="216"/>
      <c r="N47" s="217" t="str">
        <f>N40</f>
        <v>goles</v>
      </c>
      <c r="O47" s="215"/>
      <c r="P47" s="218"/>
      <c r="Q47" s="69"/>
      <c r="R47" s="223" t="str">
        <f>'H2'!K26</f>
        <v>S ·· F I NAL</v>
      </c>
      <c r="S47" s="40" t="str">
        <f>'H2'!K65</f>
        <v>Londres</v>
      </c>
      <c r="T47" s="41">
        <v>13</v>
      </c>
      <c r="U47" s="42"/>
      <c r="V47" s="54"/>
      <c r="W47" s="1"/>
      <c r="X47" s="1"/>
      <c r="Y47" s="1"/>
      <c r="Z47" s="1"/>
    </row>
    <row r="48" spans="1:26" ht="13.5" customHeight="1" thickBot="1">
      <c r="A48" s="49"/>
      <c r="B48" s="49"/>
      <c r="C48" s="49"/>
      <c r="D48" s="49"/>
      <c r="E48" s="49"/>
      <c r="F48" s="49"/>
      <c r="G48" s="49"/>
      <c r="H48" s="69"/>
      <c r="I48" s="72" t="str">
        <f t="shared" ref="I48:P48" si="43">I41</f>
        <v>equipos</v>
      </c>
      <c r="J48" s="73" t="str">
        <f t="shared" si="43"/>
        <v>J</v>
      </c>
      <c r="K48" s="74" t="str">
        <f t="shared" si="43"/>
        <v>G</v>
      </c>
      <c r="L48" s="74" t="str">
        <f t="shared" si="43"/>
        <v>E</v>
      </c>
      <c r="M48" s="75" t="str">
        <f t="shared" si="43"/>
        <v>P</v>
      </c>
      <c r="N48" s="76" t="str">
        <f t="shared" si="43"/>
        <v>F</v>
      </c>
      <c r="O48" s="77" t="str">
        <f t="shared" si="43"/>
        <v>C</v>
      </c>
      <c r="P48" s="78" t="str">
        <f t="shared" si="43"/>
        <v>D</v>
      </c>
      <c r="Q48" s="79" t="s">
        <v>8</v>
      </c>
      <c r="R48" s="222"/>
      <c r="S48" s="109" t="str">
        <f>IF(T34&amp;T35="","G9",IF(T34+U34&gt;T35+U35,S34,S35))</f>
        <v>G9</v>
      </c>
      <c r="T48" s="44"/>
      <c r="U48" s="45"/>
      <c r="V48" s="36">
        <f>DATE(2021,7,6)+(19+B$2)/24</f>
        <v>44383.583333333336</v>
      </c>
      <c r="W48" s="1"/>
      <c r="X48" s="1"/>
      <c r="Y48" s="1"/>
      <c r="Z48" s="1"/>
    </row>
    <row r="49" spans="1:26" ht="13.5" customHeight="1" thickBot="1">
      <c r="A49" s="49"/>
      <c r="B49" s="49"/>
      <c r="C49" s="49"/>
      <c r="D49" s="33"/>
      <c r="E49" s="33"/>
      <c r="F49" s="49"/>
      <c r="G49" s="55" t="str">
        <f ca="1">IF(AND(J49=3,MIN(ABS(Q47-Q49),ABS(Q49-Q50))&lt;C$4),"‼","")</f>
        <v/>
      </c>
      <c r="H49" s="104" t="str">
        <f>CHAR(INT('H2'!B45/7)+64)</f>
        <v>A</v>
      </c>
      <c r="I49" s="80" t="str">
        <f ca="1">INDIRECT("I"&amp;'H2'!$B45)</f>
        <v>Suiza</v>
      </c>
      <c r="J49" s="81">
        <f ca="1">INDIRECT("J"&amp;'H2'!$B45)</f>
        <v>3</v>
      </c>
      <c r="K49" s="82">
        <f ca="1">INDIRECT("K"&amp;'H2'!$B45)</f>
        <v>1</v>
      </c>
      <c r="L49" s="82">
        <f ca="1">INDIRECT("L"&amp;'H2'!$B45)</f>
        <v>1</v>
      </c>
      <c r="M49" s="83">
        <f ca="1">INDIRECT("M"&amp;'H2'!$B45)</f>
        <v>1</v>
      </c>
      <c r="N49" s="84">
        <f ca="1">INDIRECT("N"&amp;'H2'!$B45)</f>
        <v>4</v>
      </c>
      <c r="O49" s="82">
        <f ca="1">INDIRECT("O"&amp;'H2'!$B45)</f>
        <v>5</v>
      </c>
      <c r="P49" s="85">
        <f ca="1">INDIRECT("P"&amp;'H2'!$B45)</f>
        <v>-1</v>
      </c>
      <c r="Q49" s="86">
        <f ca="1">INDIRECT("Q"&amp;'H2'!$B45)</f>
        <v>4.0490496</v>
      </c>
      <c r="R49" s="222"/>
      <c r="S49" s="110" t="str">
        <f>IF(T37&amp;T38="","G10",IF(T37+U37&gt;T38+U38,S37,S38))</f>
        <v>G10</v>
      </c>
      <c r="T49" s="46"/>
      <c r="U49" s="45"/>
      <c r="V49" s="37">
        <f>V48</f>
        <v>44383.583333333336</v>
      </c>
      <c r="W49" s="1"/>
      <c r="X49" s="1"/>
      <c r="Y49" s="1"/>
      <c r="Z49" s="1"/>
    </row>
    <row r="50" spans="1:26" ht="13.5" customHeight="1" thickBot="1">
      <c r="A50" s="49"/>
      <c r="B50" s="49"/>
      <c r="C50" s="49"/>
      <c r="D50" s="49"/>
      <c r="E50" s="49"/>
      <c r="F50" s="49"/>
      <c r="G50" s="55" t="str">
        <f ca="1">IF(AND(J50=3,MIN(ABS(Q49-Q50),ABS(Q50-Q51))&lt;C$4),"‼","")</f>
        <v/>
      </c>
      <c r="H50" s="105" t="str">
        <f>CHAR(INT('H2'!B46/7)+64)</f>
        <v>F</v>
      </c>
      <c r="I50" s="65" t="str">
        <f ca="1">INDIRECT("I"&amp;'H2'!$B46)</f>
        <v>Alemania</v>
      </c>
      <c r="J50" s="87">
        <f ca="1">INDIRECT("J"&amp;'H2'!$B46)</f>
        <v>2</v>
      </c>
      <c r="K50" s="88">
        <f ca="1">INDIRECT("K"&amp;'H2'!$B46)</f>
        <v>1</v>
      </c>
      <c r="L50" s="88">
        <f ca="1">INDIRECT("L"&amp;'H2'!$B46)</f>
        <v>0</v>
      </c>
      <c r="M50" s="89">
        <f ca="1">INDIRECT("M"&amp;'H2'!$B46)</f>
        <v>1</v>
      </c>
      <c r="N50" s="90">
        <f ca="1">INDIRECT("N"&amp;'H2'!$B46)</f>
        <v>4</v>
      </c>
      <c r="O50" s="88">
        <f ca="1">INDIRECT("O"&amp;'H2'!$B46)</f>
        <v>3</v>
      </c>
      <c r="P50" s="91">
        <f ca="1">INDIRECT("P"&amp;'H2'!$B46)</f>
        <v>1</v>
      </c>
      <c r="Q50" s="92">
        <f ca="1">INDIRECT("Q"&amp;'H2'!$B46)</f>
        <v>3.0510276000000003</v>
      </c>
      <c r="R50" s="222"/>
      <c r="S50" s="40" t="str">
        <f>'H2'!K65</f>
        <v>Londres</v>
      </c>
      <c r="T50" s="41">
        <v>14</v>
      </c>
      <c r="U50" s="42"/>
      <c r="V50" s="51"/>
      <c r="W50" s="1"/>
      <c r="X50" s="1"/>
      <c r="Y50" s="1"/>
      <c r="Z50" s="1"/>
    </row>
    <row r="51" spans="1:26" ht="13.5" customHeight="1">
      <c r="A51" s="49"/>
      <c r="B51" s="49"/>
      <c r="C51" s="49"/>
      <c r="D51" s="49"/>
      <c r="E51" s="49"/>
      <c r="F51" s="49"/>
      <c r="G51" s="55" t="str">
        <f ca="1">IF(AND(J51=3,MIN(ABS(Q50-Q51),ABS(Q51-Q52))&lt;C$4),"‼","")</f>
        <v/>
      </c>
      <c r="H51" s="105" t="str">
        <f>CHAR(INT('H2'!B47/7)+64)</f>
        <v>C</v>
      </c>
      <c r="I51" s="65" t="str">
        <f ca="1">INDIRECT("I"&amp;'H2'!$B47)</f>
        <v>Ucrania</v>
      </c>
      <c r="J51" s="87">
        <f ca="1">INDIRECT("J"&amp;'H2'!$B47)</f>
        <v>3</v>
      </c>
      <c r="K51" s="88">
        <f ca="1">INDIRECT("K"&amp;'H2'!$B47)</f>
        <v>1</v>
      </c>
      <c r="L51" s="88">
        <f ca="1">INDIRECT("L"&amp;'H2'!$B47)</f>
        <v>0</v>
      </c>
      <c r="M51" s="89">
        <f ca="1">INDIRECT("M"&amp;'H2'!$B47)</f>
        <v>2</v>
      </c>
      <c r="N51" s="90">
        <f ca="1">INDIRECT("N"&amp;'H2'!$B47)</f>
        <v>4</v>
      </c>
      <c r="O51" s="88">
        <f ca="1">INDIRECT("O"&amp;'H2'!$B47)</f>
        <v>5</v>
      </c>
      <c r="P51" s="91">
        <f ca="1">INDIRECT("P"&amp;'H2'!$B47)</f>
        <v>-1</v>
      </c>
      <c r="Q51" s="92">
        <f ca="1">INDIRECT("Q"&amp;'H2'!$B47)</f>
        <v>3.0490489999999997</v>
      </c>
      <c r="R51" s="222"/>
      <c r="S51" s="109" t="str">
        <f>IF(T41&amp;T42="","G11",IF(T41+U41&gt;T42+U42,S41,S42))</f>
        <v>G11</v>
      </c>
      <c r="T51" s="44"/>
      <c r="U51" s="45"/>
      <c r="V51" s="36">
        <f>DATE(2021,7,7)+(19+B$2)/24</f>
        <v>44384.583333333336</v>
      </c>
      <c r="W51" s="1"/>
      <c r="X51" s="1"/>
      <c r="Y51" s="1"/>
      <c r="Z51" s="1"/>
    </row>
    <row r="52" spans="1:26" ht="13.5" customHeight="1" thickBot="1">
      <c r="A52" s="49"/>
      <c r="B52" s="49"/>
      <c r="C52" s="49"/>
      <c r="D52" s="49"/>
      <c r="E52" s="49"/>
      <c r="F52" s="49"/>
      <c r="G52" s="55" t="str">
        <f ca="1">IF(AND(J52=3,MIN(ABS(Q51-Q52),ABS(Q52-Q53))&lt;C$4),"‼","")</f>
        <v/>
      </c>
      <c r="H52" s="105" t="str">
        <f>CHAR(INT('H2'!B48/7)+64)</f>
        <v>B</v>
      </c>
      <c r="I52" s="65" t="str">
        <f ca="1">INDIRECT("I"&amp;'H2'!$B48)</f>
        <v>Finlandia</v>
      </c>
      <c r="J52" s="87">
        <f ca="1">INDIRECT("J"&amp;'H2'!$B48)</f>
        <v>3</v>
      </c>
      <c r="K52" s="88">
        <f ca="1">INDIRECT("K"&amp;'H2'!$B48)</f>
        <v>1</v>
      </c>
      <c r="L52" s="88">
        <f ca="1">INDIRECT("L"&amp;'H2'!$B48)</f>
        <v>0</v>
      </c>
      <c r="M52" s="89">
        <f ca="1">INDIRECT("M"&amp;'H2'!$B48)</f>
        <v>2</v>
      </c>
      <c r="N52" s="90">
        <f ca="1">INDIRECT("N"&amp;'H2'!$B48)</f>
        <v>1</v>
      </c>
      <c r="O52" s="88">
        <f ca="1">INDIRECT("O"&amp;'H2'!$B48)</f>
        <v>3</v>
      </c>
      <c r="P52" s="91">
        <f ca="1">INDIRECT("P"&amp;'H2'!$B48)</f>
        <v>-2</v>
      </c>
      <c r="Q52" s="92">
        <f ca="1">INDIRECT("Q"&amp;'H2'!$B48)</f>
        <v>3.0480293000000001</v>
      </c>
      <c r="R52" s="222"/>
      <c r="S52" s="110" t="str">
        <f>IF(T44&amp;T45="","G12",IF(T44+U44&gt;T45+U45,S44,S45))</f>
        <v>G12</v>
      </c>
      <c r="T52" s="46"/>
      <c r="U52" s="45"/>
      <c r="V52" s="37">
        <f>V51</f>
        <v>44384.583333333336</v>
      </c>
      <c r="W52" s="1"/>
      <c r="X52" s="1"/>
      <c r="Y52" s="1"/>
      <c r="Z52" s="1"/>
    </row>
    <row r="53" spans="1:26" ht="13.5" customHeight="1">
      <c r="A53" s="49"/>
      <c r="B53" s="49"/>
      <c r="C53" s="49"/>
      <c r="D53" s="49"/>
      <c r="E53" s="49"/>
      <c r="F53" s="49"/>
      <c r="G53" s="55" t="str">
        <f ca="1">IF(AND(J53=3,MIN(ABS(Q52-Q53),ABS(Q53-Q54))&lt;C$4),"‼","")</f>
        <v/>
      </c>
      <c r="H53" s="105" t="str">
        <f>CHAR(INT('H2'!B49/7)+64)</f>
        <v>E</v>
      </c>
      <c r="I53" s="106" t="str">
        <f ca="1">INDIRECT("I"&amp;'H2'!$B49)</f>
        <v>España</v>
      </c>
      <c r="J53" s="93">
        <f ca="1">INDIRECT("J"&amp;'H2'!$B49)</f>
        <v>2</v>
      </c>
      <c r="K53" s="88">
        <f ca="1">INDIRECT("K"&amp;'H2'!$B49)</f>
        <v>0</v>
      </c>
      <c r="L53" s="88">
        <f ca="1">INDIRECT("L"&amp;'H2'!$B49)</f>
        <v>2</v>
      </c>
      <c r="M53" s="94">
        <f ca="1">INDIRECT("M"&amp;'H2'!$B49)</f>
        <v>0</v>
      </c>
      <c r="N53" s="90">
        <f ca="1">INDIRECT("N"&amp;'H2'!$B49)</f>
        <v>1</v>
      </c>
      <c r="O53" s="88">
        <f ca="1">INDIRECT("O"&amp;'H2'!$B49)</f>
        <v>1</v>
      </c>
      <c r="P53" s="91">
        <f ca="1">INDIRECT("P"&amp;'H2'!$B49)</f>
        <v>0</v>
      </c>
      <c r="Q53" s="95">
        <f ca="1">INDIRECT("Q"&amp;'H2'!$B49)</f>
        <v>2.0500080000000001</v>
      </c>
      <c r="R53" s="222"/>
      <c r="S53" s="43"/>
      <c r="T53" s="43"/>
      <c r="U53" s="34"/>
      <c r="V53" s="53"/>
      <c r="W53" s="1"/>
      <c r="X53" s="1"/>
      <c r="Y53" s="1"/>
      <c r="Z53" s="1"/>
    </row>
    <row r="54" spans="1:26" ht="13.5" customHeight="1" thickBot="1">
      <c r="A54" s="49"/>
      <c r="B54" s="49"/>
      <c r="C54" s="49"/>
      <c r="D54" s="49"/>
      <c r="E54" s="49"/>
      <c r="F54" s="49"/>
      <c r="G54" s="55" t="str">
        <f ca="1">IF(AND(J54=3,MIN(ABS(Q53-Q54),ABS(Q54-Q55))&lt;C$4),"‼","")</f>
        <v/>
      </c>
      <c r="H54" s="107" t="str">
        <f>CHAR(INT('H2'!B50/7)+64)</f>
        <v>D</v>
      </c>
      <c r="I54" s="66" t="str">
        <f ca="1">INDIRECT("I"&amp;'H2'!$B50)</f>
        <v>Croacia</v>
      </c>
      <c r="J54" s="96">
        <f ca="1">INDIRECT("J"&amp;'H2'!$B50)</f>
        <v>3</v>
      </c>
      <c r="K54" s="97">
        <f ca="1">INDIRECT("K"&amp;'H2'!$B50)</f>
        <v>0</v>
      </c>
      <c r="L54" s="97">
        <f ca="1">INDIRECT("L"&amp;'H2'!$B50)</f>
        <v>2</v>
      </c>
      <c r="M54" s="98">
        <f ca="1">INDIRECT("M"&amp;'H2'!$B50)</f>
        <v>1</v>
      </c>
      <c r="N54" s="99">
        <f ca="1">INDIRECT("N"&amp;'H2'!$B50)</f>
        <v>1</v>
      </c>
      <c r="O54" s="97">
        <f ca="1">INDIRECT("O"&amp;'H2'!$B50)</f>
        <v>2</v>
      </c>
      <c r="P54" s="100">
        <f ca="1">INDIRECT("P"&amp;'H2'!$B50)</f>
        <v>-1</v>
      </c>
      <c r="Q54" s="101">
        <f ca="1">INDIRECT("Q"&amp;'H2'!$B50)</f>
        <v>2.0490184999999999</v>
      </c>
      <c r="R54" s="223" t="str">
        <f>'H2'!K56</f>
        <v>F I NAL</v>
      </c>
      <c r="S54" s="40" t="str">
        <f>"¿"&amp;'H2'!K13&amp;"?"</f>
        <v>¿cotejo?</v>
      </c>
      <c r="T54" s="41"/>
      <c r="U54" s="42"/>
      <c r="V54" s="54"/>
      <c r="W54" s="1"/>
      <c r="X54" s="1"/>
      <c r="Y54" s="1"/>
      <c r="Z54" s="1"/>
    </row>
    <row r="55" spans="1:26" ht="13.5" customHeight="1">
      <c r="A55" s="49"/>
      <c r="B55" s="56"/>
      <c r="C55" s="49"/>
      <c r="D55" s="49"/>
      <c r="E55" s="49"/>
      <c r="F55" s="49"/>
      <c r="G55" s="49"/>
      <c r="H55" s="57">
        <f>MATCH(CODE(H49)*CODE(H50)*CODE(H51)*CODE(H52),'H2'!P2:P16,0)</f>
        <v>3</v>
      </c>
      <c r="I55" s="39"/>
      <c r="J55" s="39"/>
      <c r="K55" s="39"/>
      <c r="L55" s="39"/>
      <c r="M55" s="39"/>
      <c r="N55" s="224" t="str">
        <f>IF(T55&amp;T56="","",IF(T56&amp;U56&gt;T55&amp;U55,'H2'!K52,'H2'!K51)&amp;'H2'!K54)</f>
        <v/>
      </c>
      <c r="O55" s="225"/>
      <c r="P55" s="225"/>
      <c r="Q55" s="225"/>
      <c r="R55" s="222"/>
      <c r="S55" s="109" t="str">
        <f>IF(T48&amp;T49="","P13",IF(T48+U48&lt;T49+U49,S48,S49))</f>
        <v>P13</v>
      </c>
      <c r="T55" s="44"/>
      <c r="U55" s="45"/>
      <c r="V55" s="36">
        <f>DATE(2021,7,10)+(19+B$2)/24</f>
        <v>44387.583333333336</v>
      </c>
      <c r="W55" s="1"/>
      <c r="X55" s="1"/>
      <c r="Y55" s="1"/>
      <c r="Z55" s="1"/>
    </row>
    <row r="56" spans="1:26" ht="13.5" customHeight="1" thickBot="1">
      <c r="A56" s="49"/>
      <c r="B56" s="56"/>
      <c r="C56" s="49"/>
      <c r="D56" s="49"/>
      <c r="E56" s="49"/>
      <c r="F56" s="49"/>
      <c r="G56" s="49"/>
      <c r="H56" s="226" t="str">
        <f ca="1">IF(COUNTIF($G$7:$H$54,"‼"),'H2'!K57,'H2'!K58)</f>
        <v>BIENVENIDOS AL EVENTO DEPORTIVO MAS IMPORTANTE  DE EUROPA, GOCEN DEL JUEGO Y ANIMEN A SUS EQUIPOS</v>
      </c>
      <c r="I56" s="227"/>
      <c r="J56" s="227"/>
      <c r="K56" s="227"/>
      <c r="L56" s="227"/>
      <c r="M56" s="228"/>
      <c r="N56" s="221" t="str">
        <f>IF(T55&amp;T56="","",IF(T56&amp;U56&lt;T55&amp;U55,'H2'!K52,'H2'!K51)&amp;'H2'!K54)</f>
        <v/>
      </c>
      <c r="O56" s="222"/>
      <c r="P56" s="222"/>
      <c r="Q56" s="222"/>
      <c r="R56" s="222"/>
      <c r="S56" s="110" t="str">
        <f>IF(T51&amp;T52="","P14",IF(T51+U51&lt;T52+U52,S51,S52))</f>
        <v>P14</v>
      </c>
      <c r="T56" s="46"/>
      <c r="U56" s="45"/>
      <c r="V56" s="37">
        <f>V55</f>
        <v>44387.583333333336</v>
      </c>
      <c r="W56" s="1"/>
      <c r="X56" s="1"/>
      <c r="Y56" s="1"/>
      <c r="Z56" s="1"/>
    </row>
    <row r="57" spans="1:26" ht="13.5" customHeight="1" thickBot="1">
      <c r="A57" s="33"/>
      <c r="B57" s="58"/>
      <c r="C57" s="49"/>
      <c r="D57" s="49"/>
      <c r="E57" s="49"/>
      <c r="F57" s="49"/>
      <c r="G57" s="33"/>
      <c r="H57" s="229"/>
      <c r="I57" s="222"/>
      <c r="J57" s="222"/>
      <c r="K57" s="222"/>
      <c r="L57" s="222"/>
      <c r="M57" s="230"/>
      <c r="N57" s="59"/>
      <c r="O57" s="59"/>
      <c r="P57" s="59"/>
      <c r="Q57" s="59"/>
      <c r="R57" s="222"/>
      <c r="S57" s="40" t="str">
        <f>'H2'!K65</f>
        <v>Londres</v>
      </c>
      <c r="T57" s="60"/>
      <c r="U57" s="53"/>
      <c r="V57" s="54"/>
      <c r="W57" s="1"/>
      <c r="X57" s="1"/>
      <c r="Y57" s="1"/>
      <c r="Z57" s="1"/>
    </row>
    <row r="58" spans="1:26" ht="12.75" customHeight="1">
      <c r="A58" s="49"/>
      <c r="B58" s="56"/>
      <c r="C58" s="49"/>
      <c r="D58" s="49"/>
      <c r="E58" s="49"/>
      <c r="F58" s="49"/>
      <c r="G58" s="49"/>
      <c r="H58" s="229"/>
      <c r="I58" s="222"/>
      <c r="J58" s="222"/>
      <c r="K58" s="222"/>
      <c r="L58" s="222"/>
      <c r="M58" s="230"/>
      <c r="N58" s="221" t="str">
        <f>IF(T58&amp;T59="","",IF(T59+U59&gt;T58+U58,"sub-","")&amp;'H2'!K53)</f>
        <v/>
      </c>
      <c r="O58" s="222"/>
      <c r="P58" s="222"/>
      <c r="Q58" s="222"/>
      <c r="R58" s="222"/>
      <c r="S58" s="109" t="str">
        <f>IF(T48&amp;T49="","G13",IF(T48+U48&gt;T49+U49,S48,S49))</f>
        <v>G13</v>
      </c>
      <c r="T58" s="44"/>
      <c r="U58" s="45"/>
      <c r="V58" s="36">
        <f>DATE(2021,7,11)+(19+B$2)/24</f>
        <v>44388.583333333336</v>
      </c>
      <c r="W58" s="1"/>
      <c r="X58" s="1"/>
      <c r="Y58" s="1"/>
      <c r="Z58" s="1"/>
    </row>
    <row r="59" spans="1:26" ht="13.5" customHeight="1" thickBot="1">
      <c r="A59" s="49"/>
      <c r="B59" s="61"/>
      <c r="C59" s="33"/>
      <c r="D59" s="33"/>
      <c r="E59" s="33"/>
      <c r="F59" s="33"/>
      <c r="G59" s="33"/>
      <c r="H59" s="231"/>
      <c r="I59" s="232"/>
      <c r="J59" s="232"/>
      <c r="K59" s="232"/>
      <c r="L59" s="232"/>
      <c r="M59" s="233"/>
      <c r="N59" s="221" t="str">
        <f>IF(T58&amp;T59="","",IF(T59+U59&lt;T58+U58,"sub-","")&amp;'H2'!K53)</f>
        <v/>
      </c>
      <c r="O59" s="222"/>
      <c r="P59" s="222"/>
      <c r="Q59" s="222"/>
      <c r="R59" s="222"/>
      <c r="S59" s="110" t="str">
        <f>IF(T51&amp;T52="","G14",IF(T51+U51&gt;T52+U52,S51,S52))</f>
        <v>G14</v>
      </c>
      <c r="T59" s="46"/>
      <c r="U59" s="45"/>
      <c r="V59" s="37">
        <f>V58</f>
        <v>44388.583333333336</v>
      </c>
      <c r="W59" s="1"/>
      <c r="X59" s="1"/>
      <c r="Y59" s="1"/>
      <c r="Z59" s="1"/>
    </row>
    <row r="60" spans="1:26" ht="12.75" customHeight="1">
      <c r="A60" s="33"/>
      <c r="B60" s="33"/>
      <c r="C60" s="61"/>
      <c r="D60" s="61"/>
      <c r="E60" s="61"/>
      <c r="F60" s="61"/>
      <c r="G60" s="61"/>
      <c r="H60" s="43"/>
      <c r="I60" s="43"/>
      <c r="J60" s="43"/>
      <c r="K60" s="43"/>
      <c r="L60" s="43"/>
      <c r="M60" s="43"/>
      <c r="N60" s="39"/>
      <c r="O60" s="39"/>
      <c r="P60" s="39"/>
      <c r="Q60" s="39"/>
      <c r="R60" s="222"/>
      <c r="S60" s="62"/>
      <c r="T60" s="43"/>
      <c r="U60" s="34"/>
      <c r="V60" s="63"/>
      <c r="W60" s="1"/>
      <c r="X60" s="1"/>
      <c r="Y60" s="1"/>
      <c r="Z60" s="1"/>
    </row>
    <row r="61" spans="1:26" ht="12.75" customHeight="1">
      <c r="A61" s="11"/>
      <c r="B61" s="14"/>
      <c r="C61" s="14"/>
      <c r="D61" s="14"/>
      <c r="E61" s="14"/>
      <c r="F61" s="14"/>
      <c r="G61" s="14"/>
      <c r="H61" s="14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2"/>
      <c r="U61" s="12"/>
      <c r="V61" s="11"/>
      <c r="W61" s="1"/>
      <c r="X61" s="1"/>
      <c r="Y61" s="1"/>
      <c r="Z61" s="1"/>
    </row>
    <row r="62" spans="1:26" ht="12.75" customHeight="1">
      <c r="A62" s="13"/>
      <c r="B62" s="14"/>
      <c r="C62" s="13"/>
      <c r="D62" s="13"/>
      <c r="E62" s="13"/>
      <c r="F62" s="13"/>
      <c r="G62" s="13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2"/>
      <c r="U62" s="12"/>
      <c r="V62" s="11"/>
      <c r="W62" s="1"/>
      <c r="X62" s="1"/>
      <c r="Y62" s="1"/>
      <c r="Z62" s="1"/>
    </row>
    <row r="63" spans="1:26" ht="12.75" customHeight="1">
      <c r="A63" s="11"/>
      <c r="B63" s="11"/>
      <c r="C63" s="11"/>
      <c r="D63" s="11"/>
      <c r="E63" s="11"/>
      <c r="F63" s="11"/>
      <c r="G63" s="11"/>
      <c r="H63" s="11"/>
      <c r="I63" s="13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2"/>
      <c r="U63" s="12"/>
      <c r="V63" s="11"/>
      <c r="W63" s="1"/>
      <c r="X63" s="1"/>
      <c r="Y63" s="1"/>
      <c r="Z63" s="1"/>
    </row>
    <row r="64" spans="1:26" ht="12.75" customHeight="1">
      <c r="A64" s="11"/>
      <c r="B64" s="11"/>
      <c r="C64" s="11"/>
      <c r="D64" s="11"/>
      <c r="E64" s="11"/>
      <c r="F64" s="13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2"/>
      <c r="U64" s="12"/>
      <c r="V64" s="11"/>
      <c r="W64" s="1"/>
      <c r="X64" s="1"/>
      <c r="Y64" s="1"/>
      <c r="Z64" s="1"/>
    </row>
    <row r="65" spans="1:26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2"/>
      <c r="U65" s="12"/>
      <c r="V65" s="1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3"/>
      <c r="U66" s="3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3"/>
      <c r="U67" s="3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3"/>
      <c r="U69" s="3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3"/>
      <c r="U70" s="3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3"/>
      <c r="U71" s="3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3"/>
      <c r="U72" s="3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3"/>
      <c r="U73" s="3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3"/>
      <c r="U74" s="3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3"/>
      <c r="U75" s="3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3"/>
      <c r="U76" s="3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3"/>
      <c r="U78" s="3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3"/>
      <c r="U79" s="3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3"/>
      <c r="U80" s="3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3"/>
      <c r="U81" s="3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3"/>
      <c r="U82" s="3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3"/>
      <c r="U83" s="3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3"/>
      <c r="U84" s="3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3"/>
      <c r="U85" s="3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3"/>
      <c r="U86" s="3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3"/>
      <c r="U87" s="3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3"/>
      <c r="U88" s="3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3"/>
      <c r="U89" s="3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3"/>
      <c r="U90" s="3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3"/>
      <c r="U91" s="3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3"/>
      <c r="U92" s="3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3"/>
      <c r="U93" s="3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3"/>
      <c r="U94" s="3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3"/>
      <c r="U95" s="3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/>
      <c r="U96" s="3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3"/>
      <c r="U97" s="3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3"/>
      <c r="U98" s="3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3"/>
      <c r="U99" s="3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3"/>
      <c r="U100" s="3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3"/>
      <c r="U101" s="3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3"/>
      <c r="U102" s="3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3"/>
      <c r="U103" s="3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3"/>
      <c r="U104" s="3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3"/>
      <c r="U105" s="3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3"/>
      <c r="U106" s="3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6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3"/>
      <c r="U107" s="3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3"/>
      <c r="U108" s="3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3"/>
      <c r="U109" s="3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3"/>
      <c r="U110" s="3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3"/>
      <c r="U111" s="3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3"/>
      <c r="U112" s="3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3"/>
      <c r="U113" s="3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3"/>
      <c r="U114" s="3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3"/>
      <c r="U115" s="3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3"/>
      <c r="U116" s="3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3"/>
      <c r="U117" s="3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3"/>
      <c r="U118" s="3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3"/>
      <c r="U119" s="3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3"/>
      <c r="U120" s="3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3"/>
      <c r="U121" s="3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3"/>
      <c r="U122" s="3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3"/>
      <c r="U123" s="3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3"/>
      <c r="U124" s="3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3"/>
      <c r="U125" s="3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3"/>
      <c r="U126" s="3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3"/>
      <c r="U127" s="3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3"/>
      <c r="U128" s="3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3"/>
      <c r="U129" s="3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3"/>
      <c r="U130" s="3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3"/>
      <c r="U131" s="3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3"/>
      <c r="U132" s="3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3"/>
      <c r="U133" s="3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3"/>
      <c r="U134" s="3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3"/>
      <c r="U135" s="3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3"/>
      <c r="U136" s="3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3"/>
      <c r="U137" s="3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3"/>
      <c r="U138" s="3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3"/>
      <c r="U139" s="3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3"/>
      <c r="U140" s="3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3"/>
      <c r="U141" s="3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3"/>
      <c r="U142" s="3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3"/>
      <c r="U143" s="3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3"/>
      <c r="U144" s="3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3"/>
      <c r="U145" s="3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3"/>
      <c r="U146" s="3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3"/>
      <c r="U147" s="3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3"/>
      <c r="U148" s="3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3"/>
      <c r="U149" s="3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3"/>
      <c r="U150" s="3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3"/>
      <c r="U151" s="3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3"/>
      <c r="U152" s="3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3"/>
      <c r="U153" s="3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3"/>
      <c r="U154" s="3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3"/>
      <c r="U155" s="3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3"/>
      <c r="U156" s="3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3"/>
      <c r="U157" s="3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3"/>
      <c r="U158" s="3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3"/>
      <c r="U159" s="3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3"/>
      <c r="U160" s="3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3"/>
      <c r="U161" s="3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3"/>
      <c r="U162" s="3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3"/>
      <c r="U163" s="3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3"/>
      <c r="U164" s="3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3"/>
      <c r="U165" s="3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3"/>
      <c r="U166" s="3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3"/>
      <c r="U167" s="3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3"/>
      <c r="U168" s="3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3"/>
      <c r="U169" s="3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3"/>
      <c r="U170" s="3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3"/>
      <c r="U171" s="3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3"/>
      <c r="U172" s="3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3"/>
      <c r="U173" s="3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3"/>
      <c r="U174" s="3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3"/>
      <c r="U175" s="3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3"/>
      <c r="U176" s="3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3"/>
      <c r="U177" s="3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3"/>
      <c r="U178" s="3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3"/>
      <c r="U179" s="3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3"/>
      <c r="U180" s="3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3"/>
      <c r="U181" s="3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3"/>
      <c r="U182" s="3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3"/>
      <c r="U183" s="3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3"/>
      <c r="U184" s="3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3"/>
      <c r="U185" s="3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3"/>
      <c r="U186" s="3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3"/>
      <c r="U187" s="3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3"/>
      <c r="U188" s="3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3"/>
      <c r="U189" s="3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3"/>
      <c r="U190" s="3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3"/>
      <c r="U191" s="3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3"/>
      <c r="U192" s="3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3"/>
      <c r="U193" s="3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3"/>
      <c r="U194" s="3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3"/>
      <c r="U195" s="3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3"/>
      <c r="U196" s="3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3"/>
      <c r="U197" s="3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3"/>
      <c r="U198" s="3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3"/>
      <c r="U199" s="3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3"/>
      <c r="U200" s="3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3"/>
      <c r="U201" s="3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3"/>
      <c r="U202" s="3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3"/>
      <c r="U203" s="3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3"/>
      <c r="U204" s="3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3"/>
      <c r="U205" s="3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3"/>
      <c r="U206" s="3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3"/>
      <c r="U207" s="3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3"/>
      <c r="U208" s="3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3"/>
      <c r="U209" s="3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3"/>
      <c r="U210" s="3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3"/>
      <c r="U211" s="3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3"/>
      <c r="U212" s="3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3"/>
      <c r="U213" s="3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3"/>
      <c r="U214" s="3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3"/>
      <c r="U215" s="3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3"/>
      <c r="U216" s="3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3"/>
      <c r="U217" s="3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3"/>
      <c r="U218" s="3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3"/>
      <c r="U219" s="3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3"/>
      <c r="U220" s="3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3"/>
      <c r="U221" s="3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3"/>
      <c r="U222" s="3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3"/>
      <c r="U223" s="3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3"/>
      <c r="U224" s="3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3"/>
      <c r="U225" s="3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3"/>
      <c r="U226" s="3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3"/>
      <c r="U227" s="3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3"/>
      <c r="U228" s="3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3"/>
      <c r="U229" s="3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3"/>
      <c r="U230" s="3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3"/>
      <c r="U231" s="3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3"/>
      <c r="U232" s="3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3"/>
      <c r="U233" s="3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3"/>
      <c r="U234" s="3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3"/>
      <c r="U235" s="3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3"/>
      <c r="U236" s="3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3"/>
      <c r="U237" s="3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3"/>
      <c r="U238" s="3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3"/>
      <c r="U239" s="3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3"/>
      <c r="U240" s="3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3"/>
      <c r="U241" s="3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3"/>
      <c r="U242" s="3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3"/>
      <c r="U243" s="3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3"/>
      <c r="U244" s="3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3"/>
      <c r="U245" s="3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3"/>
      <c r="U246" s="3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3"/>
      <c r="U247" s="3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3"/>
      <c r="U248" s="3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3"/>
      <c r="U249" s="3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3"/>
      <c r="U250" s="3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3"/>
      <c r="U251" s="3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3"/>
      <c r="U252" s="3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3"/>
      <c r="U253" s="3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3"/>
      <c r="U254" s="3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3"/>
      <c r="U255" s="3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3"/>
      <c r="U256" s="3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3"/>
      <c r="U257" s="3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3"/>
      <c r="U258" s="3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3"/>
      <c r="U259" s="3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3"/>
      <c r="U260" s="3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3"/>
      <c r="U261" s="3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3"/>
      <c r="U262" s="3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3"/>
      <c r="U263" s="3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3"/>
      <c r="U264" s="3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3"/>
      <c r="U265" s="3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3"/>
      <c r="U266" s="3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3"/>
      <c r="U267" s="3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3"/>
      <c r="U268" s="3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3"/>
      <c r="U269" s="3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3"/>
      <c r="U270" s="3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3"/>
      <c r="U271" s="3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3"/>
      <c r="U272" s="3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3"/>
      <c r="U273" s="3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3"/>
      <c r="U274" s="3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3"/>
      <c r="U275" s="3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3"/>
      <c r="U276" s="3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3"/>
      <c r="U277" s="3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3"/>
      <c r="U278" s="3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3"/>
      <c r="U279" s="3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3"/>
      <c r="U280" s="3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3"/>
      <c r="U281" s="3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3"/>
      <c r="U282" s="3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3"/>
      <c r="U283" s="3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3"/>
      <c r="U284" s="3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3"/>
      <c r="U285" s="3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3"/>
      <c r="U286" s="3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3"/>
      <c r="U287" s="3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3"/>
      <c r="U288" s="3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3"/>
      <c r="U289" s="3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3"/>
      <c r="U290" s="3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3"/>
      <c r="U291" s="3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3"/>
      <c r="U292" s="3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3"/>
      <c r="U293" s="3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3"/>
      <c r="U294" s="3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3"/>
      <c r="U295" s="3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3"/>
      <c r="U296" s="3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3"/>
      <c r="U297" s="3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3"/>
      <c r="U298" s="3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3"/>
      <c r="U299" s="3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3"/>
      <c r="U300" s="3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3"/>
      <c r="U301" s="3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3"/>
      <c r="U302" s="3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3"/>
      <c r="U303" s="3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3"/>
      <c r="U304" s="3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3"/>
      <c r="U305" s="3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3"/>
      <c r="U306" s="3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3"/>
      <c r="U307" s="3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3"/>
      <c r="U308" s="3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3"/>
      <c r="U309" s="3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3"/>
      <c r="U310" s="3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3"/>
      <c r="U311" s="3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3"/>
      <c r="U312" s="3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3"/>
      <c r="U313" s="3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3"/>
      <c r="U314" s="3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3"/>
      <c r="U315" s="3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3"/>
      <c r="U316" s="3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3"/>
      <c r="U317" s="3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3"/>
      <c r="U318" s="3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3"/>
      <c r="U319" s="3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3"/>
      <c r="U320" s="3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3"/>
      <c r="U321" s="3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3"/>
      <c r="U322" s="3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3"/>
      <c r="U323" s="3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3"/>
      <c r="U324" s="3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3"/>
      <c r="U325" s="3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3"/>
      <c r="U326" s="3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3"/>
      <c r="U327" s="3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3"/>
      <c r="U328" s="3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3"/>
      <c r="U329" s="3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3"/>
      <c r="U330" s="3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3"/>
      <c r="U331" s="3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3"/>
      <c r="U332" s="3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3"/>
      <c r="U333" s="3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3"/>
      <c r="U334" s="3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3"/>
      <c r="U335" s="3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3"/>
      <c r="U336" s="3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3"/>
      <c r="U337" s="3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3"/>
      <c r="U338" s="3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3"/>
      <c r="U339" s="3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3"/>
      <c r="U340" s="3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3"/>
      <c r="U341" s="3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3"/>
      <c r="U342" s="3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3"/>
      <c r="U343" s="3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3"/>
      <c r="U344" s="3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3"/>
      <c r="U345" s="3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3"/>
      <c r="U346" s="3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3"/>
      <c r="U347" s="3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3"/>
      <c r="U348" s="3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3"/>
      <c r="U349" s="3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3"/>
      <c r="U350" s="3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3"/>
      <c r="U351" s="3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3"/>
      <c r="U352" s="3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3"/>
      <c r="U353" s="3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3"/>
      <c r="U354" s="3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3"/>
      <c r="U355" s="3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3"/>
      <c r="U356" s="3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3"/>
      <c r="U357" s="3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3"/>
      <c r="U358" s="3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3"/>
      <c r="U359" s="3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3"/>
      <c r="U360" s="3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3"/>
      <c r="U361" s="3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3"/>
      <c r="U362" s="3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3"/>
      <c r="U363" s="3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3"/>
      <c r="U364" s="3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3"/>
      <c r="U365" s="3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3"/>
      <c r="U366" s="3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3"/>
      <c r="U367" s="3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3"/>
      <c r="U368" s="3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3"/>
      <c r="U369" s="3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3"/>
      <c r="U370" s="3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3"/>
      <c r="U371" s="3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3"/>
      <c r="U372" s="3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3"/>
      <c r="U373" s="3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3"/>
      <c r="U374" s="3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3"/>
      <c r="U375" s="3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3"/>
      <c r="U376" s="3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3"/>
      <c r="U377" s="3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3"/>
      <c r="U378" s="3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3"/>
      <c r="U379" s="3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3"/>
      <c r="U380" s="3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3"/>
      <c r="U381" s="3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3"/>
      <c r="U382" s="3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3"/>
      <c r="U383" s="3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3"/>
      <c r="U384" s="3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3"/>
      <c r="U385" s="3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3"/>
      <c r="U386" s="3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3"/>
      <c r="U387" s="3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3"/>
      <c r="U388" s="3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3"/>
      <c r="U389" s="3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3"/>
      <c r="U390" s="3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3"/>
      <c r="U391" s="3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3"/>
      <c r="U392" s="3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3"/>
      <c r="U393" s="3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3"/>
      <c r="U394" s="3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3"/>
      <c r="U395" s="3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3"/>
      <c r="U396" s="3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3"/>
      <c r="U397" s="3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3"/>
      <c r="U398" s="3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3"/>
      <c r="U399" s="3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3"/>
      <c r="U400" s="3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3"/>
      <c r="U401" s="3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3"/>
      <c r="U402" s="3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3"/>
      <c r="U403" s="3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3"/>
      <c r="U404" s="3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3"/>
      <c r="U405" s="3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3"/>
      <c r="U406" s="3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3"/>
      <c r="U407" s="3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3"/>
      <c r="U408" s="3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3"/>
      <c r="U409" s="3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3"/>
      <c r="U410" s="3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3"/>
      <c r="U411" s="3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3"/>
      <c r="U412" s="3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3"/>
      <c r="U413" s="3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3"/>
      <c r="U414" s="3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3"/>
      <c r="U415" s="3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3"/>
      <c r="U416" s="3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3"/>
      <c r="U417" s="3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3"/>
      <c r="U418" s="3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3"/>
      <c r="U419" s="3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3"/>
      <c r="U420" s="3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3"/>
      <c r="U421" s="3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3"/>
      <c r="U422" s="3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3"/>
      <c r="U423" s="3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3"/>
      <c r="U424" s="3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3"/>
      <c r="U425" s="3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3"/>
      <c r="U426" s="3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3"/>
      <c r="U427" s="3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3"/>
      <c r="U428" s="3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3"/>
      <c r="U429" s="3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3"/>
      <c r="U430" s="3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3"/>
      <c r="U431" s="3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3"/>
      <c r="U432" s="3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3"/>
      <c r="U433" s="3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3"/>
      <c r="U434" s="3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3"/>
      <c r="U435" s="3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3"/>
      <c r="U436" s="3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3"/>
      <c r="U437" s="3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3"/>
      <c r="U438" s="3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3"/>
      <c r="U439" s="3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3"/>
      <c r="U440" s="3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3"/>
      <c r="U441" s="3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3"/>
      <c r="U442" s="3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3"/>
      <c r="U443" s="3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3"/>
      <c r="U444" s="3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3"/>
      <c r="U445" s="3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3"/>
      <c r="U446" s="3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3"/>
      <c r="U447" s="3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3"/>
      <c r="U448" s="3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3"/>
      <c r="U449" s="3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3"/>
      <c r="U450" s="3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3"/>
      <c r="U451" s="3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3"/>
      <c r="U452" s="3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3"/>
      <c r="U453" s="3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3"/>
      <c r="U454" s="3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3"/>
      <c r="U455" s="3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3"/>
      <c r="U456" s="3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3"/>
      <c r="U457" s="3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3"/>
      <c r="U458" s="3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3"/>
      <c r="U459" s="3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3"/>
      <c r="U460" s="3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3"/>
      <c r="U461" s="3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3"/>
      <c r="U462" s="3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3"/>
      <c r="U463" s="3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3"/>
      <c r="U464" s="3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3"/>
      <c r="U465" s="3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3"/>
      <c r="U466" s="3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3"/>
      <c r="U467" s="3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3"/>
      <c r="U468" s="3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3"/>
      <c r="U469" s="3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3"/>
      <c r="U470" s="3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3"/>
      <c r="U471" s="3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3"/>
      <c r="U472" s="3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3"/>
      <c r="U473" s="3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3"/>
      <c r="U474" s="3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3"/>
      <c r="U475" s="3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3"/>
      <c r="U476" s="3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3"/>
      <c r="U477" s="3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3"/>
      <c r="U478" s="3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3"/>
      <c r="U479" s="3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3"/>
      <c r="U480" s="3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3"/>
      <c r="U481" s="3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3"/>
      <c r="U482" s="3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3"/>
      <c r="U483" s="3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3"/>
      <c r="U484" s="3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3"/>
      <c r="U485" s="3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3"/>
      <c r="U486" s="3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3"/>
      <c r="U487" s="3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3"/>
      <c r="U488" s="3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3"/>
      <c r="U489" s="3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3"/>
      <c r="U490" s="3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3"/>
      <c r="U491" s="3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3"/>
      <c r="U492" s="3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3"/>
      <c r="U493" s="3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3"/>
      <c r="U494" s="3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3"/>
      <c r="U495" s="3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3"/>
      <c r="U496" s="3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3"/>
      <c r="U497" s="3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3"/>
      <c r="U498" s="3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3"/>
      <c r="U499" s="3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3"/>
      <c r="U500" s="3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3"/>
      <c r="U501" s="3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3"/>
      <c r="U502" s="3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3"/>
      <c r="U503" s="3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3"/>
      <c r="U504" s="3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3"/>
      <c r="U505" s="3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3"/>
      <c r="U506" s="3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3"/>
      <c r="U507" s="3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3"/>
      <c r="U508" s="3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3"/>
      <c r="U509" s="3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3"/>
      <c r="U510" s="3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3"/>
      <c r="U511" s="3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3"/>
      <c r="U512" s="3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3"/>
      <c r="U513" s="3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3"/>
      <c r="U514" s="3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3"/>
      <c r="U515" s="3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3"/>
      <c r="U516" s="3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3"/>
      <c r="U517" s="3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3"/>
      <c r="U518" s="3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3"/>
      <c r="U519" s="3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3"/>
      <c r="U520" s="3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3"/>
      <c r="U521" s="3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3"/>
      <c r="U522" s="3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3"/>
      <c r="U523" s="3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3"/>
      <c r="U524" s="3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3"/>
      <c r="U525" s="3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3"/>
      <c r="U526" s="3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3"/>
      <c r="U527" s="3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3"/>
      <c r="U528" s="3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3"/>
      <c r="U529" s="3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3"/>
      <c r="U530" s="3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3"/>
      <c r="U531" s="3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3"/>
      <c r="U532" s="3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3"/>
      <c r="U533" s="3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3"/>
      <c r="U534" s="3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3"/>
      <c r="U535" s="3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3"/>
      <c r="U536" s="3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3"/>
      <c r="U537" s="3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3"/>
      <c r="U538" s="3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3"/>
      <c r="U539" s="3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3"/>
      <c r="U540" s="3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3"/>
      <c r="U541" s="3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3"/>
      <c r="U542" s="3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3"/>
      <c r="U543" s="3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3"/>
      <c r="U544" s="3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3"/>
      <c r="U545" s="3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3"/>
      <c r="U546" s="3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3"/>
      <c r="U547" s="3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3"/>
      <c r="U548" s="3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3"/>
      <c r="U549" s="3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3"/>
      <c r="U550" s="3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3"/>
      <c r="U551" s="3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3"/>
      <c r="U552" s="3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3"/>
      <c r="U553" s="3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3"/>
      <c r="U554" s="3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3"/>
      <c r="U555" s="3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3"/>
      <c r="U556" s="3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3"/>
      <c r="U557" s="3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3"/>
      <c r="U558" s="3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3"/>
      <c r="U559" s="3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3"/>
      <c r="U560" s="3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3"/>
      <c r="U561" s="3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3"/>
      <c r="U562" s="3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3"/>
      <c r="U563" s="3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3"/>
      <c r="U564" s="3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3"/>
      <c r="U565" s="3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3"/>
      <c r="U566" s="3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3"/>
      <c r="U567" s="3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3"/>
      <c r="U568" s="3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3"/>
      <c r="U569" s="3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3"/>
      <c r="U570" s="3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3"/>
      <c r="U571" s="3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3"/>
      <c r="U572" s="3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3"/>
      <c r="U573" s="3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3"/>
      <c r="U574" s="3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3"/>
      <c r="U575" s="3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3"/>
      <c r="U576" s="3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3"/>
      <c r="U577" s="3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3"/>
      <c r="U578" s="3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3"/>
      <c r="U579" s="3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3"/>
      <c r="U580" s="3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3"/>
      <c r="U581" s="3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3"/>
      <c r="U582" s="3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3"/>
      <c r="U583" s="3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3"/>
      <c r="U584" s="3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3"/>
      <c r="U585" s="3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3"/>
      <c r="U586" s="3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3"/>
      <c r="U587" s="3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3"/>
      <c r="U588" s="3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3"/>
      <c r="U589" s="3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3"/>
      <c r="U590" s="3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3"/>
      <c r="U591" s="3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3"/>
      <c r="U592" s="3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3"/>
      <c r="U593" s="3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3"/>
      <c r="U594" s="3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3"/>
      <c r="U595" s="3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3"/>
      <c r="U596" s="3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3"/>
      <c r="U597" s="3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3"/>
      <c r="U598" s="3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3"/>
      <c r="U599" s="3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3"/>
      <c r="U600" s="3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3"/>
      <c r="U601" s="3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3"/>
      <c r="U602" s="3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3"/>
      <c r="U603" s="3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3"/>
      <c r="U604" s="3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3"/>
      <c r="U605" s="3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3"/>
      <c r="U606" s="3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3"/>
      <c r="U607" s="3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3"/>
      <c r="U608" s="3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3"/>
      <c r="U609" s="3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3"/>
      <c r="U610" s="3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3"/>
      <c r="U611" s="3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3"/>
      <c r="U612" s="3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3"/>
      <c r="U613" s="3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3"/>
      <c r="U614" s="3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3"/>
      <c r="U615" s="3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3"/>
      <c r="U616" s="3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3"/>
      <c r="U617" s="3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3"/>
      <c r="U618" s="3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3"/>
      <c r="U619" s="3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3"/>
      <c r="U620" s="3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3"/>
      <c r="U621" s="3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3"/>
      <c r="U622" s="3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3"/>
      <c r="U623" s="3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3"/>
      <c r="U624" s="3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3"/>
      <c r="U625" s="3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3"/>
      <c r="U626" s="3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3"/>
      <c r="U627" s="3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3"/>
      <c r="U628" s="3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3"/>
      <c r="U629" s="3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3"/>
      <c r="U630" s="3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3"/>
      <c r="U631" s="3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3"/>
      <c r="U632" s="3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3"/>
      <c r="U633" s="3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3"/>
      <c r="U634" s="3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3"/>
      <c r="U635" s="3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3"/>
      <c r="U636" s="3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3"/>
      <c r="U637" s="3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3"/>
      <c r="U638" s="3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3"/>
      <c r="U639" s="3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3"/>
      <c r="U640" s="3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3"/>
      <c r="U641" s="3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3"/>
      <c r="U642" s="3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3"/>
      <c r="U643" s="3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3"/>
      <c r="U644" s="3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3"/>
      <c r="U645" s="3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3"/>
      <c r="U646" s="3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3"/>
      <c r="U647" s="3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3"/>
      <c r="U648" s="3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3"/>
      <c r="U649" s="3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3"/>
      <c r="U650" s="3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3"/>
      <c r="U651" s="3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3"/>
      <c r="U652" s="3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3"/>
      <c r="U653" s="3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3"/>
      <c r="U654" s="3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3"/>
      <c r="U655" s="3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3"/>
      <c r="U656" s="3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3"/>
      <c r="U657" s="3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3"/>
      <c r="U658" s="3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3"/>
      <c r="U659" s="3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3"/>
      <c r="U660" s="3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3"/>
      <c r="U661" s="3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3"/>
      <c r="U662" s="3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3"/>
      <c r="U663" s="3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3"/>
      <c r="U664" s="3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3"/>
      <c r="U665" s="3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3"/>
      <c r="U666" s="3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3"/>
      <c r="U667" s="3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3"/>
      <c r="U668" s="3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3"/>
      <c r="U669" s="3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3"/>
      <c r="U670" s="3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3"/>
      <c r="U671" s="3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3"/>
      <c r="U672" s="3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3"/>
      <c r="U673" s="3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3"/>
      <c r="U674" s="3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3"/>
      <c r="U675" s="3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3"/>
      <c r="U676" s="3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3"/>
      <c r="U677" s="3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3"/>
      <c r="U678" s="3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3"/>
      <c r="U679" s="3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3"/>
      <c r="U680" s="3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3"/>
      <c r="U681" s="3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3"/>
      <c r="U682" s="3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3"/>
      <c r="U683" s="3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3"/>
      <c r="U684" s="3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3"/>
      <c r="U685" s="3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3"/>
      <c r="U686" s="3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3"/>
      <c r="U687" s="3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3"/>
      <c r="U688" s="3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3"/>
      <c r="U689" s="3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3"/>
      <c r="U690" s="3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3"/>
      <c r="U691" s="3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3"/>
      <c r="U692" s="3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3"/>
      <c r="U693" s="3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3"/>
      <c r="U694" s="3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3"/>
      <c r="U695" s="3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3"/>
      <c r="U696" s="3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3"/>
      <c r="U697" s="3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3"/>
      <c r="U698" s="3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3"/>
      <c r="U699" s="3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3"/>
      <c r="U700" s="3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3"/>
      <c r="U701" s="3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3"/>
      <c r="U702" s="3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3"/>
      <c r="U703" s="3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3"/>
      <c r="U704" s="3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3"/>
      <c r="U705" s="3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3"/>
      <c r="U706" s="3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3"/>
      <c r="U707" s="3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3"/>
      <c r="U708" s="3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3"/>
      <c r="U709" s="3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3"/>
      <c r="U710" s="3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3"/>
      <c r="U711" s="3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3"/>
      <c r="U712" s="3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3"/>
      <c r="U713" s="3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3"/>
      <c r="U714" s="3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3"/>
      <c r="U715" s="3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3"/>
      <c r="U716" s="3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3"/>
      <c r="U717" s="3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3"/>
      <c r="U718" s="3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3"/>
      <c r="U719" s="3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3"/>
      <c r="U720" s="3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3"/>
      <c r="U721" s="3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3"/>
      <c r="U722" s="3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3"/>
      <c r="U723" s="3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3"/>
      <c r="U724" s="3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3"/>
      <c r="U725" s="3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3"/>
      <c r="U726" s="3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3"/>
      <c r="U727" s="3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3"/>
      <c r="U728" s="3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3"/>
      <c r="U729" s="3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3"/>
      <c r="U730" s="3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3"/>
      <c r="U731" s="3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3"/>
      <c r="U732" s="3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3"/>
      <c r="U733" s="3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3"/>
      <c r="U734" s="3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3"/>
      <c r="U735" s="3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3"/>
      <c r="U736" s="3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3"/>
      <c r="U737" s="3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3"/>
      <c r="U738" s="3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3"/>
      <c r="U739" s="3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3"/>
      <c r="U740" s="3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3"/>
      <c r="U741" s="3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3"/>
      <c r="U742" s="3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3"/>
      <c r="U743" s="3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3"/>
      <c r="U744" s="3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3"/>
      <c r="U745" s="3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3"/>
      <c r="U746" s="3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3"/>
      <c r="U747" s="3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3"/>
      <c r="U748" s="3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3"/>
      <c r="U749" s="3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3"/>
      <c r="U750" s="3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3"/>
      <c r="U751" s="3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3"/>
      <c r="U752" s="3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3"/>
      <c r="U753" s="3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3"/>
      <c r="U754" s="3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3"/>
      <c r="U755" s="3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3"/>
      <c r="U756" s="3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3"/>
      <c r="U757" s="3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3"/>
      <c r="U758" s="3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3"/>
      <c r="U759" s="3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3"/>
      <c r="U760" s="3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3"/>
      <c r="U761" s="3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3"/>
      <c r="U762" s="3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3"/>
      <c r="U763" s="3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3"/>
      <c r="U764" s="3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3"/>
      <c r="U765" s="3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3"/>
      <c r="U766" s="3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3"/>
      <c r="U767" s="3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3"/>
      <c r="U768" s="3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3"/>
      <c r="U769" s="3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3"/>
      <c r="U770" s="3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3"/>
      <c r="U771" s="3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3"/>
      <c r="U772" s="3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3"/>
      <c r="U773" s="3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3"/>
      <c r="U774" s="3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3"/>
      <c r="U775" s="3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3"/>
      <c r="U776" s="3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3"/>
      <c r="U777" s="3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3"/>
      <c r="U778" s="3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3"/>
      <c r="U779" s="3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3"/>
      <c r="U780" s="3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3"/>
      <c r="U781" s="3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3"/>
      <c r="U782" s="3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3"/>
      <c r="U783" s="3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3"/>
      <c r="U784" s="3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3"/>
      <c r="U785" s="3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3"/>
      <c r="U786" s="3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3"/>
      <c r="U787" s="3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3"/>
      <c r="U788" s="3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3"/>
      <c r="U789" s="3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3"/>
      <c r="U790" s="3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3"/>
      <c r="U791" s="3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3"/>
      <c r="U792" s="3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3"/>
      <c r="U793" s="3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3"/>
      <c r="U794" s="3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3"/>
      <c r="U795" s="3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3"/>
      <c r="U796" s="3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3"/>
      <c r="U797" s="3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3"/>
      <c r="U798" s="3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3"/>
      <c r="U799" s="3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3"/>
      <c r="U800" s="3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3"/>
      <c r="U801" s="3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3"/>
      <c r="U802" s="3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3"/>
      <c r="U803" s="3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3"/>
      <c r="U804" s="3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3"/>
      <c r="U805" s="3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3"/>
      <c r="U806" s="3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3"/>
      <c r="U807" s="3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3"/>
      <c r="U808" s="3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3"/>
      <c r="U809" s="3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3"/>
      <c r="U810" s="3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3"/>
      <c r="U811" s="3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3"/>
      <c r="U812" s="3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3"/>
      <c r="U813" s="3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3"/>
      <c r="U814" s="3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3"/>
      <c r="U815" s="3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3"/>
      <c r="U816" s="3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3"/>
      <c r="U817" s="3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3"/>
      <c r="U818" s="3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3"/>
      <c r="U819" s="3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3"/>
      <c r="U820" s="3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3"/>
      <c r="U821" s="3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3"/>
      <c r="U822" s="3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3"/>
      <c r="U823" s="3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3"/>
      <c r="U824" s="3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3"/>
      <c r="U825" s="3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3"/>
      <c r="U826" s="3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3"/>
      <c r="U827" s="3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3"/>
      <c r="U828" s="3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3"/>
      <c r="U829" s="3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3"/>
      <c r="U830" s="3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3"/>
      <c r="U831" s="3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3"/>
      <c r="U832" s="3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3"/>
      <c r="U833" s="3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3"/>
      <c r="U834" s="3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3"/>
      <c r="U835" s="3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3"/>
      <c r="U836" s="3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3"/>
      <c r="U837" s="3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3"/>
      <c r="U838" s="3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3"/>
      <c r="U839" s="3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3"/>
      <c r="U840" s="3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3"/>
      <c r="U841" s="3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3"/>
      <c r="U842" s="3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3"/>
      <c r="U843" s="3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3"/>
      <c r="U844" s="3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3"/>
      <c r="U845" s="3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3"/>
      <c r="U846" s="3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3"/>
      <c r="U847" s="3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3"/>
      <c r="U848" s="3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3"/>
      <c r="U849" s="3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3"/>
      <c r="U850" s="3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3"/>
      <c r="U851" s="3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3"/>
      <c r="U852" s="3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3"/>
      <c r="U853" s="3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3"/>
      <c r="U854" s="3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3"/>
      <c r="U855" s="3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3"/>
      <c r="U856" s="3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3"/>
      <c r="U857" s="3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3"/>
      <c r="U858" s="3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3"/>
      <c r="U859" s="3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3"/>
      <c r="U860" s="3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3"/>
      <c r="U861" s="3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3"/>
      <c r="U862" s="3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3"/>
      <c r="U863" s="3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3"/>
      <c r="U864" s="3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3"/>
      <c r="U865" s="3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3"/>
      <c r="U866" s="3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3"/>
      <c r="U867" s="3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3"/>
      <c r="U868" s="3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3"/>
      <c r="U869" s="3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3"/>
      <c r="U870" s="3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3"/>
      <c r="U871" s="3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3"/>
      <c r="U872" s="3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3"/>
      <c r="U873" s="3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3"/>
      <c r="U874" s="3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3"/>
      <c r="U875" s="3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3"/>
      <c r="U876" s="3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3"/>
      <c r="U877" s="3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3"/>
      <c r="U878" s="3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3"/>
      <c r="U879" s="3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3"/>
      <c r="U880" s="3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3"/>
      <c r="U881" s="3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3"/>
      <c r="U882" s="3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3"/>
      <c r="U883" s="3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3"/>
      <c r="U884" s="3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3"/>
      <c r="U885" s="3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3"/>
      <c r="U886" s="3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3"/>
      <c r="U887" s="3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3"/>
      <c r="U888" s="3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3"/>
      <c r="U889" s="3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3"/>
      <c r="U890" s="3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3"/>
      <c r="U891" s="3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3"/>
      <c r="U892" s="3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3"/>
      <c r="U893" s="3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3"/>
      <c r="U894" s="3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3"/>
      <c r="U895" s="3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3"/>
      <c r="U896" s="3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3"/>
      <c r="U897" s="3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3"/>
      <c r="U898" s="3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3"/>
      <c r="U899" s="3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3"/>
      <c r="U900" s="3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3"/>
      <c r="U901" s="3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3"/>
      <c r="U902" s="3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3"/>
      <c r="U903" s="3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3"/>
      <c r="U904" s="3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3"/>
      <c r="U905" s="3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3"/>
      <c r="U906" s="3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3"/>
      <c r="U907" s="3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3"/>
      <c r="U908" s="3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3"/>
      <c r="U909" s="3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3"/>
      <c r="U910" s="3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3"/>
      <c r="U911" s="3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3"/>
      <c r="U912" s="3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3"/>
      <c r="U913" s="3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3"/>
      <c r="U914" s="3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3"/>
      <c r="U915" s="3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3"/>
      <c r="U916" s="3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3"/>
      <c r="U917" s="3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3"/>
      <c r="U918" s="3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3"/>
      <c r="U919" s="3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3"/>
      <c r="U920" s="3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3"/>
      <c r="U921" s="3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3"/>
      <c r="U922" s="3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3"/>
      <c r="U923" s="3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3"/>
      <c r="U924" s="3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3"/>
      <c r="U925" s="3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3"/>
      <c r="U926" s="3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3"/>
      <c r="U927" s="3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3"/>
      <c r="U928" s="3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3"/>
      <c r="U929" s="3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3"/>
      <c r="U930" s="3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3"/>
      <c r="U931" s="3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3"/>
      <c r="U932" s="3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3"/>
      <c r="U933" s="3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3"/>
      <c r="U934" s="3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3"/>
      <c r="U935" s="3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3"/>
      <c r="U936" s="3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3"/>
      <c r="U937" s="3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3"/>
      <c r="U938" s="3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3"/>
      <c r="U939" s="3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3"/>
      <c r="U940" s="3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3"/>
      <c r="U941" s="3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3"/>
      <c r="U942" s="3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3"/>
      <c r="U943" s="3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3"/>
      <c r="U944" s="3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3"/>
      <c r="U945" s="3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3"/>
      <c r="U946" s="3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3"/>
      <c r="U947" s="3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3"/>
      <c r="U948" s="3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3"/>
      <c r="U949" s="3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3"/>
      <c r="U950" s="3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3"/>
      <c r="U951" s="3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3"/>
      <c r="U952" s="3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3"/>
      <c r="U953" s="3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3"/>
      <c r="U954" s="3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3"/>
      <c r="U955" s="3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3"/>
      <c r="U956" s="3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3"/>
      <c r="U957" s="3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3"/>
      <c r="U958" s="3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3"/>
      <c r="U959" s="3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3"/>
      <c r="U960" s="3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3"/>
      <c r="U961" s="3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3"/>
      <c r="U962" s="3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3"/>
      <c r="U963" s="3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3"/>
      <c r="U964" s="3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3"/>
      <c r="U965" s="3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3"/>
      <c r="U966" s="3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3"/>
      <c r="U967" s="3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3"/>
      <c r="U968" s="3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3"/>
      <c r="U969" s="3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3"/>
      <c r="U970" s="3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3"/>
      <c r="U971" s="3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3"/>
      <c r="U972" s="3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3"/>
      <c r="U973" s="3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3"/>
      <c r="U974" s="3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3"/>
      <c r="U975" s="3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3"/>
      <c r="U976" s="3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3"/>
      <c r="U977" s="3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3"/>
      <c r="U978" s="3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3"/>
      <c r="U979" s="3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3"/>
      <c r="U980" s="3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3"/>
      <c r="U981" s="3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3"/>
      <c r="U982" s="3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3"/>
      <c r="U983" s="3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3"/>
      <c r="U984" s="3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3"/>
      <c r="U985" s="3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3"/>
      <c r="U986" s="3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3"/>
      <c r="U987" s="3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3"/>
      <c r="U988" s="3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3"/>
      <c r="U989" s="3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3"/>
      <c r="U990" s="3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3"/>
      <c r="U991" s="3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3"/>
      <c r="U992" s="3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3"/>
      <c r="U993" s="3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3"/>
      <c r="U994" s="3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3"/>
      <c r="U995" s="3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3"/>
      <c r="U996" s="3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3"/>
      <c r="U997" s="3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3"/>
      <c r="U998" s="3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3"/>
      <c r="U999" s="3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3"/>
      <c r="U1000" s="3"/>
      <c r="V1000" s="1"/>
      <c r="W1000" s="1"/>
      <c r="X1000" s="1"/>
      <c r="Y1000" s="1"/>
      <c r="Z1000" s="1"/>
    </row>
  </sheetData>
  <mergeCells count="33">
    <mergeCell ref="T2:V2"/>
    <mergeCell ref="R33:R46"/>
    <mergeCell ref="N58:Q58"/>
    <mergeCell ref="A3:B3"/>
    <mergeCell ref="T3:V3"/>
    <mergeCell ref="J5:M5"/>
    <mergeCell ref="N5:P5"/>
    <mergeCell ref="R6:R31"/>
    <mergeCell ref="N12:P12"/>
    <mergeCell ref="H12:I12"/>
    <mergeCell ref="J12:M12"/>
    <mergeCell ref="H5:I5"/>
    <mergeCell ref="H19:I19"/>
    <mergeCell ref="J19:M19"/>
    <mergeCell ref="N19:P19"/>
    <mergeCell ref="N26:P26"/>
    <mergeCell ref="U33:V33"/>
    <mergeCell ref="N59:Q59"/>
    <mergeCell ref="H33:I33"/>
    <mergeCell ref="R47:R53"/>
    <mergeCell ref="R54:R60"/>
    <mergeCell ref="N47:P47"/>
    <mergeCell ref="J47:M47"/>
    <mergeCell ref="N55:Q55"/>
    <mergeCell ref="H56:M59"/>
    <mergeCell ref="N56:Q56"/>
    <mergeCell ref="H26:I26"/>
    <mergeCell ref="J26:M26"/>
    <mergeCell ref="J33:M33"/>
    <mergeCell ref="N33:P33"/>
    <mergeCell ref="H40:I40"/>
    <mergeCell ref="N40:P40"/>
    <mergeCell ref="J40:M40"/>
  </mergeCells>
  <conditionalFormatting sqref="U6:U7">
    <cfRule type="expression" dxfId="16" priority="1">
      <formula>$T$6=$T$7</formula>
    </cfRule>
  </conditionalFormatting>
  <conditionalFormatting sqref="U9:U10">
    <cfRule type="expression" dxfId="15" priority="2">
      <formula>$T$9=$T$10</formula>
    </cfRule>
  </conditionalFormatting>
  <conditionalFormatting sqref="U13:U14">
    <cfRule type="expression" dxfId="14" priority="3">
      <formula>$T$13=$T$14</formula>
    </cfRule>
  </conditionalFormatting>
  <conditionalFormatting sqref="U16:U17">
    <cfRule type="expression" dxfId="13" priority="4">
      <formula>$T$16=$T$17</formula>
    </cfRule>
  </conditionalFormatting>
  <conditionalFormatting sqref="U23:U24">
    <cfRule type="expression" dxfId="12" priority="5">
      <formula>$T$23=$T$24</formula>
    </cfRule>
  </conditionalFormatting>
  <conditionalFormatting sqref="U20:U21">
    <cfRule type="expression" dxfId="11" priority="6">
      <formula>$T$20=$T$21</formula>
    </cfRule>
  </conditionalFormatting>
  <conditionalFormatting sqref="U30:U31">
    <cfRule type="expression" dxfId="10" priority="7">
      <formula>$T$30=$T$31</formula>
    </cfRule>
  </conditionalFormatting>
  <conditionalFormatting sqref="U27:U28">
    <cfRule type="expression" dxfId="9" priority="8">
      <formula>$T$27=$T$28</formula>
    </cfRule>
  </conditionalFormatting>
  <conditionalFormatting sqref="U34:U35">
    <cfRule type="expression" dxfId="8" priority="9">
      <formula>$T$34=$T$35</formula>
    </cfRule>
  </conditionalFormatting>
  <conditionalFormatting sqref="U37:U38">
    <cfRule type="expression" dxfId="7" priority="10">
      <formula>$T$37=$T$38</formula>
    </cfRule>
  </conditionalFormatting>
  <conditionalFormatting sqref="U41:U42">
    <cfRule type="expression" dxfId="6" priority="11">
      <formula>$T$41=$T$42</formula>
    </cfRule>
  </conditionalFormatting>
  <conditionalFormatting sqref="U44:U45">
    <cfRule type="expression" dxfId="5" priority="12">
      <formula>$T$44=$T$45</formula>
    </cfRule>
  </conditionalFormatting>
  <conditionalFormatting sqref="U48:U49">
    <cfRule type="expression" dxfId="4" priority="13">
      <formula>$T$48=$T$49</formula>
    </cfRule>
  </conditionalFormatting>
  <conditionalFormatting sqref="U51:U52">
    <cfRule type="expression" dxfId="3" priority="14">
      <formula>$T$51=$T$52</formula>
    </cfRule>
  </conditionalFormatting>
  <conditionalFormatting sqref="U55:U56">
    <cfRule type="expression" dxfId="2" priority="15">
      <formula>$T$55=$T$56</formula>
    </cfRule>
  </conditionalFormatting>
  <conditionalFormatting sqref="U58:U59">
    <cfRule type="expression" dxfId="1" priority="16">
      <formula>$T$58=$T$59</formula>
    </cfRule>
  </conditionalFormatting>
  <conditionalFormatting sqref="H56:M59">
    <cfRule type="expression" dxfId="0" priority="17">
      <formula>COUNTIF($G$7:$H$54,"‼")</formula>
    </cfRule>
  </conditionalFormatting>
  <dataValidations disablePrompts="1" count="1">
    <dataValidation type="list" allowBlank="1" showInputMessage="1" showErrorMessage="1" prompt=" - " sqref="T2" xr:uid="{00000000-0002-0000-0700-000000000000}">
      <formula1>$J$46:$P$46</formula1>
    </dataValidation>
  </dataValidations>
  <printOptions gridLines="1"/>
  <pageMargins left="0" right="0" top="0" bottom="0" header="0" footer="0"/>
  <pageSetup paperSize="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1000"/>
  <sheetViews>
    <sheetView workbookViewId="0">
      <selection activeCell="L3" sqref="L3:O15"/>
    </sheetView>
  </sheetViews>
  <sheetFormatPr baseColWidth="10" defaultColWidth="14.42578125" defaultRowHeight="15" customHeight="1"/>
  <cols>
    <col min="1" max="10" width="2.7109375" customWidth="1"/>
    <col min="11" max="11" width="19.42578125" customWidth="1"/>
    <col min="12" max="16" width="2.7109375" customWidth="1"/>
    <col min="17" max="17" width="12" customWidth="1"/>
    <col min="18" max="18" width="10" customWidth="1"/>
    <col min="19" max="19" width="12" customWidth="1"/>
    <col min="20" max="20" width="10" customWidth="1"/>
    <col min="21" max="22" width="11.42578125" customWidth="1"/>
    <col min="23" max="32" width="10" customWidth="1"/>
  </cols>
  <sheetData>
    <row r="1" spans="1:31" ht="12.75" customHeight="1">
      <c r="A1" s="1"/>
      <c r="C1" s="1">
        <f>MATCH('H1'!T2,D1:J1,0)</f>
        <v>4</v>
      </c>
      <c r="D1" s="1" t="s">
        <v>2</v>
      </c>
      <c r="E1" s="7" t="s">
        <v>3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7</v>
      </c>
      <c r="K1" s="1" t="str">
        <f t="shared" ref="K1:K70" si="0">VLOOKUP(D1,D1:J1,C$1,0)</f>
        <v>español</v>
      </c>
      <c r="L1" s="8" t="s">
        <v>9</v>
      </c>
      <c r="M1" s="9" t="s">
        <v>10</v>
      </c>
      <c r="N1" s="9" t="s">
        <v>11</v>
      </c>
      <c r="O1" s="10" t="s">
        <v>12</v>
      </c>
      <c r="U1" s="3"/>
      <c r="V1" s="1"/>
    </row>
    <row r="2" spans="1:31" ht="12.75" customHeight="1">
      <c r="A2" s="1"/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tr">
        <f t="shared" si="0"/>
        <v>Diferencia  ± GMT</v>
      </c>
      <c r="L2" s="3" t="s">
        <v>20</v>
      </c>
      <c r="M2" s="3" t="s">
        <v>21</v>
      </c>
      <c r="N2" s="3" t="s">
        <v>9</v>
      </c>
      <c r="O2" s="3" t="s">
        <v>10</v>
      </c>
      <c r="P2" s="1">
        <f t="shared" ref="P2:P16" si="1">CODE(L2)*CODE(M2)*CODE(N2)*CODE(O2)</f>
        <v>19545240</v>
      </c>
      <c r="U2" s="3"/>
      <c r="V2" s="1"/>
    </row>
    <row r="3" spans="1:31" ht="12.75" customHeight="1">
      <c r="A3" s="3">
        <f>SUMIF('H1'!D5:D10,'H1'!D5,'H1'!G5:G10)+SUMIF('H1'!F5:F10,'H1'!D5,'H1'!E5:E10)</f>
        <v>0</v>
      </c>
      <c r="B3" s="3">
        <f>SUMIF('H1'!D5:D10,'H1'!D5,'H1'!E5:E10)+SUMIF('H1'!F5:F10,'H1'!D5,'H1'!G5:G10)-A3</f>
        <v>7</v>
      </c>
      <c r="C3" s="3">
        <f>SUMPRODUCT(('H1'!D5:D10='H1'!D5)*('H1'!E5:E10&gt;'H1'!G5:G10)+('H1'!F5:F10='H1'!D5)*('H1'!E5:E10&lt;'H1'!G5:G10)+('H1'!D5:F10='H1'!D5)*('H1'!E5:E10='H1'!G5:G10)*('H1'!E5:E10&lt;&gt;""))+(B3+50)*0.001+A3*0.00001-VLOOKUP('H1'!D5,$K$27:$L$50,2,0)*0.0000001</f>
        <v>9.056999900000001</v>
      </c>
      <c r="D3" s="1" t="s">
        <v>22</v>
      </c>
      <c r="E3" s="7" t="s">
        <v>22</v>
      </c>
      <c r="F3" s="1" t="s">
        <v>23</v>
      </c>
      <c r="G3" s="1" t="s">
        <v>24</v>
      </c>
      <c r="H3" s="1" t="s">
        <v>22</v>
      </c>
      <c r="I3" s="1" t="s">
        <v>22</v>
      </c>
      <c r="J3" s="1" t="s">
        <v>25</v>
      </c>
      <c r="K3" s="1" t="str">
        <f t="shared" si="0"/>
        <v xml:space="preserve">   ««« CAMPEÓN »»»</v>
      </c>
      <c r="L3" s="3" t="s">
        <v>20</v>
      </c>
      <c r="M3" s="3" t="s">
        <v>11</v>
      </c>
      <c r="N3" s="3" t="s">
        <v>9</v>
      </c>
      <c r="O3" s="3" t="s">
        <v>10</v>
      </c>
      <c r="P3" s="1">
        <f t="shared" si="1"/>
        <v>19832670</v>
      </c>
      <c r="U3" s="1"/>
      <c r="V3" s="3"/>
    </row>
    <row r="4" spans="1:31" ht="12.75" customHeight="1">
      <c r="A4" s="3">
        <f>SUMIF('H1'!D5:D10,'H1'!D6,'H1'!G5:G10)+SUMIF('H1'!F5:F10,'H1'!D6,'H1'!E5:E10)</f>
        <v>2</v>
      </c>
      <c r="B4" s="3">
        <f>SUMIF('H1'!D5:D10,'H1'!D6,'H1'!E5:E10)+SUMIF('H1'!F5:F10,'H1'!D6,'H1'!G5:G10)-A4</f>
        <v>1</v>
      </c>
      <c r="C4" s="3">
        <f>SUMPRODUCT(('H1'!D5:D10='H1'!D6)*('H1'!E5:E10&gt;'H1'!G5:G10)+('H1'!F5:F10='H1'!D6)*('H1'!E5:E10&lt;'H1'!G5:G10)+('H1'!D5:F10='H1'!D6)*('H1'!E5:E10='H1'!G5:G10)*('H1'!E5:E10&lt;&gt;""))+(B4+50)*0.001+A4*0.00001-VLOOKUP('H1'!D6,$K$27:$L$50,2,0)*0.0000001</f>
        <v>4.0510198000000006</v>
      </c>
      <c r="D4" s="1" t="s">
        <v>26</v>
      </c>
      <c r="E4" s="7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tr">
        <f t="shared" si="0"/>
        <v xml:space="preserve">programa de la copa EURO </v>
      </c>
      <c r="L4" s="3" t="s">
        <v>20</v>
      </c>
      <c r="M4" s="3" t="s">
        <v>12</v>
      </c>
      <c r="N4" s="3" t="s">
        <v>9</v>
      </c>
      <c r="O4" s="3" t="s">
        <v>10</v>
      </c>
      <c r="P4" s="1">
        <f t="shared" si="1"/>
        <v>20120100</v>
      </c>
      <c r="U4" s="1"/>
      <c r="V4" s="3"/>
    </row>
    <row r="5" spans="1:31" ht="12.75" customHeight="1">
      <c r="A5" s="3">
        <f>SUMIF('H1'!D5:D10,'H1'!D7,'H1'!G5:G10)+SUMIF('H1'!F5:F10,'H1'!D7,'H1'!E5:E10)</f>
        <v>8</v>
      </c>
      <c r="B5" s="3">
        <f>SUMIF('H1'!D5:D10,'H1'!D7,'H1'!E5:E10)+SUMIF('H1'!F5:F10,'H1'!D7,'H1'!G5:G10)-A5</f>
        <v>-7</v>
      </c>
      <c r="C5" s="3">
        <f>SUMPRODUCT(('H1'!D5:D10='H1'!D7)*('H1'!E5:E10&gt;'H1'!G5:G10)+('H1'!F5:F10='H1'!D7)*('H1'!E5:E10&lt;'H1'!G5:G10)+('H1'!D5:F10='H1'!D7)*('H1'!E5:E10='H1'!G5:G10)*('H1'!E5:E10&lt;&gt;""))+(B5+50)*0.001+A5*0.00001-VLOOKUP('H1'!D7,$K$27:$L$50,2,0)*0.0000001</f>
        <v>4.3079699999999999E-2</v>
      </c>
      <c r="D5" s="1" t="s">
        <v>33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34</v>
      </c>
      <c r="K5" s="1" t="str">
        <f t="shared" si="0"/>
        <v>super</v>
      </c>
      <c r="L5" s="3" t="s">
        <v>21</v>
      </c>
      <c r="M5" s="3" t="s">
        <v>11</v>
      </c>
      <c r="N5" s="3" t="s">
        <v>20</v>
      </c>
      <c r="O5" s="3" t="s">
        <v>9</v>
      </c>
      <c r="P5" s="1">
        <f t="shared" si="1"/>
        <v>20128680</v>
      </c>
      <c r="U5" s="1"/>
      <c r="V5" s="3"/>
      <c r="W5" s="3"/>
    </row>
    <row r="6" spans="1:31" ht="12.75" customHeight="1">
      <c r="A6" s="3">
        <f>SUMIF('H1'!D5:D10,'H1'!D8,'H1'!G5:G10)+SUMIF('H1'!F5:F10,'H1'!D8,'H1'!E5:E10)</f>
        <v>5</v>
      </c>
      <c r="B6" s="3">
        <f>SUMIF('H1'!D5:D10,'H1'!D8,'H1'!E5:E10)+SUMIF('H1'!F5:F10,'H1'!D8,'H1'!G5:G10)-A6</f>
        <v>-1</v>
      </c>
      <c r="C6" s="3">
        <f>SUMPRODUCT(('H1'!D5:D10='H1'!D8)*('H1'!E5:E10&gt;'H1'!G5:G10)+('H1'!F5:F10='H1'!D8)*('H1'!E5:E10&lt;'H1'!G5:G10)+('H1'!D5:F10='H1'!D8)*('H1'!E5:E10='H1'!G5:G10)*('H1'!E5:E10&lt;&gt;""))+(B6+50)*0.001+A6*0.00001-VLOOKUP('H1'!D8,$K$27:$L$50,2,0)*0.0000001</f>
        <v>4.0490496</v>
      </c>
      <c r="D6" s="1" t="s">
        <v>35</v>
      </c>
      <c r="E6" s="7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tr">
        <f t="shared" si="0"/>
        <v>ciudad</v>
      </c>
      <c r="L6" s="3" t="s">
        <v>21</v>
      </c>
      <c r="M6" s="3" t="s">
        <v>12</v>
      </c>
      <c r="N6" s="3" t="s">
        <v>20</v>
      </c>
      <c r="O6" s="3" t="s">
        <v>9</v>
      </c>
      <c r="P6" s="1">
        <f t="shared" si="1"/>
        <v>20420400</v>
      </c>
      <c r="U6" s="1"/>
      <c r="V6" s="3"/>
    </row>
    <row r="7" spans="1:31" ht="12.75" customHeight="1">
      <c r="A7" s="1"/>
      <c r="B7" s="3"/>
      <c r="D7" s="1" t="s">
        <v>42</v>
      </c>
      <c r="E7" s="7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tr">
        <f t="shared" si="0"/>
        <v>equipos y goles</v>
      </c>
      <c r="L7" s="3" t="s">
        <v>11</v>
      </c>
      <c r="M7" s="3" t="s">
        <v>12</v>
      </c>
      <c r="N7" s="3" t="s">
        <v>9</v>
      </c>
      <c r="O7" s="3" t="s">
        <v>20</v>
      </c>
      <c r="P7" s="1">
        <f t="shared" si="1"/>
        <v>20720700</v>
      </c>
      <c r="U7" s="3"/>
      <c r="V7" s="1"/>
    </row>
    <row r="8" spans="1:31" ht="12.75" customHeight="1">
      <c r="A8" s="1"/>
      <c r="B8" s="3"/>
      <c r="D8" s="1" t="s">
        <v>49</v>
      </c>
      <c r="E8" s="7" t="s">
        <v>50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55</v>
      </c>
      <c r="K8" s="1" t="str">
        <f t="shared" si="0"/>
        <v>tablas de clasificación</v>
      </c>
      <c r="L8" s="3" t="s">
        <v>11</v>
      </c>
      <c r="M8" s="3" t="s">
        <v>21</v>
      </c>
      <c r="N8" s="3" t="s">
        <v>10</v>
      </c>
      <c r="O8" s="3" t="s">
        <v>20</v>
      </c>
      <c r="P8" s="1">
        <f t="shared" si="1"/>
        <v>20433660</v>
      </c>
      <c r="U8" s="3"/>
      <c r="V8" s="1"/>
    </row>
    <row r="9" spans="1:31" ht="12.75" customHeight="1">
      <c r="A9" s="1"/>
      <c r="D9" s="7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61</v>
      </c>
      <c r="J9" s="1" t="s">
        <v>62</v>
      </c>
      <c r="K9" s="1" t="str">
        <f t="shared" si="0"/>
        <v>Día</v>
      </c>
      <c r="L9" s="3" t="s">
        <v>12</v>
      </c>
      <c r="M9" s="3" t="s">
        <v>21</v>
      </c>
      <c r="N9" s="3" t="s">
        <v>10</v>
      </c>
      <c r="O9" s="3" t="s">
        <v>20</v>
      </c>
      <c r="P9" s="1">
        <f t="shared" si="1"/>
        <v>20729800</v>
      </c>
      <c r="U9" s="1"/>
      <c r="V9" s="1"/>
      <c r="AE9" s="3"/>
    </row>
    <row r="10" spans="1:31" ht="12.75" customHeight="1">
      <c r="A10" s="3">
        <f>SUMIF('H1'!D12:D17,'H1'!D12,'H1'!G12:G17)+SUMIF('H1'!F12:F17,'H1'!D12,'H1'!E12:E17)</f>
        <v>4</v>
      </c>
      <c r="B10" s="3">
        <f>SUMIF('H1'!D12:D17,'H1'!D12,'H1'!E12:E17)+SUMIF('H1'!F12:F17,'H1'!D12,'H1'!G12:G17)-A10</f>
        <v>1</v>
      </c>
      <c r="C10" s="3">
        <f>SUMPRODUCT(('H1'!D12:D17='H1'!D12)*('H1'!E12:E17&gt;'H1'!G12:G17)+('H1'!F12:F17='H1'!D12)*('H1'!E12:E17&lt;'H1'!G12:G17)+('H1'!D12:F17='H1'!D12)*('H1'!E12:E17='H1'!G12:G17)*('H1'!E12:E17&lt;&gt;""))+(B10+50)*0.001+A10*0.00001-VLOOKUP('H1'!D12,$K$27:$L$50,2,0)*0.0000001</f>
        <v>3.0510394999999999</v>
      </c>
      <c r="D10" s="7" t="s">
        <v>63</v>
      </c>
      <c r="E10" s="1" t="s">
        <v>64</v>
      </c>
      <c r="F10" s="1" t="s">
        <v>64</v>
      </c>
      <c r="G10" s="1" t="s">
        <v>65</v>
      </c>
      <c r="H10" s="1" t="s">
        <v>66</v>
      </c>
      <c r="I10" s="1" t="s">
        <v>67</v>
      </c>
      <c r="J10" s="1" t="s">
        <v>68</v>
      </c>
      <c r="K10" s="1" t="str">
        <f t="shared" si="0"/>
        <v>Hora</v>
      </c>
      <c r="L10" s="3" t="s">
        <v>11</v>
      </c>
      <c r="M10" s="3" t="s">
        <v>12</v>
      </c>
      <c r="N10" s="3" t="s">
        <v>10</v>
      </c>
      <c r="O10" s="3" t="s">
        <v>20</v>
      </c>
      <c r="P10" s="1">
        <f t="shared" si="1"/>
        <v>21034650</v>
      </c>
      <c r="U10" s="1"/>
      <c r="V10" s="3"/>
      <c r="AE10" s="3"/>
    </row>
    <row r="11" spans="1:31" ht="12.75" customHeight="1">
      <c r="A11" s="3">
        <f>SUMIF('H1'!D12:D17,'H1'!D13,'H1'!G12:G17)+SUMIF('H1'!F12:F17,'H1'!D13,'H1'!E12:E17)</f>
        <v>7</v>
      </c>
      <c r="B11" s="3">
        <f>SUMIF('H1'!D12:D17,'H1'!D13,'H1'!E12:E17)+SUMIF('H1'!F12:F17,'H1'!D13,'H1'!G12:G17)-A11</f>
        <v>-5</v>
      </c>
      <c r="C11" s="3">
        <f>SUMPRODUCT(('H1'!D12:D17='H1'!D13)*('H1'!E12:E17&gt;'H1'!G12:G17)+('H1'!F12:F17='H1'!D13)*('H1'!E12:E17&lt;'H1'!G12:G17)+('H1'!D12:F17='H1'!D13)*('H1'!E12:E17='H1'!G12:G17)*('H1'!E12:E17&lt;&gt;""))+(B11+50)*0.001+A11*0.00001-VLOOKUP('H1'!D13,$K$27:$L$50,2,0)*0.0000001</f>
        <v>3.0450694</v>
      </c>
      <c r="D11" s="7" t="s">
        <v>69</v>
      </c>
      <c r="E11" s="1" t="s">
        <v>70</v>
      </c>
      <c r="F11" s="1" t="s">
        <v>71</v>
      </c>
      <c r="G11" s="1" t="s">
        <v>71</v>
      </c>
      <c r="H11" s="1" t="s">
        <v>72</v>
      </c>
      <c r="I11" s="1" t="s">
        <v>73</v>
      </c>
      <c r="J11" s="1" t="s">
        <v>74</v>
      </c>
      <c r="K11" s="1" t="str">
        <f t="shared" si="0"/>
        <v>Grupo:</v>
      </c>
      <c r="L11" s="3" t="s">
        <v>11</v>
      </c>
      <c r="M11" s="3" t="s">
        <v>12</v>
      </c>
      <c r="N11" s="3" t="s">
        <v>21</v>
      </c>
      <c r="O11" s="3" t="s">
        <v>20</v>
      </c>
      <c r="P11" s="1">
        <f t="shared" si="1"/>
        <v>21348600</v>
      </c>
      <c r="U11" s="1"/>
      <c r="V11" s="3"/>
      <c r="AE11" s="3"/>
    </row>
    <row r="12" spans="1:31" ht="12.75" customHeight="1">
      <c r="A12" s="3">
        <f>SUMIF('H1'!D12:D17,'H1'!D14,'H1'!G12:G17)+SUMIF('H1'!F12:F17,'H1'!D14,'H1'!E12:E17)</f>
        <v>3</v>
      </c>
      <c r="B12" s="3">
        <f>SUMIF('H1'!D12:D17,'H1'!D14,'H1'!E12:E17)+SUMIF('H1'!F12:F17,'H1'!D14,'H1'!G12:G17)-A12</f>
        <v>-2</v>
      </c>
      <c r="C12" s="3">
        <f>SUMPRODUCT(('H1'!D12:D17='H1'!D14)*('H1'!E12:E17&gt;'H1'!G12:G17)+('H1'!F12:F17='H1'!D14)*('H1'!E12:E17&lt;'H1'!G12:G17)+('H1'!D12:F17='H1'!D14)*('H1'!E12:E17='H1'!G12:G17)*('H1'!E12:E17&lt;&gt;""))+(B12+50)*0.001+A12*0.00001-VLOOKUP('H1'!D14,$K$27:$L$50,2,0)*0.0000001</f>
        <v>3.0480293000000001</v>
      </c>
      <c r="D12" s="7" t="s">
        <v>75</v>
      </c>
      <c r="E12" s="7" t="s">
        <v>76</v>
      </c>
      <c r="F12" s="1" t="s">
        <v>77</v>
      </c>
      <c r="G12" s="1" t="s">
        <v>78</v>
      </c>
      <c r="H12" s="1" t="s">
        <v>75</v>
      </c>
      <c r="I12" s="1" t="s">
        <v>79</v>
      </c>
      <c r="J12" s="1" t="s">
        <v>80</v>
      </c>
      <c r="K12" s="1" t="str">
        <f t="shared" si="0"/>
        <v>equipos</v>
      </c>
      <c r="L12" s="3" t="s">
        <v>11</v>
      </c>
      <c r="M12" s="3" t="s">
        <v>21</v>
      </c>
      <c r="N12" s="3" t="s">
        <v>9</v>
      </c>
      <c r="O12" s="3" t="s">
        <v>10</v>
      </c>
      <c r="P12" s="1">
        <f t="shared" si="1"/>
        <v>20748024</v>
      </c>
      <c r="U12" s="1"/>
      <c r="V12" s="3"/>
      <c r="AE12" s="3"/>
    </row>
    <row r="13" spans="1:31" ht="12.75" customHeight="1">
      <c r="A13" s="3">
        <f>SUMIF('H1'!D12:D17,'H1'!D15,'H1'!G12:G17)+SUMIF('H1'!F12:F17,'H1'!D15,'H1'!E12:E17)</f>
        <v>1</v>
      </c>
      <c r="B13" s="3">
        <f>SUMIF('H1'!D12:D17,'H1'!D15,'H1'!E12:E17)+SUMIF('H1'!F12:F17,'H1'!D15,'H1'!G12:G17)-A13</f>
        <v>6</v>
      </c>
      <c r="C13" s="3">
        <f>SUMPRODUCT(('H1'!D12:D17='H1'!D15)*('H1'!E12:E17&gt;'H1'!G12:G17)+('H1'!F12:F17='H1'!D15)*('H1'!E12:E17&lt;'H1'!G12:G17)+('H1'!D12:F17='H1'!D15)*('H1'!E12:E17='H1'!G12:G17)*('H1'!E12:E17&lt;&gt;""))+(B13+50)*0.001+A13*0.00001-VLOOKUP('H1'!D15,$K$27:$L$50,2,0)*0.0000001</f>
        <v>9.0560091999999983</v>
      </c>
      <c r="D13" s="1" t="s">
        <v>81</v>
      </c>
      <c r="E13" s="1" t="s">
        <v>82</v>
      </c>
      <c r="F13" s="1" t="s">
        <v>83</v>
      </c>
      <c r="G13" s="1" t="s">
        <v>84</v>
      </c>
      <c r="H13" s="1" t="s">
        <v>85</v>
      </c>
      <c r="I13" s="1" t="s">
        <v>86</v>
      </c>
      <c r="J13" s="1" t="s">
        <v>87</v>
      </c>
      <c r="K13" s="1" t="str">
        <f t="shared" si="0"/>
        <v>cotejo</v>
      </c>
      <c r="L13" s="3" t="s">
        <v>12</v>
      </c>
      <c r="M13" s="3" t="s">
        <v>21</v>
      </c>
      <c r="N13" s="3" t="s">
        <v>10</v>
      </c>
      <c r="O13" s="3" t="s">
        <v>9</v>
      </c>
      <c r="P13" s="1">
        <f t="shared" si="1"/>
        <v>21048720</v>
      </c>
      <c r="U13" s="1"/>
      <c r="V13" s="3"/>
    </row>
    <row r="14" spans="1:31" ht="12.75" customHeight="1">
      <c r="A14" s="1"/>
      <c r="B14" s="3"/>
      <c r="D14" s="1" t="s">
        <v>88</v>
      </c>
      <c r="E14" s="7" t="s">
        <v>89</v>
      </c>
      <c r="F14" s="1" t="s">
        <v>90</v>
      </c>
      <c r="G14" s="1" t="s">
        <v>91</v>
      </c>
      <c r="H14" s="1" t="s">
        <v>92</v>
      </c>
      <c r="I14" s="1" t="s">
        <v>93</v>
      </c>
      <c r="J14" s="1" t="s">
        <v>94</v>
      </c>
      <c r="K14" s="1" t="str">
        <f t="shared" si="0"/>
        <v>goles</v>
      </c>
      <c r="L14" s="3" t="s">
        <v>12</v>
      </c>
      <c r="M14" s="3" t="s">
        <v>11</v>
      </c>
      <c r="N14" s="3" t="s">
        <v>10</v>
      </c>
      <c r="O14" s="3" t="s">
        <v>9</v>
      </c>
      <c r="P14" s="1">
        <f t="shared" si="1"/>
        <v>21358260</v>
      </c>
      <c r="U14" s="3"/>
      <c r="V14" s="1"/>
    </row>
    <row r="15" spans="1:31" ht="12.75" customHeight="1">
      <c r="A15" s="1"/>
      <c r="B15" s="3"/>
      <c r="D15" s="1" t="s">
        <v>95</v>
      </c>
      <c r="E15" s="1" t="s">
        <v>96</v>
      </c>
      <c r="F15" s="1" t="s">
        <v>97</v>
      </c>
      <c r="G15" s="1" t="s">
        <v>98</v>
      </c>
      <c r="H15" s="1" t="s">
        <v>99</v>
      </c>
      <c r="I15" s="1" t="s">
        <v>100</v>
      </c>
      <c r="J15" s="1" t="s">
        <v>101</v>
      </c>
      <c r="K15" s="1" t="str">
        <f t="shared" si="0"/>
        <v>OCTAVOS ·· DE ·· F I NAL</v>
      </c>
      <c r="L15" s="3" t="s">
        <v>12</v>
      </c>
      <c r="M15" s="3" t="s">
        <v>11</v>
      </c>
      <c r="N15" s="3" t="s">
        <v>21</v>
      </c>
      <c r="O15" s="3" t="s">
        <v>9</v>
      </c>
      <c r="P15" s="1">
        <f t="shared" si="1"/>
        <v>21677040</v>
      </c>
      <c r="U15" s="3"/>
      <c r="V15" s="1"/>
      <c r="AE15" s="3"/>
    </row>
    <row r="16" spans="1:31" ht="12.75" customHeight="1">
      <c r="A16" s="1"/>
      <c r="D16" s="1" t="s">
        <v>102</v>
      </c>
      <c r="E16" s="1" t="s">
        <v>103</v>
      </c>
      <c r="F16" s="1" t="s">
        <v>104</v>
      </c>
      <c r="G16" s="1" t="s">
        <v>105</v>
      </c>
      <c r="H16" s="1" t="s">
        <v>106</v>
      </c>
      <c r="I16" s="1" t="s">
        <v>107</v>
      </c>
      <c r="J16" s="1" t="s">
        <v>108</v>
      </c>
      <c r="K16" s="1" t="str">
        <f t="shared" si="0"/>
        <v>CUARTOS ·· F I NAL</v>
      </c>
      <c r="L16" s="3" t="s">
        <v>12</v>
      </c>
      <c r="M16" s="3" t="s">
        <v>11</v>
      </c>
      <c r="N16" s="3" t="s">
        <v>21</v>
      </c>
      <c r="O16" s="3" t="s">
        <v>10</v>
      </c>
      <c r="P16" s="1">
        <f t="shared" si="1"/>
        <v>22005480</v>
      </c>
      <c r="U16" s="1"/>
      <c r="V16" s="1"/>
      <c r="AE16" s="3"/>
    </row>
    <row r="17" spans="1:32" ht="12.75" customHeight="1">
      <c r="A17" s="3">
        <f>SUMIF('H1'!D19:D24,'H1'!D19,'H1'!G19:G24)+SUMIF('H1'!F19:F24,'H1'!D19,'H1'!E19:E24)</f>
        <v>3</v>
      </c>
      <c r="B17" s="3">
        <f>SUMIF('H1'!D19:D24,'H1'!D19,'H1'!E19:E24)+SUMIF('H1'!F19:F24,'H1'!D19,'H1'!G19:G24)-A17</f>
        <v>1</v>
      </c>
      <c r="C17" s="3">
        <f>SUMPRODUCT(('H1'!D19:D24='H1'!D19)*('H1'!E19:E24&gt;'H1'!G19:G24)+('H1'!F19:F24='H1'!D19)*('H1'!E19:E24&lt;'H1'!G19:G24)+('H1'!D19:F24='H1'!D19)*('H1'!E19:E24='H1'!G19:G24)*('H1'!E19:E24&lt;&gt;""))+(B17+50)*0.001+A17*0.00001-VLOOKUP('H1'!D19,$K$27:$L$50,2,0)*0.0000001</f>
        <v>6.0510291</v>
      </c>
      <c r="D17" s="1" t="s">
        <v>109</v>
      </c>
      <c r="E17" s="1" t="s">
        <v>110</v>
      </c>
      <c r="F17" s="1" t="s">
        <v>111</v>
      </c>
      <c r="G17" s="1" t="s">
        <v>112</v>
      </c>
      <c r="H17" s="1" t="s">
        <v>113</v>
      </c>
      <c r="I17" s="1" t="s">
        <v>114</v>
      </c>
      <c r="J17" s="1" t="s">
        <v>115</v>
      </c>
      <c r="K17" s="1" t="str">
        <f t="shared" si="0"/>
        <v>Terceros</v>
      </c>
      <c r="R17" s="3"/>
      <c r="T17" s="3"/>
      <c r="U17" s="1"/>
      <c r="V17" s="3"/>
      <c r="AE17" s="3"/>
    </row>
    <row r="18" spans="1:32" ht="12.75" customHeight="1">
      <c r="A18" s="3">
        <f>SUMIF('H1'!D19:D24,'H1'!D20,'H1'!G19:G24)+SUMIF('H1'!F19:F24,'H1'!D20,'H1'!E19:E24)</f>
        <v>5</v>
      </c>
      <c r="B18" s="3">
        <f>SUMIF('H1'!D19:D24,'H1'!D20,'H1'!E19:E24)+SUMIF('H1'!F19:F24,'H1'!D20,'H1'!G19:G24)-A18</f>
        <v>-1</v>
      </c>
      <c r="C18" s="3">
        <f>SUMPRODUCT(('H1'!D19:D24='H1'!D20)*('H1'!E19:E24&gt;'H1'!G19:G24)+('H1'!F19:F24='H1'!D20)*('H1'!E19:E24&lt;'H1'!G19:G24)+('H1'!D19:F24='H1'!D20)*('H1'!E19:E24='H1'!G19:G24)*('H1'!E19:E24&lt;&gt;""))+(B18+50)*0.001+A18*0.00001-VLOOKUP('H1'!D20,$K$27:$L$50,2,0)*0.0000001</f>
        <v>3.0490489999999997</v>
      </c>
      <c r="D18" s="1" t="s">
        <v>116</v>
      </c>
      <c r="E18" s="7" t="s">
        <v>116</v>
      </c>
      <c r="F18" s="1" t="s">
        <v>117</v>
      </c>
      <c r="G18" s="1" t="s">
        <v>117</v>
      </c>
      <c r="H18" s="1" t="s">
        <v>1</v>
      </c>
      <c r="I18" s="1" t="s">
        <v>117</v>
      </c>
      <c r="J18" s="1" t="s">
        <v>118</v>
      </c>
      <c r="K18" s="1" t="str">
        <f t="shared" si="0"/>
        <v>J</v>
      </c>
      <c r="N18" s="3"/>
      <c r="O18" s="3"/>
      <c r="P18" s="3"/>
      <c r="R18" s="3"/>
      <c r="T18" s="3"/>
      <c r="U18" s="1"/>
      <c r="V18" s="3"/>
      <c r="AE18" s="3"/>
      <c r="AF18" s="1"/>
    </row>
    <row r="19" spans="1:32" ht="12.75" customHeight="1">
      <c r="A19" s="3">
        <f>SUMIF('H1'!D19:D24,'H1'!D21,'H1'!G19:G24)+SUMIF('H1'!F19:F24,'H1'!D21,'H1'!E19:E24)</f>
        <v>8</v>
      </c>
      <c r="B19" s="3">
        <f>SUMIF('H1'!D19:D24,'H1'!D21,'H1'!E19:E24)+SUMIF('H1'!F19:F24,'H1'!D21,'H1'!G19:G24)-A19</f>
        <v>-6</v>
      </c>
      <c r="C19" s="3">
        <f>SUMPRODUCT(('H1'!D19:D24='H1'!D21)*('H1'!E19:E24&gt;'H1'!G19:G24)+('H1'!F19:F24='H1'!D21)*('H1'!E19:E24&lt;'H1'!G19:G24)+('H1'!D19:F24='H1'!D21)*('H1'!E19:E24='H1'!G19:G24)*('H1'!E19:E24&lt;&gt;""))+(B19+50)*0.001+A19*0.00001-VLOOKUP('H1'!D21,$K$27:$L$50,2,0)*0.0000001</f>
        <v>4.4078899999999997E-2</v>
      </c>
      <c r="D19" s="7" t="s">
        <v>119</v>
      </c>
      <c r="E19" s="1" t="s">
        <v>9</v>
      </c>
      <c r="F19" s="1" t="s">
        <v>116</v>
      </c>
      <c r="G19" s="1" t="s">
        <v>116</v>
      </c>
      <c r="H19" s="1" t="s">
        <v>120</v>
      </c>
      <c r="I19" s="1" t="s">
        <v>9</v>
      </c>
      <c r="J19" s="1" t="s">
        <v>121</v>
      </c>
      <c r="K19" s="1" t="str">
        <f t="shared" si="0"/>
        <v>G</v>
      </c>
      <c r="M19" s="1"/>
      <c r="N19" s="3"/>
      <c r="O19" s="3"/>
      <c r="P19" s="3"/>
      <c r="R19" s="3"/>
      <c r="T19" s="3"/>
      <c r="U19" s="1"/>
      <c r="V19" s="3"/>
    </row>
    <row r="20" spans="1:32" ht="12.75" customHeight="1">
      <c r="A20" s="3">
        <f>SUMIF('H1'!D19:D24,'H1'!D22,'H1'!G19:G24)+SUMIF('H1'!F19:F24,'H1'!D22,'H1'!E19:E24)</f>
        <v>2</v>
      </c>
      <c r="B20" s="3">
        <f>SUMIF('H1'!D19:D24,'H1'!D22,'H1'!E19:E24)+SUMIF('H1'!F19:F24,'H1'!D22,'H1'!G19:G24)-A20</f>
        <v>6</v>
      </c>
      <c r="C20" s="3">
        <f>SUMPRODUCT(('H1'!D19:D24='H1'!D22)*('H1'!E19:E24&gt;'H1'!G19:G24)+('H1'!F19:F24='H1'!D22)*('H1'!E19:E24&lt;'H1'!G19:G24)+('H1'!D19:F24='H1'!D22)*('H1'!E19:E24='H1'!G19:G24)*('H1'!E19:E24&lt;&gt;""))+(B20+50)*0.001+A20*0.00001-VLOOKUP('H1'!D22,$K$27:$L$50,2,0)*0.0000001</f>
        <v>9.0560187999999986</v>
      </c>
      <c r="D20" s="1" t="s">
        <v>116</v>
      </c>
      <c r="E20" s="7" t="s">
        <v>21</v>
      </c>
      <c r="F20" s="1" t="s">
        <v>20</v>
      </c>
      <c r="G20" s="1" t="s">
        <v>11</v>
      </c>
      <c r="H20" s="1" t="s">
        <v>122</v>
      </c>
      <c r="I20" s="1" t="s">
        <v>122</v>
      </c>
      <c r="J20" s="1" t="s">
        <v>123</v>
      </c>
      <c r="K20" s="1" t="str">
        <f t="shared" si="0"/>
        <v>E</v>
      </c>
      <c r="N20" s="3"/>
      <c r="O20" s="3"/>
      <c r="P20" s="3"/>
      <c r="R20" s="3"/>
      <c r="T20" s="3"/>
      <c r="U20" s="1"/>
      <c r="V20" s="3"/>
    </row>
    <row r="21" spans="1:32" ht="12.75" customHeight="1">
      <c r="A21" s="1"/>
      <c r="B21" s="3"/>
      <c r="D21" s="1" t="s">
        <v>124</v>
      </c>
      <c r="E21" s="1" t="s">
        <v>1</v>
      </c>
      <c r="F21" s="1" t="s">
        <v>1</v>
      </c>
      <c r="G21" s="1" t="s">
        <v>1</v>
      </c>
      <c r="H21" s="1" t="s">
        <v>125</v>
      </c>
      <c r="I21" s="1" t="s">
        <v>1</v>
      </c>
      <c r="J21" s="1" t="s">
        <v>126</v>
      </c>
      <c r="K21" s="1" t="str">
        <f t="shared" si="0"/>
        <v>P</v>
      </c>
      <c r="N21" s="3"/>
      <c r="O21" s="3"/>
      <c r="P21" s="3"/>
      <c r="U21" s="3"/>
      <c r="V21" s="1"/>
      <c r="AE21" s="3"/>
    </row>
    <row r="22" spans="1:32" ht="12.75" customHeight="1">
      <c r="A22" s="1"/>
      <c r="B22" s="3"/>
      <c r="D22" s="1" t="s">
        <v>127</v>
      </c>
      <c r="E22" s="1" t="s">
        <v>12</v>
      </c>
      <c r="F22" s="1" t="s">
        <v>12</v>
      </c>
      <c r="G22" s="1" t="s">
        <v>12</v>
      </c>
      <c r="H22" s="1" t="s">
        <v>116</v>
      </c>
      <c r="I22" s="1" t="s">
        <v>128</v>
      </c>
      <c r="J22" s="1" t="s">
        <v>129</v>
      </c>
      <c r="K22" s="1" t="str">
        <f t="shared" si="0"/>
        <v>F</v>
      </c>
      <c r="N22" s="3"/>
      <c r="O22" s="3"/>
      <c r="P22" s="3"/>
      <c r="U22" s="3"/>
      <c r="V22" s="1"/>
      <c r="AE22" s="3"/>
    </row>
    <row r="23" spans="1:32" ht="12.75" customHeight="1">
      <c r="A23" s="1"/>
      <c r="D23" s="1" t="s">
        <v>21</v>
      </c>
      <c r="E23" s="1" t="s">
        <v>10</v>
      </c>
      <c r="F23" s="1" t="s">
        <v>10</v>
      </c>
      <c r="G23" s="1" t="s">
        <v>10</v>
      </c>
      <c r="H23" s="1" t="s">
        <v>20</v>
      </c>
      <c r="I23" s="1" t="s">
        <v>10</v>
      </c>
      <c r="J23" s="1" t="s">
        <v>126</v>
      </c>
      <c r="K23" s="1" t="str">
        <f t="shared" si="0"/>
        <v>C</v>
      </c>
      <c r="N23" s="3"/>
      <c r="O23" s="3"/>
      <c r="P23" s="3"/>
      <c r="R23" s="1"/>
      <c r="T23" s="1"/>
      <c r="U23" s="1"/>
      <c r="V23" s="1"/>
      <c r="AE23" s="3"/>
    </row>
    <row r="24" spans="1:32" ht="12.75" customHeight="1">
      <c r="A24" s="3">
        <f>SUMIF('H1'!D26:D31,'H1'!D26,'H1'!G26:G31)+SUMIF('H1'!F26:F31,'H1'!D26,'H1'!E26:E31)</f>
        <v>0</v>
      </c>
      <c r="B24" s="3">
        <f>SUMIF('H1'!D26:D31,'H1'!D26,'H1'!E26:E31)+SUMIF('H1'!F26:F31,'H1'!D26,'H1'!G26:G31)-A24</f>
        <v>2</v>
      </c>
      <c r="C24" s="3">
        <f>SUMPRODUCT(('H1'!D26:D31='H1'!D26)*('H1'!E26:E31&gt;'H1'!G26:G31)+('H1'!F26:F31='H1'!D26)*('H1'!E26:E31&lt;'H1'!G26:G31)+('H1'!D26:F31='H1'!D26)*('H1'!E26:E31='H1'!G26:G31)*('H1'!E26:E31&lt;&gt;""))+(B24+50)*0.001+A24*0.00001-VLOOKUP('H1'!D26,$K$27:$L$50,2,0)*0.0000001</f>
        <v>7.0519986999999995</v>
      </c>
      <c r="D24" s="7" t="s">
        <v>130</v>
      </c>
      <c r="E24" s="1" t="s">
        <v>21</v>
      </c>
      <c r="F24" s="1" t="s">
        <v>21</v>
      </c>
      <c r="G24" s="1" t="s">
        <v>21</v>
      </c>
      <c r="H24" s="1" t="s">
        <v>21</v>
      </c>
      <c r="I24" s="1" t="s">
        <v>21</v>
      </c>
      <c r="J24" s="1" t="s">
        <v>131</v>
      </c>
      <c r="K24" s="1" t="str">
        <f t="shared" si="0"/>
        <v>D</v>
      </c>
      <c r="N24" s="3"/>
      <c r="O24" s="3"/>
      <c r="P24" s="3"/>
      <c r="R24" s="3"/>
      <c r="T24" s="3"/>
      <c r="U24" s="1"/>
      <c r="V24" s="3"/>
      <c r="AE24" s="3"/>
    </row>
    <row r="25" spans="1:32" ht="12.75" customHeight="1">
      <c r="A25" s="3">
        <f>SUMIF('H1'!D26:D31,'H1'!D27,'H1'!G26:G31)+SUMIF('H1'!F26:F31,'H1'!D27,'H1'!E26:E31)</f>
        <v>2</v>
      </c>
      <c r="B25" s="3">
        <f>SUMIF('H1'!D26:D31,'H1'!D27,'H1'!E26:E31)+SUMIF('H1'!F26:F31,'H1'!D27,'H1'!G26:G31)-A25</f>
        <v>1</v>
      </c>
      <c r="C25" s="3">
        <f>SUMPRODUCT(('H1'!D26:D31='H1'!D27)*('H1'!E26:E31&gt;'H1'!G26:G31)+('H1'!F26:F31='H1'!D27)*('H1'!E26:E31&lt;'H1'!G26:G31)+('H1'!D26:F31='H1'!D27)*('H1'!E26:E31='H1'!G26:G31)*('H1'!E26:E31&lt;&gt;""))+(B25+50)*0.001+A25*0.00001-VLOOKUP('H1'!D27,$K$27:$L$50,2,0)*0.0000001</f>
        <v>4.0510185999999999</v>
      </c>
      <c r="D25" s="7" t="s">
        <v>132</v>
      </c>
      <c r="E25" s="1" t="s">
        <v>133</v>
      </c>
      <c r="F25" s="1" t="s">
        <v>134</v>
      </c>
      <c r="G25" s="1" t="s">
        <v>134</v>
      </c>
      <c r="H25" s="1" t="s">
        <v>135</v>
      </c>
      <c r="I25" s="1" t="s">
        <v>136</v>
      </c>
      <c r="J25" s="1" t="s">
        <v>137</v>
      </c>
      <c r="K25" s="1" t="str">
        <f t="shared" si="0"/>
        <v>Idioma</v>
      </c>
      <c r="N25" s="3"/>
      <c r="O25" s="3"/>
      <c r="P25" s="3"/>
      <c r="R25" s="3"/>
      <c r="T25" s="3"/>
      <c r="U25" s="1"/>
      <c r="V25" s="3"/>
    </row>
    <row r="26" spans="1:32" ht="12.75" customHeight="1">
      <c r="A26" s="3">
        <f>SUMIF('H1'!D26:D31,'H1'!D28,'H1'!G26:G31)+SUMIF('H1'!F26:F31,'H1'!D28,'H1'!E26:E31)</f>
        <v>2</v>
      </c>
      <c r="B26" s="3">
        <f>SUMIF('H1'!D26:D31,'H1'!D28,'H1'!E26:E31)+SUMIF('H1'!F26:F31,'H1'!D28,'H1'!G26:G31)-A26</f>
        <v>-1</v>
      </c>
      <c r="C26" s="3">
        <f>SUMPRODUCT(('H1'!D26:D31='H1'!D28)*('H1'!E26:E31&gt;'H1'!G26:G31)+('H1'!F26:F31='H1'!D28)*('H1'!E26:E31&lt;'H1'!G26:G31)+('H1'!D26:F31='H1'!D28)*('H1'!E26:E31='H1'!G26:G31)*('H1'!E26:E31&lt;&gt;""))+(B26+50)*0.001+A26*0.00001-VLOOKUP('H1'!D28,$K$27:$L$50,2,0)*0.0000001</f>
        <v>2.0490184999999999</v>
      </c>
      <c r="D26" s="7" t="s">
        <v>138</v>
      </c>
      <c r="E26" s="7" t="s">
        <v>139</v>
      </c>
      <c r="F26" s="7" t="s">
        <v>139</v>
      </c>
      <c r="G26" s="7" t="s">
        <v>139</v>
      </c>
      <c r="H26" s="7" t="s">
        <v>139</v>
      </c>
      <c r="I26" s="7" t="s">
        <v>140</v>
      </c>
      <c r="J26" s="7" t="s">
        <v>141</v>
      </c>
      <c r="K26" s="1" t="str">
        <f t="shared" si="0"/>
        <v>S ·· F I NAL</v>
      </c>
      <c r="N26" s="3"/>
      <c r="O26" s="3"/>
      <c r="P26" s="3"/>
      <c r="R26" s="3"/>
      <c r="T26" s="3"/>
      <c r="U26" s="1"/>
      <c r="V26" s="3"/>
    </row>
    <row r="27" spans="1:32" ht="12.75" customHeight="1">
      <c r="A27" s="3">
        <f>SUMIF('H1'!D26:D31,'H1'!D29,'H1'!G26:G31)+SUMIF('H1'!F26:F31,'H1'!D29,'H1'!E26:E31)</f>
        <v>2</v>
      </c>
      <c r="B27" s="3">
        <f>SUMIF('H1'!D26:D31,'H1'!D29,'H1'!E26:E31)+SUMIF('H1'!F26:F31,'H1'!D29,'H1'!G26:G31)-A27</f>
        <v>-2</v>
      </c>
      <c r="C27" s="3">
        <f>SUMPRODUCT(('H1'!D26:D31='H1'!D29)*('H1'!E26:E31&gt;'H1'!G26:G31)+('H1'!F26:F31='H1'!D29)*('H1'!E26:E31&lt;'H1'!G26:G31)+('H1'!D26:F31='H1'!D29)*('H1'!E26:E31='H1'!G26:G31)*('H1'!E26:E31&lt;&gt;""))+(B27+50)*0.001+A27*0.00001-VLOOKUP('H1'!D29,$K$27:$L$50,2,0)*0.0000001</f>
        <v>2.0480184000000001</v>
      </c>
      <c r="D27" s="1" t="s">
        <v>142</v>
      </c>
      <c r="E27" s="1" t="s">
        <v>143</v>
      </c>
      <c r="F27" s="1" t="s">
        <v>144</v>
      </c>
      <c r="G27" s="1" t="s">
        <v>145</v>
      </c>
      <c r="H27" s="1" t="s">
        <v>146</v>
      </c>
      <c r="I27" s="1" t="s">
        <v>147</v>
      </c>
      <c r="J27" s="1" t="s">
        <v>148</v>
      </c>
      <c r="K27" s="1" t="str">
        <f t="shared" si="0"/>
        <v>Italia</v>
      </c>
      <c r="L27" s="7">
        <v>1</v>
      </c>
      <c r="N27" s="3"/>
      <c r="O27" s="3"/>
      <c r="P27" s="3"/>
      <c r="U27" s="1"/>
      <c r="V27" s="3"/>
    </row>
    <row r="28" spans="1:32" ht="12.75" customHeight="1">
      <c r="A28" s="1"/>
      <c r="B28" s="3"/>
      <c r="D28" s="1" t="s">
        <v>149</v>
      </c>
      <c r="E28" s="1" t="s">
        <v>150</v>
      </c>
      <c r="F28" s="1" t="s">
        <v>151</v>
      </c>
      <c r="G28" s="1" t="s">
        <v>152</v>
      </c>
      <c r="H28" s="1" t="s">
        <v>149</v>
      </c>
      <c r="I28" s="1" t="s">
        <v>150</v>
      </c>
      <c r="J28" s="1" t="s">
        <v>153</v>
      </c>
      <c r="K28" s="1" t="str">
        <f t="shared" si="0"/>
        <v>Gales</v>
      </c>
      <c r="L28" s="7">
        <v>2</v>
      </c>
      <c r="N28" s="3"/>
      <c r="O28" s="3"/>
      <c r="P28" s="3"/>
      <c r="R28" s="1"/>
      <c r="T28" s="1"/>
      <c r="U28" s="3"/>
      <c r="V28" s="1"/>
    </row>
    <row r="29" spans="1:32" ht="12.75" customHeight="1">
      <c r="A29" s="1"/>
      <c r="B29" s="3"/>
      <c r="D29" s="1" t="s">
        <v>154</v>
      </c>
      <c r="E29" s="1" t="s">
        <v>155</v>
      </c>
      <c r="F29" s="1" t="s">
        <v>156</v>
      </c>
      <c r="G29" s="1" t="s">
        <v>157</v>
      </c>
      <c r="H29" s="1" t="s">
        <v>158</v>
      </c>
      <c r="I29" s="1" t="s">
        <v>159</v>
      </c>
      <c r="J29" s="1" t="s">
        <v>160</v>
      </c>
      <c r="K29" s="1" t="str">
        <f t="shared" si="0"/>
        <v>Turquía</v>
      </c>
      <c r="L29" s="7">
        <v>3</v>
      </c>
      <c r="N29" s="3"/>
      <c r="O29" s="3"/>
      <c r="P29" s="3"/>
      <c r="Q29" s="1"/>
      <c r="R29" s="1"/>
      <c r="S29" s="1"/>
      <c r="T29" s="1"/>
      <c r="U29" s="3"/>
      <c r="V29" s="1"/>
    </row>
    <row r="30" spans="1:32" ht="12.75" customHeight="1">
      <c r="D30" s="1" t="s">
        <v>161</v>
      </c>
      <c r="E30" s="1" t="s">
        <v>162</v>
      </c>
      <c r="F30" s="1" t="s">
        <v>163</v>
      </c>
      <c r="G30" s="1" t="s">
        <v>164</v>
      </c>
      <c r="H30" s="1" t="s">
        <v>165</v>
      </c>
      <c r="I30" s="1" t="s">
        <v>166</v>
      </c>
      <c r="J30" s="1" t="s">
        <v>167</v>
      </c>
      <c r="K30" s="1" t="str">
        <f t="shared" si="0"/>
        <v>Suiza</v>
      </c>
      <c r="L30" s="7">
        <v>4</v>
      </c>
      <c r="N30" s="3"/>
      <c r="O30" s="3"/>
      <c r="P30" s="3"/>
      <c r="Q30" s="1"/>
      <c r="S30" s="1"/>
      <c r="U30" s="3"/>
      <c r="V30" s="1"/>
    </row>
    <row r="31" spans="1:32" ht="12.75" customHeight="1">
      <c r="A31" s="3">
        <f>SUMIF('H1'!D33:D38,'H1'!D33,'H1'!G33:G38)+SUMIF('H1'!F33:F38,'H1'!D33,'H1'!E33:E38)</f>
        <v>3</v>
      </c>
      <c r="B31" s="3">
        <f>SUMIF('H1'!D33:D38,'H1'!D33,'H1'!E33:E38)+SUMIF('H1'!F33:F38,'H1'!D33,'H1'!G33:G38)-A31</f>
        <v>-1</v>
      </c>
      <c r="C31" s="3">
        <f>SUMPRODUCT(('H1'!D33:D38='H1'!D33)*('H1'!E33:E38&gt;'H1'!G33:G38)+('H1'!F33:F38='H1'!D33)*('H1'!E33:E38&lt;'H1'!G33:G38)+('H1'!D33:F38='H1'!D33)*('H1'!E33:E38='H1'!G33:G38)*('H1'!E33:E38&lt;&gt;""))+(B31+50)*0.001+A31*0.00001-VLOOKUP('H1'!D33,$K$27:$L$50,2,0)*0.0000001</f>
        <v>1.0490282999999998</v>
      </c>
      <c r="D31" s="1" t="s">
        <v>168</v>
      </c>
      <c r="E31" s="1" t="s">
        <v>169</v>
      </c>
      <c r="F31" s="1" t="s">
        <v>170</v>
      </c>
      <c r="G31" s="1" t="s">
        <v>171</v>
      </c>
      <c r="H31" s="1" t="s">
        <v>172</v>
      </c>
      <c r="I31" s="1" t="s">
        <v>173</v>
      </c>
      <c r="J31" s="1" t="s">
        <v>174</v>
      </c>
      <c r="K31" s="1" t="str">
        <f t="shared" si="0"/>
        <v>Dinamarca</v>
      </c>
      <c r="L31" s="7">
        <v>5</v>
      </c>
      <c r="N31" s="3"/>
      <c r="O31" s="3"/>
      <c r="P31" s="3"/>
      <c r="U31" s="1"/>
      <c r="V31" s="3"/>
    </row>
    <row r="32" spans="1:32" ht="12.75" customHeight="1">
      <c r="A32" s="3">
        <f>SUMIF('H1'!D33:D38,'H1'!D34,'H1'!G33:G38)+SUMIF('H1'!F33:F38,'H1'!D34,'H1'!E33:E38)</f>
        <v>0</v>
      </c>
      <c r="B32" s="3">
        <f>SUMIF('H1'!D33:D38,'H1'!D34,'H1'!E33:E38)+SUMIF('H1'!F33:F38,'H1'!D34,'H1'!G33:G38)-A32</f>
        <v>1</v>
      </c>
      <c r="C32" s="3">
        <f>SUMPRODUCT(('H1'!D33:D38='H1'!D34)*('H1'!E33:E38&gt;'H1'!G33:G38)+('H1'!F33:F38='H1'!D34)*('H1'!E33:E38&lt;'H1'!G33:G38)+('H1'!D33:F38='H1'!D34)*('H1'!E33:E38='H1'!G33:G38)*('H1'!E33:E38&lt;&gt;""))+(B32+50)*0.001+A32*0.00001-VLOOKUP('H1'!D34,$K$27:$L$50,2,0)*0.0000001</f>
        <v>4.0509982000000004</v>
      </c>
      <c r="D32" s="1" t="s">
        <v>175</v>
      </c>
      <c r="E32" s="1" t="s">
        <v>176</v>
      </c>
      <c r="F32" s="1" t="s">
        <v>177</v>
      </c>
      <c r="G32" s="1" t="s">
        <v>178</v>
      </c>
      <c r="H32" s="1" t="s">
        <v>176</v>
      </c>
      <c r="I32" s="1" t="s">
        <v>179</v>
      </c>
      <c r="J32" s="1" t="s">
        <v>180</v>
      </c>
      <c r="K32" s="1" t="str">
        <f t="shared" si="0"/>
        <v>Rusia</v>
      </c>
      <c r="L32" s="7">
        <v>6</v>
      </c>
      <c r="N32" s="3"/>
      <c r="O32" s="3"/>
      <c r="P32" s="3"/>
      <c r="U32" s="1"/>
      <c r="V32" s="3"/>
    </row>
    <row r="33" spans="1:22" ht="12.75" customHeight="1">
      <c r="A33" s="3">
        <f>SUMIF('H1'!D33:D38,'H1'!D35,'H1'!G33:G38)+SUMIF('H1'!F33:F38,'H1'!D35,'H1'!E33:E38)</f>
        <v>2</v>
      </c>
      <c r="B33" s="3">
        <f>SUMIF('H1'!D33:D38,'H1'!D35,'H1'!E33:E38)+SUMIF('H1'!F33:F38,'H1'!D35,'H1'!G33:G38)-A33</f>
        <v>0</v>
      </c>
      <c r="C33" s="3">
        <f>SUMPRODUCT(('H1'!D33:D38='H1'!D35)*('H1'!E33:E38&gt;'H1'!G33:G38)+('H1'!F33:F38='H1'!D35)*('H1'!E33:E38&lt;'H1'!G33:G38)+('H1'!D33:F38='H1'!D35)*('H1'!E33:E38='H1'!G33:G38)*('H1'!E33:E38&lt;&gt;""))+(B33+50)*0.001+A33*0.00001-VLOOKUP('H1'!D35,$K$27:$L$50,2,0)*0.0000001</f>
        <v>3.0500181</v>
      </c>
      <c r="D33" s="1" t="s">
        <v>181</v>
      </c>
      <c r="E33" s="1" t="s">
        <v>182</v>
      </c>
      <c r="F33" s="1" t="s">
        <v>183</v>
      </c>
      <c r="G33" s="1" t="s">
        <v>184</v>
      </c>
      <c r="H33" s="1" t="s">
        <v>185</v>
      </c>
      <c r="I33" s="1" t="s">
        <v>186</v>
      </c>
      <c r="J33" s="1" t="s">
        <v>187</v>
      </c>
      <c r="K33" s="1" t="str">
        <f t="shared" si="0"/>
        <v>Finlandia</v>
      </c>
      <c r="L33" s="7">
        <v>7</v>
      </c>
      <c r="N33" s="3"/>
      <c r="O33" s="3"/>
      <c r="P33" s="3"/>
      <c r="U33" s="1"/>
      <c r="V33" s="3"/>
    </row>
    <row r="34" spans="1:22" ht="12.75" customHeight="1">
      <c r="A34" s="3">
        <f>SUMIF('H1'!D33:D38,'H1'!D36,'H1'!G33:G38)+SUMIF('H1'!F33:F38,'H1'!D36,'H1'!E33:E38)</f>
        <v>1</v>
      </c>
      <c r="B34" s="3">
        <f>SUMIF('H1'!D33:D38,'H1'!D36,'H1'!E33:E38)+SUMIF('H1'!F33:F38,'H1'!D36,'H1'!G33:G38)-A34</f>
        <v>0</v>
      </c>
      <c r="C34" s="3">
        <f>SUMPRODUCT(('H1'!D33:D38='H1'!D36)*('H1'!E33:E38&gt;'H1'!G33:G38)+('H1'!F33:F38='H1'!D36)*('H1'!E33:E38&lt;'H1'!G33:G38)+('H1'!D33:F38='H1'!D36)*('H1'!E33:E38='H1'!G33:G38)*('H1'!E33:E38&lt;&gt;""))+(B34+50)*0.001+A34*0.00001-VLOOKUP('H1'!D36,$K$27:$L$50,2,0)*0.0000001</f>
        <v>2.0500080000000001</v>
      </c>
      <c r="D34" s="1" t="s">
        <v>188</v>
      </c>
      <c r="E34" s="1" t="s">
        <v>189</v>
      </c>
      <c r="F34" s="1" t="s">
        <v>190</v>
      </c>
      <c r="G34" s="1" t="s">
        <v>191</v>
      </c>
      <c r="H34" s="1" t="s">
        <v>192</v>
      </c>
      <c r="I34" s="1" t="s">
        <v>193</v>
      </c>
      <c r="J34" s="1" t="s">
        <v>194</v>
      </c>
      <c r="K34" s="1" t="str">
        <f t="shared" si="0"/>
        <v>Bélgica</v>
      </c>
      <c r="L34" s="7">
        <v>8</v>
      </c>
      <c r="N34" s="3"/>
      <c r="O34" s="3"/>
      <c r="P34" s="3"/>
      <c r="U34" s="1"/>
      <c r="V34" s="3"/>
    </row>
    <row r="35" spans="1:22" ht="12.75" customHeight="1">
      <c r="A35" s="1"/>
      <c r="B35" s="3"/>
      <c r="D35" s="1" t="s">
        <v>195</v>
      </c>
      <c r="E35" s="1" t="s">
        <v>196</v>
      </c>
      <c r="F35" s="1" t="s">
        <v>197</v>
      </c>
      <c r="G35" s="1" t="s">
        <v>198</v>
      </c>
      <c r="H35" s="1" t="s">
        <v>196</v>
      </c>
      <c r="I35" s="1" t="s">
        <v>199</v>
      </c>
      <c r="J35" s="1" t="s">
        <v>200</v>
      </c>
      <c r="K35" s="1" t="str">
        <f t="shared" si="0"/>
        <v>Austria</v>
      </c>
      <c r="L35" s="7">
        <v>9</v>
      </c>
      <c r="U35" s="3"/>
      <c r="V35" s="1"/>
    </row>
    <row r="36" spans="1:22" ht="12.75" customHeight="1">
      <c r="A36" s="1"/>
      <c r="B36" s="3"/>
      <c r="D36" s="1" t="s">
        <v>201</v>
      </c>
      <c r="E36" s="1" t="s">
        <v>202</v>
      </c>
      <c r="F36" s="1" t="s">
        <v>203</v>
      </c>
      <c r="G36" s="1" t="s">
        <v>204</v>
      </c>
      <c r="H36" s="1" t="s">
        <v>201</v>
      </c>
      <c r="I36" s="1" t="s">
        <v>201</v>
      </c>
      <c r="J36" s="1" t="s">
        <v>205</v>
      </c>
      <c r="K36" s="1" t="str">
        <f t="shared" si="0"/>
        <v>Ucrania</v>
      </c>
      <c r="L36" s="7">
        <v>10</v>
      </c>
      <c r="R36" s="1"/>
      <c r="T36" s="1"/>
      <c r="U36" s="3"/>
      <c r="V36" s="1"/>
    </row>
    <row r="37" spans="1:22" ht="12.75" customHeight="1">
      <c r="D37" s="1" t="s">
        <v>206</v>
      </c>
      <c r="E37" s="1" t="s">
        <v>207</v>
      </c>
      <c r="F37" s="1" t="s">
        <v>207</v>
      </c>
      <c r="G37" s="1" t="s">
        <v>208</v>
      </c>
      <c r="H37" s="1" t="s">
        <v>207</v>
      </c>
      <c r="I37" s="1" t="s">
        <v>209</v>
      </c>
      <c r="J37" s="1" t="s">
        <v>210</v>
      </c>
      <c r="K37" s="1" t="str">
        <f t="shared" si="0"/>
        <v>Macedonia</v>
      </c>
      <c r="L37" s="7">
        <v>11</v>
      </c>
      <c r="Q37" s="1"/>
      <c r="S37" s="1"/>
      <c r="U37" s="3"/>
      <c r="V37" s="1"/>
    </row>
    <row r="38" spans="1:22" ht="12.75" customHeight="1">
      <c r="A38" s="3">
        <f>SUMIF('H1'!D40:D45,'H1'!D40,'H1'!G40:G45)+SUMIF('H1'!F40:F45,'H1'!D40,'H1'!E40:E45)</f>
        <v>4</v>
      </c>
      <c r="B38" s="3">
        <f>SUMIF('H1'!D40:D45,'H1'!D40,'H1'!E40:E45)+SUMIF('H1'!F40:F45,'H1'!D40,'H1'!G40:G45)-A38</f>
        <v>1</v>
      </c>
      <c r="C38" s="3">
        <f>SUMPRODUCT(('H1'!D40:D45='H1'!D40)*('H1'!E40:E45&gt;'H1'!G40:G45)+('H1'!F40:F45='H1'!D40)*('H1'!E40:E45&lt;'H1'!G40:G45)+('H1'!D40:F45='H1'!D40)*('H1'!E40:E45='H1'!G40:G45)*('H1'!E40:E45&lt;&gt;""))+(B38+50)*0.001+A38*0.00001-VLOOKUP('H1'!D40,$K$27:$L$50,2,0)*0.0000001</f>
        <v>3.0510378999999999</v>
      </c>
      <c r="D38" s="1" t="s">
        <v>211</v>
      </c>
      <c r="E38" s="1" t="s">
        <v>212</v>
      </c>
      <c r="F38" s="1" t="s">
        <v>213</v>
      </c>
      <c r="G38" s="1" t="s">
        <v>214</v>
      </c>
      <c r="H38" s="1" t="s">
        <v>215</v>
      </c>
      <c r="I38" s="1" t="s">
        <v>216</v>
      </c>
      <c r="J38" s="1" t="s">
        <v>217</v>
      </c>
      <c r="K38" s="1" t="str">
        <f t="shared" si="0"/>
        <v>Países Baj.</v>
      </c>
      <c r="L38" s="7">
        <v>12</v>
      </c>
      <c r="U38" s="1"/>
      <c r="V38" s="3"/>
    </row>
    <row r="39" spans="1:22" ht="12.75" customHeight="1">
      <c r="A39" s="3">
        <f>SUMIF('H1'!D40:D45,'H1'!D41,'H1'!G40:G45)+SUMIF('H1'!F40:F45,'H1'!D41,'H1'!E40:E45)</f>
        <v>1</v>
      </c>
      <c r="B39" s="3">
        <f>SUMIF('H1'!D40:D45,'H1'!D41,'H1'!E40:E45)+SUMIF('H1'!F40:F45,'H1'!D41,'H1'!G40:G45)-A39</f>
        <v>1</v>
      </c>
      <c r="C39" s="3">
        <f>SUMPRODUCT(('H1'!D40:D45='H1'!D41)*('H1'!E40:E45&gt;'H1'!G40:G45)+('H1'!F40:F45='H1'!D41)*('H1'!E40:E45&lt;'H1'!G40:G45)+('H1'!D40:F45='H1'!D41)*('H1'!E40:E45='H1'!G40:G45)*('H1'!E40:E45&lt;&gt;""))+(B39+50)*0.001+A39*0.00001-VLOOKUP('H1'!D41,$K$27:$L$50,2,0)*0.0000001</f>
        <v>4.0510077999999998</v>
      </c>
      <c r="D39" s="1" t="s">
        <v>218</v>
      </c>
      <c r="E39" s="1" t="s">
        <v>219</v>
      </c>
      <c r="F39" s="1" t="s">
        <v>220</v>
      </c>
      <c r="G39" s="1" t="s">
        <v>221</v>
      </c>
      <c r="H39" s="1" t="s">
        <v>218</v>
      </c>
      <c r="I39" s="1" t="s">
        <v>222</v>
      </c>
      <c r="J39" s="1" t="s">
        <v>223</v>
      </c>
      <c r="K39" s="1" t="str">
        <f t="shared" si="0"/>
        <v>Inglaterra</v>
      </c>
      <c r="L39" s="7">
        <v>13</v>
      </c>
      <c r="U39" s="1"/>
      <c r="V39" s="3"/>
    </row>
    <row r="40" spans="1:22" ht="12.75" customHeight="1">
      <c r="A40" s="3">
        <f>SUMIF('H1'!D40:D45,'H1'!D42,'H1'!G40:G45)+SUMIF('H1'!F40:F45,'H1'!D42,'H1'!E40:E45)</f>
        <v>4</v>
      </c>
      <c r="B40" s="3">
        <f>SUMIF('H1'!D40:D45,'H1'!D42,'H1'!E40:E45)+SUMIF('H1'!F40:F45,'H1'!D42,'H1'!G40:G45)-A40</f>
        <v>-3</v>
      </c>
      <c r="C40" s="3">
        <f>SUMPRODUCT(('H1'!D40:D45='H1'!D42)*('H1'!E40:E45&gt;'H1'!G40:G45)+('H1'!F40:F45='H1'!D42)*('H1'!E40:E45&lt;'H1'!G40:G45)+('H1'!D40:F45='H1'!D42)*('H1'!E40:E45='H1'!G40:G45)*('H1'!E40:E45&lt;&gt;""))+(B40+50)*0.001+A40*0.00001-VLOOKUP('H1'!D42,$K$27:$L$50,2,0)*0.0000001</f>
        <v>1.0470377</v>
      </c>
      <c r="D40" s="1" t="s">
        <v>224</v>
      </c>
      <c r="E40" s="1" t="s">
        <v>225</v>
      </c>
      <c r="F40" s="1" t="s">
        <v>226</v>
      </c>
      <c r="G40" s="1" t="s">
        <v>227</v>
      </c>
      <c r="H40" s="1" t="s">
        <v>228</v>
      </c>
      <c r="I40" s="1" t="s">
        <v>229</v>
      </c>
      <c r="J40" s="7" t="s">
        <v>230</v>
      </c>
      <c r="K40" s="1" t="str">
        <f t="shared" si="0"/>
        <v>Rep.Checa</v>
      </c>
      <c r="L40" s="7">
        <v>14</v>
      </c>
      <c r="U40" s="1"/>
      <c r="V40" s="3"/>
    </row>
    <row r="41" spans="1:22" ht="12.75" customHeight="1">
      <c r="A41" s="3">
        <f>SUMIF('H1'!D40:D45,'H1'!D43,'H1'!G40:G45)+SUMIF('H1'!F40:F45,'H1'!D43,'H1'!E40:E45)</f>
        <v>3</v>
      </c>
      <c r="B41" s="3">
        <f>SUMIF('H1'!D40:D45,'H1'!D43,'H1'!E40:E45)+SUMIF('H1'!F40:F45,'H1'!D43,'H1'!G40:G45)-A41</f>
        <v>1</v>
      </c>
      <c r="C41" s="3">
        <f>SUMPRODUCT(('H1'!D40:D45='H1'!D43)*('H1'!E40:E45&gt;'H1'!G40:G45)+('H1'!F40:F45='H1'!D43)*('H1'!E40:E45&lt;'H1'!G40:G45)+('H1'!D40:F45='H1'!D43)*('H1'!E40:E45='H1'!G40:G45)*('H1'!E40:E45&lt;&gt;""))+(B41+50)*0.001+A41*0.00001-VLOOKUP('H1'!D43,$K$27:$L$50,2,0)*0.0000001</f>
        <v>3.0510276000000003</v>
      </c>
      <c r="D41" s="1" t="s">
        <v>231</v>
      </c>
      <c r="E41" s="1" t="s">
        <v>232</v>
      </c>
      <c r="F41" s="1" t="s">
        <v>233</v>
      </c>
      <c r="G41" s="1" t="s">
        <v>234</v>
      </c>
      <c r="H41" s="1" t="s">
        <v>235</v>
      </c>
      <c r="I41" s="1" t="s">
        <v>236</v>
      </c>
      <c r="J41" s="1" t="s">
        <v>237</v>
      </c>
      <c r="K41" s="1" t="str">
        <f t="shared" si="0"/>
        <v>Croacia</v>
      </c>
      <c r="L41" s="7">
        <v>15</v>
      </c>
      <c r="U41" s="1"/>
      <c r="V41" s="3"/>
    </row>
    <row r="42" spans="1:22" ht="12.75" customHeight="1">
      <c r="A42" s="1"/>
      <c r="B42" s="3"/>
      <c r="D42" s="1" t="s">
        <v>238</v>
      </c>
      <c r="E42" s="1" t="s">
        <v>239</v>
      </c>
      <c r="F42" s="1" t="s">
        <v>240</v>
      </c>
      <c r="G42" s="1" t="s">
        <v>241</v>
      </c>
      <c r="H42" s="1" t="s">
        <v>242</v>
      </c>
      <c r="I42" s="1" t="s">
        <v>243</v>
      </c>
      <c r="J42" s="1" t="s">
        <v>244</v>
      </c>
      <c r="K42" s="1" t="str">
        <f t="shared" si="0"/>
        <v>Escocia</v>
      </c>
      <c r="L42" s="7">
        <v>16</v>
      </c>
      <c r="R42" s="1"/>
      <c r="T42" s="1"/>
      <c r="U42" s="3"/>
      <c r="V42" s="1"/>
    </row>
    <row r="43" spans="1:22" ht="12.75" customHeight="1">
      <c r="A43" s="1"/>
      <c r="B43" s="3"/>
      <c r="D43" s="1" t="s">
        <v>245</v>
      </c>
      <c r="E43" s="1" t="s">
        <v>246</v>
      </c>
      <c r="F43" s="1" t="s">
        <v>247</v>
      </c>
      <c r="G43" s="1" t="s">
        <v>248</v>
      </c>
      <c r="H43" s="1" t="s">
        <v>249</v>
      </c>
      <c r="I43" s="1" t="s">
        <v>250</v>
      </c>
      <c r="J43" s="1" t="s">
        <v>251</v>
      </c>
      <c r="K43" s="1" t="str">
        <f t="shared" si="0"/>
        <v>Polonia</v>
      </c>
      <c r="L43" s="7">
        <v>17</v>
      </c>
      <c r="Q43" s="1"/>
      <c r="S43" s="1"/>
      <c r="U43" s="3"/>
      <c r="V43" s="1"/>
    </row>
    <row r="44" spans="1:22" ht="12.75" customHeight="1">
      <c r="D44" s="1" t="s">
        <v>252</v>
      </c>
      <c r="E44" s="1" t="s">
        <v>253</v>
      </c>
      <c r="F44" s="1" t="s">
        <v>254</v>
      </c>
      <c r="G44" s="1" t="s">
        <v>255</v>
      </c>
      <c r="H44" s="1" t="s">
        <v>256</v>
      </c>
      <c r="I44" s="1" t="s">
        <v>257</v>
      </c>
      <c r="J44" s="1" t="s">
        <v>258</v>
      </c>
      <c r="K44" s="1" t="str">
        <f t="shared" si="0"/>
        <v>Suecia</v>
      </c>
      <c r="L44" s="7">
        <v>18</v>
      </c>
      <c r="U44" s="3"/>
      <c r="V44" s="1"/>
    </row>
    <row r="45" spans="1:22" ht="12.75" customHeight="1">
      <c r="A45" s="7">
        <f>'H1'!K9*3+'H1'!L9+('H1'!P9+50)*0.001+'H1'!O9*0.0001-VLOOKUP('H1'!I9,K27:L50,2,0)*0.0000001</f>
        <v>4.0494995999999999</v>
      </c>
      <c r="B45" s="7">
        <f>7*MATCH(LARGE(A45:A50,1),A45:A50,0)+2</f>
        <v>9</v>
      </c>
      <c r="D45" s="1" t="s">
        <v>259</v>
      </c>
      <c r="E45" s="1" t="s">
        <v>260</v>
      </c>
      <c r="F45" s="1" t="s">
        <v>261</v>
      </c>
      <c r="G45" s="1" t="s">
        <v>262</v>
      </c>
      <c r="H45" s="1" t="s">
        <v>263</v>
      </c>
      <c r="I45" s="1" t="s">
        <v>264</v>
      </c>
      <c r="J45" s="1" t="s">
        <v>265</v>
      </c>
      <c r="K45" s="1" t="str">
        <f t="shared" si="0"/>
        <v>Eslovaquia</v>
      </c>
      <c r="L45" s="7">
        <v>19</v>
      </c>
      <c r="U45" s="3"/>
      <c r="V45" s="1"/>
    </row>
    <row r="46" spans="1:22" ht="12.75" customHeight="1">
      <c r="A46" s="7">
        <f>'H1'!K16*3+'H1'!L16+('H1'!P16+50)*0.001+'H1'!O16*0.0001-VLOOKUP('H1'!I16,K27:L50,2,0)*0.0000001</f>
        <v>3.0482993</v>
      </c>
      <c r="B46" s="7">
        <f>7*MATCH(LARGE(A45:A50,2),A45:A50,0)+2</f>
        <v>44</v>
      </c>
      <c r="D46" s="1" t="s">
        <v>266</v>
      </c>
      <c r="E46" s="1" t="s">
        <v>267</v>
      </c>
      <c r="F46" s="1" t="s">
        <v>268</v>
      </c>
      <c r="G46" s="1" t="s">
        <v>269</v>
      </c>
      <c r="H46" s="1" t="s">
        <v>270</v>
      </c>
      <c r="I46" s="1" t="s">
        <v>271</v>
      </c>
      <c r="J46" s="1" t="s">
        <v>272</v>
      </c>
      <c r="K46" s="1" t="str">
        <f t="shared" si="0"/>
        <v>España</v>
      </c>
      <c r="L46" s="7">
        <v>20</v>
      </c>
      <c r="U46" s="3"/>
      <c r="V46" s="1"/>
    </row>
    <row r="47" spans="1:22" ht="12.75" customHeight="1">
      <c r="A47" s="7">
        <f>'H1'!K23*3+'H1'!L23+('H1'!P23+50)*0.001+'H1'!O23*0.0001-VLOOKUP('H1'!I23,K27:L50,2,0)*0.0000001</f>
        <v>3.049499</v>
      </c>
      <c r="B47" s="7">
        <f>7*MATCH(LARGE(A45:A50,3),A45:A50,0)+2</f>
        <v>23</v>
      </c>
      <c r="D47" s="1" t="s">
        <v>273</v>
      </c>
      <c r="E47" s="1" t="s">
        <v>274</v>
      </c>
      <c r="F47" s="1" t="s">
        <v>273</v>
      </c>
      <c r="G47" s="1" t="s">
        <v>275</v>
      </c>
      <c r="H47" s="1" t="s">
        <v>273</v>
      </c>
      <c r="I47" s="1" t="s">
        <v>273</v>
      </c>
      <c r="J47" s="1" t="s">
        <v>276</v>
      </c>
      <c r="K47" s="1" t="str">
        <f t="shared" si="0"/>
        <v>Portugal</v>
      </c>
      <c r="L47" s="7">
        <v>21</v>
      </c>
      <c r="R47" s="1"/>
      <c r="T47" s="1"/>
      <c r="U47" s="3"/>
      <c r="V47" s="1"/>
    </row>
    <row r="48" spans="1:22" ht="12.75" customHeight="1">
      <c r="A48" s="7">
        <f>'H1'!K30*3+'H1'!L30+('H1'!P30+50)*0.001+'H1'!O30*0.0001-VLOOKUP('H1'!I30,K27:L50,2,0)*0.0000001</f>
        <v>2.0491984999999997</v>
      </c>
      <c r="B48" s="7">
        <f>7*MATCH(LARGE(A45:A50,4),A45:A50,0)+2</f>
        <v>16</v>
      </c>
      <c r="D48" s="1" t="s">
        <v>277</v>
      </c>
      <c r="E48" s="7" t="s">
        <v>278</v>
      </c>
      <c r="F48" s="1" t="s">
        <v>279</v>
      </c>
      <c r="G48" s="1" t="s">
        <v>280</v>
      </c>
      <c r="H48" s="1" t="s">
        <v>281</v>
      </c>
      <c r="I48" s="1" t="s">
        <v>281</v>
      </c>
      <c r="J48" s="1" t="s">
        <v>282</v>
      </c>
      <c r="K48" s="1" t="str">
        <f t="shared" si="0"/>
        <v>Francia</v>
      </c>
      <c r="L48" s="7">
        <v>22</v>
      </c>
      <c r="Q48" s="1"/>
      <c r="S48" s="1"/>
      <c r="U48" s="3"/>
      <c r="V48" s="1"/>
    </row>
    <row r="49" spans="1:22" ht="12.75" customHeight="1">
      <c r="A49" s="7">
        <f>'H1'!K37*3+'H1'!L37+('H1'!P37+50)*0.001+'H1'!O37*0.0001-VLOOKUP('H1'!I37,K27:L50,2,0)*0.0000001</f>
        <v>2.0500980000000002</v>
      </c>
      <c r="B49" s="7">
        <f>7*MATCH(LARGE(A45:A50,5),A45:A50,0)+2</f>
        <v>37</v>
      </c>
      <c r="D49" s="1" t="s">
        <v>283</v>
      </c>
      <c r="E49" s="1" t="s">
        <v>284</v>
      </c>
      <c r="F49" s="1" t="s">
        <v>285</v>
      </c>
      <c r="G49" s="1" t="s">
        <v>286</v>
      </c>
      <c r="H49" s="1" t="s">
        <v>287</v>
      </c>
      <c r="I49" s="1" t="s">
        <v>288</v>
      </c>
      <c r="J49" s="1" t="s">
        <v>289</v>
      </c>
      <c r="K49" s="1" t="str">
        <f t="shared" si="0"/>
        <v>Hungría</v>
      </c>
      <c r="L49" s="7">
        <v>23</v>
      </c>
      <c r="U49" s="3"/>
      <c r="V49" s="1"/>
    </row>
    <row r="50" spans="1:22" ht="12.75" customHeight="1">
      <c r="A50" s="7">
        <f>'H1'!K44*3+'H1'!L44+('H1'!P44+50)*0.001+'H1'!O44*0.0001-VLOOKUP('H1'!I44,K27:L50,2,0)*0.0000001</f>
        <v>3.0512976000000003</v>
      </c>
      <c r="B50" s="7">
        <f>7*MATCH(LARGE(A45:A50,6),A45:A50,0)+2</f>
        <v>30</v>
      </c>
      <c r="D50" s="1" t="s">
        <v>290</v>
      </c>
      <c r="E50" s="1" t="s">
        <v>291</v>
      </c>
      <c r="F50" s="1" t="s">
        <v>292</v>
      </c>
      <c r="G50" s="1" t="s">
        <v>293</v>
      </c>
      <c r="H50" s="1" t="s">
        <v>294</v>
      </c>
      <c r="I50" s="1" t="s">
        <v>295</v>
      </c>
      <c r="J50" s="1" t="s">
        <v>296</v>
      </c>
      <c r="K50" s="1" t="str">
        <f t="shared" si="0"/>
        <v>Alemania</v>
      </c>
      <c r="L50" s="7">
        <v>24</v>
      </c>
      <c r="U50" s="3"/>
      <c r="V50" s="1"/>
    </row>
    <row r="51" spans="1:22" ht="12.75" customHeight="1">
      <c r="D51" s="1" t="s">
        <v>297</v>
      </c>
      <c r="E51" s="1" t="s">
        <v>298</v>
      </c>
      <c r="F51" s="1" t="s">
        <v>299</v>
      </c>
      <c r="G51" s="1" t="s">
        <v>300</v>
      </c>
      <c r="H51" s="1" t="s">
        <v>301</v>
      </c>
      <c r="I51" s="1" t="s">
        <v>302</v>
      </c>
      <c r="J51" s="1" t="s">
        <v>303</v>
      </c>
      <c r="K51" s="1" t="str">
        <f t="shared" si="0"/>
        <v>3er.</v>
      </c>
      <c r="U51" s="3"/>
      <c r="V51" s="1"/>
    </row>
    <row r="52" spans="1:22" ht="12.75" customHeight="1">
      <c r="D52" s="1" t="s">
        <v>304</v>
      </c>
      <c r="E52" s="1" t="s">
        <v>305</v>
      </c>
      <c r="F52" s="1" t="s">
        <v>305</v>
      </c>
      <c r="G52" s="1" t="s">
        <v>305</v>
      </c>
      <c r="H52" s="1" t="s">
        <v>306</v>
      </c>
      <c r="I52" s="1" t="s">
        <v>307</v>
      </c>
      <c r="J52" s="1" t="s">
        <v>308</v>
      </c>
      <c r="K52" s="1" t="str">
        <f t="shared" si="0"/>
        <v>4to.</v>
      </c>
      <c r="U52" s="3"/>
      <c r="V52" s="1"/>
    </row>
    <row r="53" spans="1:22" ht="12.75" customHeight="1">
      <c r="D53" s="1" t="s">
        <v>309</v>
      </c>
      <c r="E53" s="1" t="s">
        <v>309</v>
      </c>
      <c r="F53" s="1" t="s">
        <v>310</v>
      </c>
      <c r="G53" s="1" t="s">
        <v>311</v>
      </c>
      <c r="H53" s="1" t="s">
        <v>309</v>
      </c>
      <c r="I53" s="1" t="s">
        <v>309</v>
      </c>
      <c r="J53" s="1" t="s">
        <v>312</v>
      </c>
      <c r="K53" s="1" t="str">
        <f t="shared" si="0"/>
        <v>campeón</v>
      </c>
      <c r="U53" s="3"/>
      <c r="V53" s="1"/>
    </row>
    <row r="54" spans="1:22" ht="12.75" customHeight="1">
      <c r="A54" s="1"/>
      <c r="D54" s="1" t="s">
        <v>313</v>
      </c>
      <c r="E54" s="1" t="s">
        <v>314</v>
      </c>
      <c r="F54" s="1" t="s">
        <v>315</v>
      </c>
      <c r="G54" s="1" t="s">
        <v>316</v>
      </c>
      <c r="H54" s="1" t="s">
        <v>317</v>
      </c>
      <c r="I54" s="1" t="s">
        <v>318</v>
      </c>
      <c r="J54" s="1" t="s">
        <v>319</v>
      </c>
      <c r="K54" s="1" t="str">
        <f t="shared" si="0"/>
        <v xml:space="preserve"> puesto</v>
      </c>
      <c r="U54" s="3"/>
      <c r="V54" s="1"/>
    </row>
    <row r="55" spans="1:22" ht="12.75" customHeight="1">
      <c r="A55" s="1"/>
      <c r="D55" s="1" t="s">
        <v>320</v>
      </c>
      <c r="E55" s="1" t="s">
        <v>320</v>
      </c>
      <c r="F55" s="1" t="s">
        <v>320</v>
      </c>
      <c r="G55" s="1" t="s">
        <v>320</v>
      </c>
      <c r="H55" s="1" t="s">
        <v>321</v>
      </c>
      <c r="I55" s="1" t="s">
        <v>322</v>
      </c>
      <c r="J55" s="1" t="s">
        <v>323</v>
      </c>
      <c r="K55" s="1" t="str">
        <f t="shared" si="0"/>
        <v>Europa</v>
      </c>
      <c r="U55" s="3"/>
      <c r="V55" s="1"/>
    </row>
    <row r="56" spans="1:22" ht="12.75" customHeight="1">
      <c r="A56" s="1"/>
      <c r="D56" s="1" t="s">
        <v>324</v>
      </c>
      <c r="E56" s="1" t="s">
        <v>324</v>
      </c>
      <c r="F56" s="1" t="s">
        <v>325</v>
      </c>
      <c r="G56" s="1" t="s">
        <v>325</v>
      </c>
      <c r="H56" s="1" t="s">
        <v>326</v>
      </c>
      <c r="I56" s="1" t="s">
        <v>324</v>
      </c>
      <c r="J56" s="1" t="s">
        <v>327</v>
      </c>
      <c r="K56" s="1" t="str">
        <f t="shared" si="0"/>
        <v>F I NAL</v>
      </c>
      <c r="U56" s="3"/>
      <c r="V56" s="1"/>
    </row>
    <row r="57" spans="1:22" ht="12.75" customHeight="1">
      <c r="A57" s="1"/>
      <c r="D57" s="7" t="s">
        <v>328</v>
      </c>
      <c r="E57" s="7" t="s">
        <v>329</v>
      </c>
      <c r="F57" s="7" t="s">
        <v>330</v>
      </c>
      <c r="G57" s="1" t="s">
        <v>331</v>
      </c>
      <c r="H57" s="1" t="s">
        <v>332</v>
      </c>
      <c r="I57" s="1" t="s">
        <v>333</v>
      </c>
      <c r="J57" s="1" t="s">
        <v>334</v>
      </c>
      <c r="K57" s="1" t="str">
        <f t="shared" si="0"/>
        <v>En caso de empate entre los equipos, sumar 0.1 a los goles del grupo escogido pero, en ningún cotejo en el que haya igualado.</v>
      </c>
      <c r="U57" s="3"/>
      <c r="V57" s="1"/>
    </row>
    <row r="58" spans="1:22" ht="12.75" customHeight="1">
      <c r="A58" s="1"/>
      <c r="D58" s="7" t="s">
        <v>335</v>
      </c>
      <c r="E58" s="7" t="s">
        <v>336</v>
      </c>
      <c r="F58" s="7" t="s">
        <v>337</v>
      </c>
      <c r="G58" s="1" t="s">
        <v>338</v>
      </c>
      <c r="H58" s="1" t="str">
        <f>"WELCOME TO THE MOST IMPORTANT MALE SPORTS CELEBRATION IN EUROPE,  ENJOY THE TOURNAMENT AND ENCOURAGE YOUR TEAMS"</f>
        <v>WELCOME TO THE MOST IMPORTANT MALE SPORTS CELEBRATION IN EUROPE,  ENJOY THE TOURNAMENT AND ENCOURAGE YOUR TEAMS</v>
      </c>
      <c r="I58" s="1" t="s">
        <v>339</v>
      </c>
      <c r="J58" s="1" t="s">
        <v>340</v>
      </c>
      <c r="K58" s="1" t="str">
        <f t="shared" si="0"/>
        <v>BIENVENIDOS AL EVENTO DEPORTIVO MAS IMPORTANTE  DE EUROPA, GOCEN DEL JUEGO Y ANIMEN A SUS EQUIPOS</v>
      </c>
      <c r="U58" s="3"/>
      <c r="V58" s="1"/>
    </row>
    <row r="59" spans="1:22" ht="12.75" customHeight="1">
      <c r="A59" s="1"/>
      <c r="D59" s="7" t="s">
        <v>341</v>
      </c>
      <c r="E59" s="1" t="s">
        <v>342</v>
      </c>
      <c r="F59" s="1" t="s">
        <v>342</v>
      </c>
      <c r="G59" s="1" t="s">
        <v>342</v>
      </c>
      <c r="H59" s="1" t="s">
        <v>343</v>
      </c>
      <c r="I59" s="1" t="s">
        <v>343</v>
      </c>
      <c r="J59" s="1" t="s">
        <v>344</v>
      </c>
      <c r="K59" s="1" t="str">
        <f t="shared" si="0"/>
        <v>Roma</v>
      </c>
      <c r="U59" s="3"/>
      <c r="V59" s="1"/>
    </row>
    <row r="60" spans="1:22" ht="12.75" customHeight="1">
      <c r="A60" s="1"/>
      <c r="D60" s="1" t="s">
        <v>345</v>
      </c>
      <c r="E60" s="1" t="s">
        <v>345</v>
      </c>
      <c r="F60" s="1" t="s">
        <v>345</v>
      </c>
      <c r="G60" s="1" t="s">
        <v>346</v>
      </c>
      <c r="H60" s="1" t="s">
        <v>345</v>
      </c>
      <c r="J60" s="1" t="s">
        <v>347</v>
      </c>
      <c r="K60" s="1" t="str">
        <f t="shared" si="0"/>
        <v>Bakú</v>
      </c>
      <c r="U60" s="3"/>
      <c r="V60" s="1"/>
    </row>
    <row r="61" spans="1:22" ht="12.75" customHeight="1">
      <c r="A61" s="1"/>
      <c r="D61" s="1" t="s">
        <v>348</v>
      </c>
      <c r="E61" s="1" t="s">
        <v>349</v>
      </c>
      <c r="F61" s="1" t="s">
        <v>350</v>
      </c>
      <c r="G61" s="1" t="s">
        <v>350</v>
      </c>
      <c r="H61" s="7" t="s">
        <v>351</v>
      </c>
      <c r="I61" s="1" t="s">
        <v>350</v>
      </c>
      <c r="J61" s="1" t="s">
        <v>352</v>
      </c>
      <c r="K61" s="1" t="str">
        <f t="shared" si="0"/>
        <v>Copenhague</v>
      </c>
      <c r="U61" s="3"/>
      <c r="V61" s="1"/>
    </row>
    <row r="62" spans="1:22" ht="12.75" customHeight="1">
      <c r="A62" s="1"/>
      <c r="D62" s="1" t="s">
        <v>353</v>
      </c>
      <c r="E62" s="1" t="s">
        <v>354</v>
      </c>
      <c r="F62" s="1" t="s">
        <v>355</v>
      </c>
      <c r="G62" s="1" t="s">
        <v>355</v>
      </c>
      <c r="H62" s="1" t="s">
        <v>353</v>
      </c>
      <c r="I62" s="1" t="s">
        <v>356</v>
      </c>
      <c r="J62" s="1" t="s">
        <v>357</v>
      </c>
      <c r="K62" s="1" t="str">
        <f t="shared" si="0"/>
        <v>Petersburgo</v>
      </c>
      <c r="U62" s="3"/>
      <c r="V62" s="1"/>
    </row>
    <row r="63" spans="1:22" ht="12.75" customHeight="1">
      <c r="A63" s="1"/>
      <c r="D63" s="1" t="s">
        <v>358</v>
      </c>
      <c r="E63" s="1" t="s">
        <v>359</v>
      </c>
      <c r="F63" s="7" t="s">
        <v>360</v>
      </c>
      <c r="G63" s="1" t="s">
        <v>359</v>
      </c>
      <c r="H63" s="7" t="s">
        <v>361</v>
      </c>
      <c r="I63" s="1" t="s">
        <v>359</v>
      </c>
      <c r="J63" s="1" t="s">
        <v>362</v>
      </c>
      <c r="K63" s="1" t="str">
        <f t="shared" si="0"/>
        <v>Bucarest</v>
      </c>
      <c r="U63" s="3"/>
      <c r="V63" s="1"/>
    </row>
    <row r="64" spans="1:22" ht="12.75" customHeight="1">
      <c r="A64" s="1"/>
      <c r="D64" s="1" t="s">
        <v>363</v>
      </c>
      <c r="E64" s="1" t="s">
        <v>363</v>
      </c>
      <c r="F64" s="1" t="s">
        <v>363</v>
      </c>
      <c r="G64" s="1" t="s">
        <v>364</v>
      </c>
      <c r="H64" s="1" t="s">
        <v>363</v>
      </c>
      <c r="I64" s="1" t="s">
        <v>363</v>
      </c>
      <c r="J64" s="1" t="s">
        <v>365</v>
      </c>
      <c r="K64" s="1" t="str">
        <f t="shared" si="0"/>
        <v>Ámsterdam</v>
      </c>
      <c r="U64" s="3"/>
      <c r="V64" s="1"/>
    </row>
    <row r="65" spans="1:22" ht="12.75" customHeight="1">
      <c r="A65" s="1"/>
      <c r="D65" s="1" t="s">
        <v>366</v>
      </c>
      <c r="E65" s="1" t="s">
        <v>367</v>
      </c>
      <c r="F65" s="1" t="s">
        <v>368</v>
      </c>
      <c r="G65" s="1" t="s">
        <v>368</v>
      </c>
      <c r="H65" s="1" t="s">
        <v>366</v>
      </c>
      <c r="I65" s="1" t="s">
        <v>368</v>
      </c>
      <c r="J65" s="1" t="s">
        <v>369</v>
      </c>
      <c r="K65" s="1" t="str">
        <f t="shared" si="0"/>
        <v>Londres</v>
      </c>
      <c r="U65" s="3"/>
      <c r="V65" s="1"/>
    </row>
    <row r="66" spans="1:22" ht="12.75" customHeight="1">
      <c r="A66" s="1"/>
      <c r="D66" s="1" t="s">
        <v>370</v>
      </c>
      <c r="E66" s="1" t="s">
        <v>370</v>
      </c>
      <c r="F66" s="1" t="s">
        <v>370</v>
      </c>
      <c r="G66" s="1" t="s">
        <v>370</v>
      </c>
      <c r="H66" s="1" t="s">
        <v>370</v>
      </c>
      <c r="I66" s="1" t="s">
        <v>370</v>
      </c>
      <c r="J66" s="1" t="s">
        <v>371</v>
      </c>
      <c r="K66" s="1" t="str">
        <f t="shared" si="0"/>
        <v>Glasgow</v>
      </c>
      <c r="U66" s="3"/>
      <c r="V66" s="1"/>
    </row>
    <row r="67" spans="1:22" ht="12.75" customHeight="1">
      <c r="A67" s="1"/>
      <c r="D67" s="1" t="s">
        <v>372</v>
      </c>
      <c r="E67" s="1" t="s">
        <v>373</v>
      </c>
      <c r="F67" s="1" t="s">
        <v>372</v>
      </c>
      <c r="G67" s="1" t="s">
        <v>374</v>
      </c>
      <c r="H67" s="1" t="s">
        <v>372</v>
      </c>
      <c r="I67" s="1" t="s">
        <v>372</v>
      </c>
      <c r="J67" s="1" t="s">
        <v>375</v>
      </c>
      <c r="K67" s="1" t="str">
        <f t="shared" si="0"/>
        <v>Dublín</v>
      </c>
      <c r="U67" s="3"/>
      <c r="V67" s="1"/>
    </row>
    <row r="68" spans="1:22" ht="12.75" customHeight="1">
      <c r="A68" s="1"/>
      <c r="D68" s="1" t="s">
        <v>376</v>
      </c>
      <c r="E68" s="1" t="s">
        <v>377</v>
      </c>
      <c r="F68" s="1" t="s">
        <v>378</v>
      </c>
      <c r="G68" s="1" t="s">
        <v>376</v>
      </c>
      <c r="H68" s="1" t="s">
        <v>379</v>
      </c>
      <c r="I68" s="1" t="s">
        <v>380</v>
      </c>
      <c r="J68" s="1" t="s">
        <v>381</v>
      </c>
      <c r="K68" s="1" t="str">
        <f t="shared" si="0"/>
        <v>Sevilla</v>
      </c>
      <c r="U68" s="3"/>
      <c r="V68" s="1"/>
    </row>
    <row r="69" spans="1:22" ht="12.75" customHeight="1">
      <c r="A69" s="1"/>
      <c r="D69" s="1" t="s">
        <v>382</v>
      </c>
      <c r="E69" s="1" t="s">
        <v>383</v>
      </c>
      <c r="F69" s="7" t="s">
        <v>384</v>
      </c>
      <c r="G69" s="1" t="s">
        <v>385</v>
      </c>
      <c r="H69" s="1" t="s">
        <v>385</v>
      </c>
      <c r="I69" s="1" t="s">
        <v>385</v>
      </c>
      <c r="J69" s="1" t="s">
        <v>386</v>
      </c>
      <c r="K69" s="1" t="str">
        <f t="shared" si="0"/>
        <v>Munich</v>
      </c>
      <c r="U69" s="3"/>
      <c r="V69" s="1"/>
    </row>
    <row r="70" spans="1:22" ht="12.75" customHeight="1">
      <c r="A70" s="1"/>
      <c r="D70" s="1" t="s">
        <v>387</v>
      </c>
      <c r="E70" s="1" t="s">
        <v>387</v>
      </c>
      <c r="F70" s="7" t="s">
        <v>388</v>
      </c>
      <c r="G70" s="1" t="s">
        <v>387</v>
      </c>
      <c r="H70" s="1" t="s">
        <v>387</v>
      </c>
      <c r="I70" s="1" t="s">
        <v>387</v>
      </c>
      <c r="J70" s="1" t="s">
        <v>389</v>
      </c>
      <c r="K70" s="1" t="str">
        <f t="shared" si="0"/>
        <v>Budapest</v>
      </c>
      <c r="U70" s="3"/>
      <c r="V70" s="1"/>
    </row>
    <row r="71" spans="1:22" ht="12.75" customHeight="1">
      <c r="A71" s="1"/>
      <c r="U71" s="3"/>
      <c r="V71" s="1"/>
    </row>
    <row r="72" spans="1:22" ht="12.75" customHeight="1">
      <c r="A72" s="1"/>
      <c r="U72" s="3"/>
      <c r="V72" s="1"/>
    </row>
    <row r="73" spans="1:22" ht="12.75" customHeight="1">
      <c r="A73" s="1"/>
      <c r="U73" s="3"/>
      <c r="V73" s="1"/>
    </row>
    <row r="74" spans="1:22" ht="12.75" customHeight="1">
      <c r="A74" s="1"/>
      <c r="U74" s="3"/>
      <c r="V74" s="1"/>
    </row>
    <row r="75" spans="1:22" ht="12.75" customHeight="1">
      <c r="A75" s="1"/>
      <c r="U75" s="3"/>
      <c r="V75" s="1"/>
    </row>
    <row r="76" spans="1:22" ht="12.75" customHeight="1">
      <c r="A76" s="1"/>
      <c r="U76" s="3"/>
      <c r="V76" s="1"/>
    </row>
    <row r="77" spans="1:22" ht="12.75" customHeight="1">
      <c r="A77" s="1"/>
      <c r="U77" s="3"/>
      <c r="V77" s="1"/>
    </row>
    <row r="78" spans="1:22" ht="12.75" customHeight="1">
      <c r="A78" s="1"/>
      <c r="U78" s="3"/>
      <c r="V78" s="1"/>
    </row>
    <row r="79" spans="1:22" ht="12.75" customHeight="1">
      <c r="A79" s="1"/>
      <c r="U79" s="3"/>
      <c r="V79" s="1"/>
    </row>
    <row r="80" spans="1:22" ht="12.75" customHeight="1">
      <c r="A80" s="1"/>
      <c r="U80" s="3"/>
      <c r="V80" s="1"/>
    </row>
    <row r="81" spans="1:22" ht="12.75" customHeight="1">
      <c r="A81" s="1"/>
      <c r="U81" s="3"/>
      <c r="V81" s="1"/>
    </row>
    <row r="82" spans="1:22" ht="12.75" customHeight="1">
      <c r="A82" s="1"/>
      <c r="U82" s="3"/>
      <c r="V82" s="1"/>
    </row>
    <row r="83" spans="1:22" ht="12.75" customHeight="1">
      <c r="A83" s="1"/>
      <c r="U83" s="3"/>
      <c r="V83" s="1"/>
    </row>
    <row r="84" spans="1:22" ht="12.75" customHeight="1">
      <c r="A84" s="1"/>
      <c r="U84" s="3"/>
      <c r="V84" s="1"/>
    </row>
    <row r="85" spans="1:22" ht="12.75" customHeight="1">
      <c r="A85" s="1"/>
      <c r="U85" s="3"/>
      <c r="V85" s="1"/>
    </row>
    <row r="86" spans="1:22" ht="12.75" customHeight="1">
      <c r="A86" s="1"/>
      <c r="U86" s="3"/>
      <c r="V86" s="1"/>
    </row>
    <row r="87" spans="1:22" ht="12.75" customHeight="1">
      <c r="A87" s="1"/>
      <c r="U87" s="3"/>
      <c r="V87" s="1"/>
    </row>
    <row r="88" spans="1:22" ht="12.75" customHeight="1">
      <c r="A88" s="1"/>
      <c r="U88" s="3"/>
      <c r="V88" s="1"/>
    </row>
    <row r="89" spans="1:22" ht="12.75" customHeight="1">
      <c r="A89" s="1"/>
      <c r="U89" s="3"/>
      <c r="V89" s="1"/>
    </row>
    <row r="90" spans="1:22" ht="12.75" customHeight="1">
      <c r="A90" s="1"/>
      <c r="U90" s="3"/>
      <c r="V90" s="1"/>
    </row>
    <row r="91" spans="1:22" ht="12.75" customHeight="1">
      <c r="A91" s="1"/>
      <c r="U91" s="3"/>
      <c r="V91" s="1"/>
    </row>
    <row r="92" spans="1:22" ht="12.75" customHeight="1">
      <c r="A92" s="1"/>
      <c r="U92" s="3"/>
      <c r="V92" s="1"/>
    </row>
    <row r="93" spans="1:22" ht="12.75" customHeight="1">
      <c r="A93" s="1"/>
      <c r="U93" s="3"/>
      <c r="V93" s="1"/>
    </row>
    <row r="94" spans="1:22" ht="12.75" customHeight="1">
      <c r="A94" s="1"/>
      <c r="U94" s="3"/>
      <c r="V94" s="1"/>
    </row>
    <row r="95" spans="1:22" ht="12.75" customHeight="1">
      <c r="A95" s="1"/>
      <c r="U95" s="3"/>
      <c r="V95" s="1"/>
    </row>
    <row r="96" spans="1:22" ht="12.75" customHeight="1">
      <c r="A96" s="1"/>
      <c r="U96" s="3"/>
      <c r="V96" s="1"/>
    </row>
    <row r="97" spans="1:22" ht="12.75" customHeight="1">
      <c r="A97" s="1"/>
      <c r="U97" s="3"/>
      <c r="V97" s="1"/>
    </row>
    <row r="98" spans="1:22" ht="12.75" customHeight="1">
      <c r="A98" s="1"/>
      <c r="U98" s="3"/>
      <c r="V98" s="1"/>
    </row>
    <row r="99" spans="1:22" ht="12.75" customHeight="1">
      <c r="A99" s="1"/>
      <c r="U99" s="3"/>
      <c r="V99" s="1"/>
    </row>
    <row r="100" spans="1:22" ht="12.75" customHeight="1">
      <c r="A100" s="1"/>
      <c r="U100" s="3"/>
      <c r="V100" s="1"/>
    </row>
    <row r="101" spans="1:22" ht="12.75" customHeight="1">
      <c r="A101" s="1"/>
      <c r="U101" s="3"/>
      <c r="V101" s="1"/>
    </row>
    <row r="102" spans="1:22" ht="12.75" customHeight="1">
      <c r="A102" s="1"/>
      <c r="U102" s="3"/>
      <c r="V102" s="1"/>
    </row>
    <row r="103" spans="1:22" ht="12.75" customHeight="1">
      <c r="A103" s="1"/>
      <c r="U103" s="3"/>
      <c r="V103" s="1"/>
    </row>
    <row r="104" spans="1:22" ht="12.75" customHeight="1">
      <c r="A104" s="1"/>
      <c r="U104" s="3"/>
      <c r="V104" s="1"/>
    </row>
    <row r="105" spans="1:22" ht="12.75" customHeight="1">
      <c r="A105" s="1"/>
      <c r="U105" s="3"/>
      <c r="V105" s="1"/>
    </row>
    <row r="106" spans="1:22" ht="12.75" customHeight="1">
      <c r="A106" s="1"/>
      <c r="U106" s="3"/>
      <c r="V106" s="1"/>
    </row>
    <row r="107" spans="1:22" ht="12.75" customHeight="1">
      <c r="A107" s="1"/>
      <c r="U107" s="3"/>
      <c r="V107" s="1"/>
    </row>
    <row r="108" spans="1:22" ht="12.75" customHeight="1">
      <c r="A108" s="1"/>
      <c r="U108" s="3"/>
      <c r="V108" s="1"/>
    </row>
    <row r="109" spans="1:22" ht="12.75" customHeight="1">
      <c r="A109" s="1"/>
      <c r="U109" s="3"/>
      <c r="V109" s="1"/>
    </row>
    <row r="110" spans="1:22" ht="12.75" customHeight="1">
      <c r="A110" s="1"/>
      <c r="U110" s="3"/>
      <c r="V110" s="1"/>
    </row>
    <row r="111" spans="1:22" ht="12.75" customHeight="1">
      <c r="A111" s="1"/>
      <c r="U111" s="3"/>
      <c r="V111" s="1"/>
    </row>
    <row r="112" spans="1:22" ht="12.75" customHeight="1">
      <c r="A112" s="1"/>
      <c r="U112" s="3"/>
      <c r="V112" s="1"/>
    </row>
    <row r="113" spans="1:22" ht="12.75" customHeight="1">
      <c r="A113" s="1"/>
      <c r="U113" s="3"/>
      <c r="V113" s="1"/>
    </row>
    <row r="114" spans="1:22" ht="12.75" customHeight="1">
      <c r="A114" s="1"/>
      <c r="U114" s="3"/>
      <c r="V114" s="1"/>
    </row>
    <row r="115" spans="1:22" ht="12.75" customHeight="1">
      <c r="A115" s="1"/>
      <c r="U115" s="3"/>
      <c r="V115" s="1"/>
    </row>
    <row r="116" spans="1:22" ht="12.75" customHeight="1">
      <c r="A116" s="1"/>
      <c r="U116" s="3"/>
      <c r="V116" s="1"/>
    </row>
    <row r="117" spans="1:22" ht="12.75" customHeight="1">
      <c r="A117" s="1"/>
      <c r="U117" s="3"/>
      <c r="V117" s="1"/>
    </row>
    <row r="118" spans="1:22" ht="12.75" customHeight="1">
      <c r="A118" s="1"/>
      <c r="U118" s="3"/>
      <c r="V118" s="1"/>
    </row>
    <row r="119" spans="1:22" ht="12.75" customHeight="1">
      <c r="A119" s="1"/>
      <c r="U119" s="3"/>
      <c r="V119" s="1"/>
    </row>
    <row r="120" spans="1:22" ht="12.75" customHeight="1">
      <c r="A120" s="1"/>
      <c r="U120" s="3"/>
      <c r="V120" s="1"/>
    </row>
    <row r="121" spans="1:22" ht="12.75" customHeight="1">
      <c r="A121" s="1"/>
      <c r="U121" s="3"/>
      <c r="V121" s="1"/>
    </row>
    <row r="122" spans="1:22" ht="12.75" customHeight="1">
      <c r="A122" s="1"/>
      <c r="U122" s="3"/>
      <c r="V122" s="1"/>
    </row>
    <row r="123" spans="1:22" ht="12.75" customHeight="1">
      <c r="A123" s="1"/>
      <c r="U123" s="3"/>
      <c r="V123" s="1"/>
    </row>
    <row r="124" spans="1:22" ht="12.75" customHeight="1">
      <c r="A124" s="1"/>
      <c r="U124" s="3"/>
      <c r="V124" s="1"/>
    </row>
    <row r="125" spans="1:22" ht="12.75" customHeight="1">
      <c r="A125" s="1"/>
      <c r="U125" s="3"/>
      <c r="V125" s="1"/>
    </row>
    <row r="126" spans="1:22" ht="12.75" customHeight="1">
      <c r="A126" s="1"/>
      <c r="U126" s="3"/>
      <c r="V126" s="1"/>
    </row>
    <row r="127" spans="1:22" ht="12.75" customHeight="1">
      <c r="A127" s="1"/>
      <c r="U127" s="3"/>
      <c r="V127" s="1"/>
    </row>
    <row r="128" spans="1:22" ht="12.75" customHeight="1">
      <c r="A128" s="1"/>
      <c r="U128" s="3"/>
      <c r="V128" s="1"/>
    </row>
    <row r="129" spans="1:22" ht="12.75" customHeight="1">
      <c r="A129" s="1"/>
      <c r="U129" s="3"/>
      <c r="V129" s="1"/>
    </row>
    <row r="130" spans="1:22" ht="12.75" customHeight="1">
      <c r="A130" s="1"/>
      <c r="U130" s="3"/>
      <c r="V130" s="1"/>
    </row>
    <row r="131" spans="1:22" ht="12.75" customHeight="1">
      <c r="A131" s="1"/>
      <c r="U131" s="3"/>
      <c r="V131" s="1"/>
    </row>
    <row r="132" spans="1:22" ht="12.75" customHeight="1">
      <c r="A132" s="1"/>
      <c r="U132" s="3"/>
      <c r="V132" s="1"/>
    </row>
    <row r="133" spans="1:22" ht="12.75" customHeight="1">
      <c r="A133" s="1"/>
      <c r="U133" s="3"/>
      <c r="V133" s="1"/>
    </row>
    <row r="134" spans="1:22" ht="12.75" customHeight="1">
      <c r="A134" s="1"/>
      <c r="U134" s="3"/>
      <c r="V134" s="1"/>
    </row>
    <row r="135" spans="1:22" ht="12.75" customHeight="1">
      <c r="A135" s="1"/>
      <c r="U135" s="3"/>
      <c r="V135" s="1"/>
    </row>
    <row r="136" spans="1:22" ht="12.75" customHeight="1">
      <c r="A136" s="1"/>
      <c r="U136" s="3"/>
      <c r="V136" s="1"/>
    </row>
    <row r="137" spans="1:22" ht="12.75" customHeight="1">
      <c r="A137" s="1"/>
      <c r="U137" s="3"/>
      <c r="V137" s="1"/>
    </row>
    <row r="138" spans="1:22" ht="12.75" customHeight="1">
      <c r="A138" s="1"/>
      <c r="U138" s="3"/>
      <c r="V138" s="1"/>
    </row>
    <row r="139" spans="1:22" ht="12.75" customHeight="1">
      <c r="A139" s="1"/>
      <c r="U139" s="3"/>
      <c r="V139" s="1"/>
    </row>
    <row r="140" spans="1:22" ht="12.75" customHeight="1">
      <c r="A140" s="1"/>
      <c r="U140" s="3"/>
      <c r="V140" s="1"/>
    </row>
    <row r="141" spans="1:22" ht="12.75" customHeight="1">
      <c r="A141" s="1"/>
      <c r="U141" s="3"/>
      <c r="V141" s="1"/>
    </row>
    <row r="142" spans="1:22" ht="12.75" customHeight="1">
      <c r="A142" s="1"/>
      <c r="U142" s="3"/>
      <c r="V142" s="1"/>
    </row>
    <row r="143" spans="1:22" ht="12.75" customHeight="1">
      <c r="A143" s="1"/>
      <c r="U143" s="3"/>
      <c r="V143" s="1"/>
    </row>
    <row r="144" spans="1:22" ht="12.75" customHeight="1">
      <c r="A144" s="1"/>
      <c r="U144" s="3"/>
      <c r="V144" s="1"/>
    </row>
    <row r="145" spans="1:22" ht="12.75" customHeight="1">
      <c r="A145" s="1"/>
      <c r="U145" s="3"/>
      <c r="V145" s="1"/>
    </row>
    <row r="146" spans="1:22" ht="12.75" customHeight="1">
      <c r="A146" s="1"/>
      <c r="U146" s="3"/>
      <c r="V146" s="1"/>
    </row>
    <row r="147" spans="1:22" ht="12.75" customHeight="1">
      <c r="A147" s="1"/>
      <c r="U147" s="3"/>
      <c r="V147" s="1"/>
    </row>
    <row r="148" spans="1:22" ht="12.75" customHeight="1">
      <c r="A148" s="1"/>
      <c r="U148" s="3"/>
      <c r="V148" s="1"/>
    </row>
    <row r="149" spans="1:22" ht="12.75" customHeight="1">
      <c r="A149" s="1"/>
      <c r="U149" s="3"/>
      <c r="V149" s="1"/>
    </row>
    <row r="150" spans="1:22" ht="12.75" customHeight="1">
      <c r="A150" s="1"/>
      <c r="U150" s="3"/>
      <c r="V150" s="1"/>
    </row>
    <row r="151" spans="1:22" ht="12.75" customHeight="1">
      <c r="A151" s="1"/>
      <c r="U151" s="3"/>
      <c r="V151" s="1"/>
    </row>
    <row r="152" spans="1:22" ht="12.75" customHeight="1">
      <c r="A152" s="1"/>
      <c r="U152" s="3"/>
      <c r="V152" s="1"/>
    </row>
    <row r="153" spans="1:22" ht="12.75" customHeight="1">
      <c r="A153" s="1"/>
      <c r="U153" s="3"/>
      <c r="V153" s="1"/>
    </row>
    <row r="154" spans="1:22" ht="12.75" customHeight="1">
      <c r="A154" s="1"/>
      <c r="U154" s="3"/>
      <c r="V154" s="1"/>
    </row>
    <row r="155" spans="1:22" ht="12.75" customHeight="1">
      <c r="A155" s="1"/>
      <c r="U155" s="3"/>
      <c r="V155" s="1"/>
    </row>
    <row r="156" spans="1:22" ht="12.75" customHeight="1">
      <c r="A156" s="1"/>
      <c r="U156" s="3"/>
      <c r="V156" s="1"/>
    </row>
    <row r="157" spans="1:22" ht="12.75" customHeight="1">
      <c r="A157" s="1"/>
      <c r="U157" s="3"/>
      <c r="V157" s="1"/>
    </row>
    <row r="158" spans="1:22" ht="12.75" customHeight="1">
      <c r="A158" s="1"/>
      <c r="U158" s="3"/>
      <c r="V158" s="1"/>
    </row>
    <row r="159" spans="1:22" ht="12.75" customHeight="1">
      <c r="A159" s="1"/>
      <c r="U159" s="3"/>
      <c r="V159" s="1"/>
    </row>
    <row r="160" spans="1:22" ht="12.75" customHeight="1">
      <c r="A160" s="1"/>
      <c r="U160" s="3"/>
      <c r="V160" s="1"/>
    </row>
    <row r="161" spans="1:22" ht="12.75" customHeight="1">
      <c r="A161" s="1"/>
      <c r="U161" s="3"/>
      <c r="V161" s="1"/>
    </row>
    <row r="162" spans="1:22" ht="12.75" customHeight="1">
      <c r="A162" s="1"/>
      <c r="U162" s="3"/>
      <c r="V162" s="1"/>
    </row>
    <row r="163" spans="1:22" ht="12.75" customHeight="1">
      <c r="A163" s="1"/>
      <c r="U163" s="3"/>
      <c r="V163" s="1"/>
    </row>
    <row r="164" spans="1:22" ht="12.75" customHeight="1">
      <c r="A164" s="1"/>
      <c r="U164" s="3"/>
      <c r="V164" s="1"/>
    </row>
    <row r="165" spans="1:22" ht="12.75" customHeight="1">
      <c r="A165" s="1"/>
      <c r="U165" s="3"/>
      <c r="V165" s="1"/>
    </row>
    <row r="166" spans="1:22" ht="12.75" customHeight="1">
      <c r="A166" s="1"/>
      <c r="U166" s="3"/>
      <c r="V166" s="1"/>
    </row>
    <row r="167" spans="1:22" ht="12.75" customHeight="1">
      <c r="A167" s="1"/>
      <c r="U167" s="3"/>
      <c r="V167" s="1"/>
    </row>
    <row r="168" spans="1:22" ht="12.75" customHeight="1">
      <c r="A168" s="1"/>
      <c r="U168" s="3"/>
      <c r="V168" s="1"/>
    </row>
    <row r="169" spans="1:22" ht="12.75" customHeight="1">
      <c r="A169" s="1"/>
      <c r="U169" s="3"/>
      <c r="V169" s="1"/>
    </row>
    <row r="170" spans="1:22" ht="12.75" customHeight="1">
      <c r="A170" s="1"/>
      <c r="U170" s="3"/>
      <c r="V170" s="1"/>
    </row>
    <row r="171" spans="1:22" ht="12.75" customHeight="1">
      <c r="A171" s="1"/>
      <c r="U171" s="3"/>
      <c r="V171" s="1"/>
    </row>
    <row r="172" spans="1:22" ht="12.75" customHeight="1">
      <c r="A172" s="1"/>
      <c r="U172" s="3"/>
      <c r="V172" s="1"/>
    </row>
    <row r="173" spans="1:22" ht="12.75" customHeight="1">
      <c r="A173" s="1"/>
      <c r="U173" s="3"/>
      <c r="V173" s="1"/>
    </row>
    <row r="174" spans="1:22" ht="12.75" customHeight="1">
      <c r="A174" s="1"/>
      <c r="U174" s="3"/>
      <c r="V174" s="1"/>
    </row>
    <row r="175" spans="1:22" ht="12.75" customHeight="1">
      <c r="A175" s="1"/>
      <c r="U175" s="3"/>
      <c r="V175" s="1"/>
    </row>
    <row r="176" spans="1:22" ht="12.75" customHeight="1">
      <c r="A176" s="1"/>
      <c r="U176" s="3"/>
      <c r="V176" s="1"/>
    </row>
    <row r="177" spans="1:22" ht="12.75" customHeight="1">
      <c r="A177" s="1"/>
      <c r="U177" s="3"/>
      <c r="V177" s="1"/>
    </row>
    <row r="178" spans="1:22" ht="12.75" customHeight="1">
      <c r="A178" s="1"/>
      <c r="U178" s="3"/>
      <c r="V178" s="1"/>
    </row>
    <row r="179" spans="1:22" ht="12.75" customHeight="1">
      <c r="A179" s="1"/>
      <c r="U179" s="3"/>
      <c r="V179" s="1"/>
    </row>
    <row r="180" spans="1:22" ht="12.75" customHeight="1">
      <c r="A180" s="1"/>
      <c r="U180" s="3"/>
      <c r="V180" s="1"/>
    </row>
    <row r="181" spans="1:22" ht="12.75" customHeight="1">
      <c r="A181" s="1"/>
      <c r="U181" s="3"/>
      <c r="V181" s="1"/>
    </row>
    <row r="182" spans="1:22" ht="12.75" customHeight="1">
      <c r="A182" s="1"/>
      <c r="U182" s="3"/>
      <c r="V182" s="1"/>
    </row>
    <row r="183" spans="1:22" ht="12.75" customHeight="1">
      <c r="A183" s="1"/>
      <c r="U183" s="3"/>
      <c r="V183" s="1"/>
    </row>
    <row r="184" spans="1:22" ht="12.75" customHeight="1">
      <c r="A184" s="1"/>
      <c r="U184" s="3"/>
      <c r="V184" s="1"/>
    </row>
    <row r="185" spans="1:22" ht="12.75" customHeight="1">
      <c r="A185" s="1"/>
      <c r="U185" s="3"/>
      <c r="V185" s="1"/>
    </row>
    <row r="186" spans="1:22" ht="12.75" customHeight="1">
      <c r="A186" s="1"/>
      <c r="U186" s="3"/>
      <c r="V186" s="1"/>
    </row>
    <row r="187" spans="1:22" ht="12.75" customHeight="1">
      <c r="A187" s="1"/>
      <c r="U187" s="3"/>
      <c r="V187" s="1"/>
    </row>
    <row r="188" spans="1:22" ht="12.75" customHeight="1">
      <c r="A188" s="1"/>
      <c r="U188" s="3"/>
      <c r="V188" s="1"/>
    </row>
    <row r="189" spans="1:22" ht="12.75" customHeight="1">
      <c r="A189" s="1"/>
      <c r="U189" s="3"/>
      <c r="V189" s="1"/>
    </row>
    <row r="190" spans="1:22" ht="12.75" customHeight="1">
      <c r="A190" s="1"/>
      <c r="U190" s="3"/>
      <c r="V190" s="1"/>
    </row>
    <row r="191" spans="1:22" ht="12.75" customHeight="1">
      <c r="A191" s="1"/>
      <c r="U191" s="3"/>
      <c r="V191" s="1"/>
    </row>
    <row r="192" spans="1:22" ht="12.75" customHeight="1">
      <c r="A192" s="1"/>
      <c r="U192" s="3"/>
      <c r="V192" s="1"/>
    </row>
    <row r="193" spans="1:22" ht="12.75" customHeight="1">
      <c r="A193" s="1"/>
      <c r="U193" s="3"/>
      <c r="V193" s="1"/>
    </row>
    <row r="194" spans="1:22" ht="12.75" customHeight="1">
      <c r="A194" s="1"/>
      <c r="U194" s="3"/>
      <c r="V194" s="1"/>
    </row>
    <row r="195" spans="1:22" ht="12.75" customHeight="1">
      <c r="A195" s="1"/>
      <c r="U195" s="3"/>
      <c r="V195" s="1"/>
    </row>
    <row r="196" spans="1:22" ht="12.75" customHeight="1">
      <c r="A196" s="1"/>
      <c r="U196" s="3"/>
      <c r="V196" s="1"/>
    </row>
    <row r="197" spans="1:22" ht="12.75" customHeight="1">
      <c r="A197" s="1"/>
      <c r="U197" s="3"/>
      <c r="V197" s="1"/>
    </row>
    <row r="198" spans="1:22" ht="12.75" customHeight="1">
      <c r="A198" s="1"/>
      <c r="U198" s="3"/>
      <c r="V198" s="1"/>
    </row>
    <row r="199" spans="1:22" ht="12.75" customHeight="1">
      <c r="A199" s="1"/>
      <c r="U199" s="3"/>
      <c r="V199" s="1"/>
    </row>
    <row r="200" spans="1:22" ht="12.75" customHeight="1">
      <c r="A200" s="1"/>
      <c r="U200" s="3"/>
      <c r="V200" s="1"/>
    </row>
    <row r="201" spans="1:22" ht="12.75" customHeight="1">
      <c r="A201" s="1"/>
      <c r="U201" s="3"/>
      <c r="V201" s="1"/>
    </row>
    <row r="202" spans="1:22" ht="12.75" customHeight="1">
      <c r="A202" s="1"/>
      <c r="U202" s="3"/>
      <c r="V202" s="1"/>
    </row>
    <row r="203" spans="1:22" ht="12.75" customHeight="1">
      <c r="A203" s="1"/>
      <c r="U203" s="3"/>
      <c r="V203" s="1"/>
    </row>
    <row r="204" spans="1:22" ht="12.75" customHeight="1">
      <c r="A204" s="1"/>
      <c r="U204" s="3"/>
      <c r="V204" s="1"/>
    </row>
    <row r="205" spans="1:22" ht="12.75" customHeight="1">
      <c r="A205" s="1"/>
      <c r="U205" s="3"/>
      <c r="V205" s="1"/>
    </row>
    <row r="206" spans="1:22" ht="12.75" customHeight="1">
      <c r="A206" s="1"/>
      <c r="U206" s="3"/>
      <c r="V206" s="1"/>
    </row>
    <row r="207" spans="1:22" ht="12.75" customHeight="1">
      <c r="A207" s="1"/>
      <c r="U207" s="3"/>
      <c r="V207" s="1"/>
    </row>
    <row r="208" spans="1:22" ht="12.75" customHeight="1">
      <c r="A208" s="1"/>
      <c r="U208" s="3"/>
      <c r="V208" s="1"/>
    </row>
    <row r="209" spans="1:22" ht="12.75" customHeight="1">
      <c r="A209" s="1"/>
      <c r="U209" s="3"/>
      <c r="V209" s="1"/>
    </row>
    <row r="210" spans="1:22" ht="12.75" customHeight="1">
      <c r="A210" s="1"/>
      <c r="U210" s="3"/>
      <c r="V210" s="1"/>
    </row>
    <row r="211" spans="1:22" ht="12.75" customHeight="1">
      <c r="A211" s="1"/>
      <c r="U211" s="3"/>
      <c r="V211" s="1"/>
    </row>
    <row r="212" spans="1:22" ht="12.75" customHeight="1">
      <c r="A212" s="1"/>
      <c r="U212" s="3"/>
      <c r="V212" s="1"/>
    </row>
    <row r="213" spans="1:22" ht="12.75" customHeight="1">
      <c r="A213" s="1"/>
      <c r="U213" s="3"/>
      <c r="V213" s="1"/>
    </row>
    <row r="214" spans="1:22" ht="12.75" customHeight="1">
      <c r="A214" s="1"/>
      <c r="U214" s="3"/>
      <c r="V214" s="1"/>
    </row>
    <row r="215" spans="1:22" ht="12.75" customHeight="1">
      <c r="A215" s="1"/>
      <c r="U215" s="3"/>
      <c r="V215" s="1"/>
    </row>
    <row r="216" spans="1:22" ht="12.75" customHeight="1">
      <c r="A216" s="1"/>
      <c r="U216" s="3"/>
      <c r="V216" s="1"/>
    </row>
    <row r="217" spans="1:22" ht="12.75" customHeight="1">
      <c r="A217" s="1"/>
      <c r="U217" s="3"/>
      <c r="V217" s="1"/>
    </row>
    <row r="218" spans="1:22" ht="12.75" customHeight="1">
      <c r="A218" s="1"/>
      <c r="U218" s="3"/>
      <c r="V218" s="1"/>
    </row>
    <row r="219" spans="1:22" ht="12.75" customHeight="1">
      <c r="A219" s="1"/>
      <c r="U219" s="3"/>
      <c r="V219" s="1"/>
    </row>
    <row r="220" spans="1:22" ht="12.75" customHeight="1">
      <c r="A220" s="1"/>
      <c r="U220" s="3"/>
      <c r="V220" s="1"/>
    </row>
    <row r="221" spans="1:22" ht="12.75" customHeight="1">
      <c r="A221" s="1"/>
      <c r="U221" s="3"/>
      <c r="V221" s="1"/>
    </row>
    <row r="222" spans="1:22" ht="12.75" customHeight="1">
      <c r="A222" s="1"/>
      <c r="U222" s="3"/>
      <c r="V222" s="1"/>
    </row>
    <row r="223" spans="1:22" ht="12.75" customHeight="1">
      <c r="A223" s="1"/>
      <c r="U223" s="3"/>
      <c r="V223" s="1"/>
    </row>
    <row r="224" spans="1:22" ht="12.75" customHeight="1">
      <c r="A224" s="1"/>
      <c r="U224" s="3"/>
      <c r="V224" s="1"/>
    </row>
    <row r="225" spans="1:22" ht="12.75" customHeight="1">
      <c r="A225" s="1"/>
      <c r="U225" s="3"/>
      <c r="V225" s="1"/>
    </row>
    <row r="226" spans="1:22" ht="12.75" customHeight="1">
      <c r="A226" s="1"/>
      <c r="U226" s="3"/>
      <c r="V226" s="1"/>
    </row>
    <row r="227" spans="1:22" ht="12.75" customHeight="1">
      <c r="A227" s="1"/>
      <c r="U227" s="3"/>
      <c r="V227" s="1"/>
    </row>
    <row r="228" spans="1:22" ht="12.75" customHeight="1">
      <c r="A228" s="1"/>
      <c r="U228" s="3"/>
      <c r="V228" s="1"/>
    </row>
    <row r="229" spans="1:22" ht="12.75" customHeight="1">
      <c r="A229" s="1"/>
      <c r="U229" s="3"/>
      <c r="V229" s="1"/>
    </row>
    <row r="230" spans="1:22" ht="12.75" customHeight="1">
      <c r="A230" s="1"/>
      <c r="U230" s="3"/>
      <c r="V230" s="1"/>
    </row>
    <row r="231" spans="1:22" ht="12.75" customHeight="1">
      <c r="A231" s="1"/>
      <c r="U231" s="3"/>
      <c r="V231" s="1"/>
    </row>
    <row r="232" spans="1:22" ht="12.75" customHeight="1">
      <c r="A232" s="1"/>
      <c r="U232" s="3"/>
      <c r="V232" s="1"/>
    </row>
    <row r="233" spans="1:22" ht="12.75" customHeight="1">
      <c r="A233" s="1"/>
      <c r="U233" s="3"/>
      <c r="V233" s="1"/>
    </row>
    <row r="234" spans="1:22" ht="12.75" customHeight="1">
      <c r="A234" s="1"/>
      <c r="U234" s="3"/>
      <c r="V234" s="1"/>
    </row>
    <row r="235" spans="1:22" ht="12.75" customHeight="1">
      <c r="A235" s="1"/>
      <c r="U235" s="3"/>
      <c r="V235" s="1"/>
    </row>
    <row r="236" spans="1:22" ht="12.75" customHeight="1">
      <c r="A236" s="1"/>
      <c r="U236" s="3"/>
      <c r="V236" s="1"/>
    </row>
    <row r="237" spans="1:22" ht="12.75" customHeight="1">
      <c r="A237" s="1"/>
      <c r="U237" s="3"/>
      <c r="V237" s="1"/>
    </row>
    <row r="238" spans="1:22" ht="12.75" customHeight="1">
      <c r="A238" s="1"/>
      <c r="U238" s="3"/>
      <c r="V238" s="1"/>
    </row>
    <row r="239" spans="1:22" ht="12.75" customHeight="1">
      <c r="A239" s="1"/>
      <c r="U239" s="3"/>
      <c r="V239" s="1"/>
    </row>
    <row r="240" spans="1:22" ht="12.75" customHeight="1">
      <c r="A240" s="1"/>
      <c r="U240" s="3"/>
      <c r="V240" s="1"/>
    </row>
    <row r="241" spans="1:22" ht="12.75" customHeight="1">
      <c r="A241" s="1"/>
      <c r="U241" s="3"/>
      <c r="V241" s="1"/>
    </row>
    <row r="242" spans="1:22" ht="12.75" customHeight="1">
      <c r="A242" s="1"/>
      <c r="U242" s="3"/>
      <c r="V242" s="1"/>
    </row>
    <row r="243" spans="1:22" ht="12.75" customHeight="1">
      <c r="A243" s="1"/>
      <c r="U243" s="3"/>
      <c r="V243" s="1"/>
    </row>
    <row r="244" spans="1:22" ht="12.75" customHeight="1">
      <c r="A244" s="1"/>
      <c r="U244" s="3"/>
      <c r="V244" s="1"/>
    </row>
    <row r="245" spans="1:22" ht="12.75" customHeight="1">
      <c r="A245" s="1"/>
      <c r="U245" s="3"/>
      <c r="V245" s="1"/>
    </row>
    <row r="246" spans="1:22" ht="12.75" customHeight="1">
      <c r="A246" s="1"/>
      <c r="U246" s="3"/>
      <c r="V246" s="1"/>
    </row>
    <row r="247" spans="1:22" ht="12.75" customHeight="1">
      <c r="A247" s="1"/>
      <c r="U247" s="3"/>
      <c r="V247" s="1"/>
    </row>
    <row r="248" spans="1:22" ht="12.75" customHeight="1">
      <c r="A248" s="1"/>
      <c r="U248" s="3"/>
      <c r="V248" s="1"/>
    </row>
    <row r="249" spans="1:22" ht="12.75" customHeight="1">
      <c r="A249" s="1"/>
      <c r="U249" s="3"/>
      <c r="V249" s="1"/>
    </row>
    <row r="250" spans="1:22" ht="12.75" customHeight="1">
      <c r="A250" s="1"/>
      <c r="U250" s="3"/>
      <c r="V250" s="1"/>
    </row>
    <row r="251" spans="1:22" ht="12.75" customHeight="1">
      <c r="A251" s="1"/>
      <c r="U251" s="3"/>
      <c r="V251" s="1"/>
    </row>
    <row r="252" spans="1:22" ht="12.75" customHeight="1">
      <c r="A252" s="1"/>
      <c r="U252" s="3"/>
      <c r="V252" s="1"/>
    </row>
    <row r="253" spans="1:22" ht="12.75" customHeight="1">
      <c r="A253" s="1"/>
      <c r="U253" s="3"/>
      <c r="V253" s="1"/>
    </row>
    <row r="254" spans="1:22" ht="12.75" customHeight="1">
      <c r="A254" s="1"/>
      <c r="U254" s="3"/>
      <c r="V254" s="1"/>
    </row>
    <row r="255" spans="1:22" ht="12.75" customHeight="1">
      <c r="A255" s="1"/>
      <c r="U255" s="3"/>
      <c r="V255" s="1"/>
    </row>
    <row r="256" spans="1:22" ht="12.75" customHeight="1">
      <c r="A256" s="1"/>
      <c r="U256" s="3"/>
      <c r="V256" s="1"/>
    </row>
    <row r="257" spans="1:22" ht="12.75" customHeight="1">
      <c r="A257" s="1"/>
      <c r="U257" s="3"/>
      <c r="V257" s="1"/>
    </row>
    <row r="258" spans="1:22" ht="12.75" customHeight="1">
      <c r="A258" s="1"/>
      <c r="U258" s="3"/>
      <c r="V258" s="1"/>
    </row>
    <row r="259" spans="1:22" ht="12.75" customHeight="1">
      <c r="A259" s="1"/>
      <c r="U259" s="3"/>
      <c r="V259" s="1"/>
    </row>
    <row r="260" spans="1:22" ht="12.75" customHeight="1">
      <c r="A260" s="1"/>
      <c r="U260" s="3"/>
      <c r="V260" s="1"/>
    </row>
    <row r="261" spans="1:22" ht="12.75" customHeight="1">
      <c r="A261" s="1"/>
      <c r="U261" s="3"/>
      <c r="V261" s="1"/>
    </row>
    <row r="262" spans="1:22" ht="12.75" customHeight="1">
      <c r="A262" s="1"/>
      <c r="U262" s="3"/>
      <c r="V262" s="1"/>
    </row>
    <row r="263" spans="1:22" ht="12.75" customHeight="1">
      <c r="A263" s="1"/>
      <c r="U263" s="3"/>
      <c r="V263" s="1"/>
    </row>
    <row r="264" spans="1:22" ht="12.75" customHeight="1">
      <c r="A264" s="1"/>
      <c r="U264" s="3"/>
      <c r="V264" s="1"/>
    </row>
    <row r="265" spans="1:22" ht="12.75" customHeight="1">
      <c r="A265" s="1"/>
      <c r="U265" s="3"/>
      <c r="V265" s="1"/>
    </row>
    <row r="266" spans="1:22" ht="12.75" customHeight="1">
      <c r="A266" s="1"/>
      <c r="U266" s="3"/>
      <c r="V266" s="1"/>
    </row>
    <row r="267" spans="1:22" ht="12.75" customHeight="1">
      <c r="A267" s="1"/>
      <c r="U267" s="3"/>
      <c r="V267" s="1"/>
    </row>
    <row r="268" spans="1:22" ht="12.75" customHeight="1">
      <c r="A268" s="1"/>
      <c r="U268" s="3"/>
      <c r="V268" s="1"/>
    </row>
    <row r="269" spans="1:22" ht="12.75" customHeight="1">
      <c r="A269" s="1"/>
      <c r="U269" s="3"/>
      <c r="V269" s="1"/>
    </row>
    <row r="270" spans="1:22" ht="12.75" customHeight="1">
      <c r="A270" s="1"/>
      <c r="U270" s="3"/>
      <c r="V270" s="1"/>
    </row>
    <row r="271" spans="1:22" ht="12.75" customHeight="1">
      <c r="A271" s="1"/>
      <c r="U271" s="3"/>
      <c r="V271" s="1"/>
    </row>
    <row r="272" spans="1:22" ht="12.75" customHeight="1">
      <c r="A272" s="1"/>
      <c r="U272" s="3"/>
      <c r="V272" s="1"/>
    </row>
    <row r="273" spans="1:22" ht="12.75" customHeight="1">
      <c r="A273" s="1"/>
      <c r="U273" s="3"/>
      <c r="V273" s="1"/>
    </row>
    <row r="274" spans="1:22" ht="12.75" customHeight="1">
      <c r="A274" s="1"/>
      <c r="U274" s="3"/>
      <c r="V274" s="1"/>
    </row>
    <row r="275" spans="1:22" ht="12.75" customHeight="1">
      <c r="A275" s="1"/>
      <c r="U275" s="3"/>
      <c r="V275" s="1"/>
    </row>
    <row r="276" spans="1:22" ht="12.75" customHeight="1">
      <c r="A276" s="1"/>
      <c r="U276" s="3"/>
      <c r="V276" s="1"/>
    </row>
    <row r="277" spans="1:22" ht="12.75" customHeight="1">
      <c r="A277" s="1"/>
      <c r="U277" s="3"/>
      <c r="V277" s="1"/>
    </row>
    <row r="278" spans="1:22" ht="12.75" customHeight="1">
      <c r="A278" s="1"/>
      <c r="U278" s="3"/>
      <c r="V278" s="1"/>
    </row>
    <row r="279" spans="1:22" ht="12.75" customHeight="1">
      <c r="A279" s="1"/>
      <c r="U279" s="3"/>
      <c r="V279" s="1"/>
    </row>
    <row r="280" spans="1:22" ht="12.75" customHeight="1">
      <c r="A280" s="1"/>
      <c r="U280" s="3"/>
      <c r="V280" s="1"/>
    </row>
    <row r="281" spans="1:22" ht="12.75" customHeight="1">
      <c r="A281" s="1"/>
      <c r="U281" s="3"/>
      <c r="V281" s="1"/>
    </row>
    <row r="282" spans="1:22" ht="12.75" customHeight="1">
      <c r="A282" s="1"/>
      <c r="U282" s="3"/>
      <c r="V282" s="1"/>
    </row>
    <row r="283" spans="1:22" ht="12.75" customHeight="1">
      <c r="A283" s="1"/>
      <c r="U283" s="3"/>
      <c r="V283" s="1"/>
    </row>
    <row r="284" spans="1:22" ht="12.75" customHeight="1">
      <c r="A284" s="1"/>
      <c r="U284" s="3"/>
      <c r="V284" s="1"/>
    </row>
    <row r="285" spans="1:22" ht="12.75" customHeight="1">
      <c r="A285" s="1"/>
      <c r="U285" s="3"/>
      <c r="V285" s="1"/>
    </row>
    <row r="286" spans="1:22" ht="12.75" customHeight="1">
      <c r="A286" s="1"/>
      <c r="U286" s="3"/>
      <c r="V286" s="1"/>
    </row>
    <row r="287" spans="1:22" ht="12.75" customHeight="1">
      <c r="A287" s="1"/>
      <c r="U287" s="3"/>
      <c r="V287" s="1"/>
    </row>
    <row r="288" spans="1:22" ht="12.75" customHeight="1">
      <c r="A288" s="1"/>
      <c r="U288" s="3"/>
      <c r="V288" s="1"/>
    </row>
    <row r="289" spans="1:22" ht="12.75" customHeight="1">
      <c r="A289" s="1"/>
      <c r="U289" s="3"/>
      <c r="V289" s="1"/>
    </row>
    <row r="290" spans="1:22" ht="12.75" customHeight="1">
      <c r="A290" s="1"/>
      <c r="U290" s="3"/>
      <c r="V290" s="1"/>
    </row>
    <row r="291" spans="1:22" ht="12.75" customHeight="1">
      <c r="A291" s="1"/>
      <c r="U291" s="3"/>
      <c r="V291" s="1"/>
    </row>
    <row r="292" spans="1:22" ht="12.75" customHeight="1">
      <c r="A292" s="1"/>
      <c r="U292" s="3"/>
      <c r="V292" s="1"/>
    </row>
    <row r="293" spans="1:22" ht="12.75" customHeight="1">
      <c r="A293" s="1"/>
      <c r="U293" s="3"/>
      <c r="V293" s="1"/>
    </row>
    <row r="294" spans="1:22" ht="12.75" customHeight="1">
      <c r="A294" s="1"/>
      <c r="U294" s="3"/>
      <c r="V294" s="1"/>
    </row>
    <row r="295" spans="1:22" ht="12.75" customHeight="1">
      <c r="A295" s="1"/>
      <c r="U295" s="3"/>
      <c r="V295" s="1"/>
    </row>
    <row r="296" spans="1:22" ht="12.75" customHeight="1">
      <c r="A296" s="1"/>
      <c r="U296" s="3"/>
      <c r="V296" s="1"/>
    </row>
    <row r="297" spans="1:22" ht="12.75" customHeight="1">
      <c r="A297" s="1"/>
      <c r="U297" s="3"/>
      <c r="V297" s="1"/>
    </row>
    <row r="298" spans="1:22" ht="12.75" customHeight="1">
      <c r="A298" s="1"/>
      <c r="U298" s="3"/>
      <c r="V298" s="1"/>
    </row>
    <row r="299" spans="1:22" ht="12.75" customHeight="1">
      <c r="A299" s="1"/>
      <c r="U299" s="3"/>
      <c r="V299" s="1"/>
    </row>
    <row r="300" spans="1:22" ht="12.75" customHeight="1">
      <c r="A300" s="1"/>
      <c r="U300" s="3"/>
      <c r="V300" s="1"/>
    </row>
    <row r="301" spans="1:22" ht="12.75" customHeight="1">
      <c r="A301" s="1"/>
      <c r="U301" s="3"/>
      <c r="V301" s="1"/>
    </row>
    <row r="302" spans="1:22" ht="12.75" customHeight="1">
      <c r="A302" s="1"/>
      <c r="U302" s="3"/>
      <c r="V302" s="1"/>
    </row>
    <row r="303" spans="1:22" ht="12.75" customHeight="1">
      <c r="A303" s="1"/>
      <c r="U303" s="3"/>
      <c r="V303" s="1"/>
    </row>
    <row r="304" spans="1:22" ht="12.75" customHeight="1">
      <c r="A304" s="1"/>
      <c r="U304" s="3"/>
      <c r="V304" s="1"/>
    </row>
    <row r="305" spans="1:22" ht="12.75" customHeight="1">
      <c r="A305" s="1"/>
      <c r="U305" s="3"/>
      <c r="V305" s="1"/>
    </row>
    <row r="306" spans="1:22" ht="12.75" customHeight="1">
      <c r="A306" s="1"/>
      <c r="U306" s="3"/>
      <c r="V306" s="1"/>
    </row>
    <row r="307" spans="1:22" ht="12.75" customHeight="1">
      <c r="A307" s="1"/>
      <c r="U307" s="3"/>
      <c r="V307" s="1"/>
    </row>
    <row r="308" spans="1:22" ht="12.75" customHeight="1">
      <c r="A308" s="1"/>
      <c r="U308" s="3"/>
      <c r="V308" s="1"/>
    </row>
    <row r="309" spans="1:22" ht="12.75" customHeight="1">
      <c r="A309" s="1"/>
      <c r="U309" s="3"/>
      <c r="V309" s="1"/>
    </row>
    <row r="310" spans="1:22" ht="12.75" customHeight="1">
      <c r="A310" s="1"/>
      <c r="U310" s="3"/>
      <c r="V310" s="1"/>
    </row>
    <row r="311" spans="1:22" ht="12.75" customHeight="1">
      <c r="A311" s="1"/>
      <c r="U311" s="3"/>
      <c r="V311" s="1"/>
    </row>
    <row r="312" spans="1:22" ht="12.75" customHeight="1">
      <c r="A312" s="1"/>
      <c r="U312" s="3"/>
      <c r="V312" s="1"/>
    </row>
    <row r="313" spans="1:22" ht="12.75" customHeight="1">
      <c r="A313" s="1"/>
      <c r="U313" s="3"/>
      <c r="V313" s="1"/>
    </row>
    <row r="314" spans="1:22" ht="12.75" customHeight="1">
      <c r="A314" s="1"/>
      <c r="U314" s="3"/>
      <c r="V314" s="1"/>
    </row>
    <row r="315" spans="1:22" ht="12.75" customHeight="1">
      <c r="A315" s="1"/>
      <c r="U315" s="3"/>
      <c r="V315" s="1"/>
    </row>
    <row r="316" spans="1:22" ht="12.75" customHeight="1">
      <c r="A316" s="1"/>
      <c r="U316" s="3"/>
      <c r="V316" s="1"/>
    </row>
    <row r="317" spans="1:22" ht="12.75" customHeight="1">
      <c r="A317" s="1"/>
      <c r="U317" s="3"/>
      <c r="V317" s="1"/>
    </row>
    <row r="318" spans="1:22" ht="12.75" customHeight="1">
      <c r="A318" s="1"/>
      <c r="U318" s="3"/>
      <c r="V318" s="1"/>
    </row>
    <row r="319" spans="1:22" ht="12.75" customHeight="1">
      <c r="A319" s="1"/>
      <c r="U319" s="3"/>
      <c r="V319" s="1"/>
    </row>
    <row r="320" spans="1:22" ht="12.75" customHeight="1">
      <c r="A320" s="1"/>
      <c r="U320" s="3"/>
      <c r="V320" s="1"/>
    </row>
    <row r="321" spans="1:22" ht="12.75" customHeight="1">
      <c r="A321" s="1"/>
      <c r="U321" s="3"/>
      <c r="V321" s="1"/>
    </row>
    <row r="322" spans="1:22" ht="12.75" customHeight="1">
      <c r="A322" s="1"/>
      <c r="U322" s="3"/>
      <c r="V322" s="1"/>
    </row>
    <row r="323" spans="1:22" ht="12.75" customHeight="1">
      <c r="A323" s="1"/>
      <c r="U323" s="3"/>
      <c r="V323" s="1"/>
    </row>
    <row r="324" spans="1:22" ht="12.75" customHeight="1">
      <c r="A324" s="1"/>
      <c r="U324" s="3"/>
      <c r="V324" s="1"/>
    </row>
    <row r="325" spans="1:22" ht="12.75" customHeight="1">
      <c r="A325" s="1"/>
      <c r="U325" s="3"/>
      <c r="V325" s="1"/>
    </row>
    <row r="326" spans="1:22" ht="12.75" customHeight="1">
      <c r="A326" s="1"/>
      <c r="U326" s="3"/>
      <c r="V326" s="1"/>
    </row>
    <row r="327" spans="1:22" ht="12.75" customHeight="1">
      <c r="A327" s="1"/>
      <c r="U327" s="3"/>
      <c r="V327" s="1"/>
    </row>
    <row r="328" spans="1:22" ht="12.75" customHeight="1">
      <c r="A328" s="1"/>
      <c r="U328" s="3"/>
      <c r="V328" s="1"/>
    </row>
    <row r="329" spans="1:22" ht="12.75" customHeight="1">
      <c r="A329" s="1"/>
      <c r="U329" s="3"/>
      <c r="V329" s="1"/>
    </row>
    <row r="330" spans="1:22" ht="12.75" customHeight="1">
      <c r="A330" s="1"/>
      <c r="U330" s="3"/>
      <c r="V330" s="1"/>
    </row>
    <row r="331" spans="1:22" ht="12.75" customHeight="1">
      <c r="A331" s="1"/>
      <c r="U331" s="3"/>
      <c r="V331" s="1"/>
    </row>
    <row r="332" spans="1:22" ht="12.75" customHeight="1">
      <c r="A332" s="1"/>
      <c r="U332" s="3"/>
      <c r="V332" s="1"/>
    </row>
    <row r="333" spans="1:22" ht="12.75" customHeight="1">
      <c r="A333" s="1"/>
      <c r="U333" s="3"/>
      <c r="V333" s="1"/>
    </row>
    <row r="334" spans="1:22" ht="12.75" customHeight="1">
      <c r="A334" s="1"/>
      <c r="U334" s="3"/>
      <c r="V334" s="1"/>
    </row>
    <row r="335" spans="1:22" ht="12.75" customHeight="1">
      <c r="A335" s="1"/>
      <c r="U335" s="3"/>
      <c r="V335" s="1"/>
    </row>
    <row r="336" spans="1:22" ht="12.75" customHeight="1">
      <c r="A336" s="1"/>
      <c r="U336" s="3"/>
      <c r="V336" s="1"/>
    </row>
    <row r="337" spans="1:22" ht="12.75" customHeight="1">
      <c r="A337" s="1"/>
      <c r="U337" s="3"/>
      <c r="V337" s="1"/>
    </row>
    <row r="338" spans="1:22" ht="12.75" customHeight="1">
      <c r="A338" s="1"/>
      <c r="U338" s="3"/>
      <c r="V338" s="1"/>
    </row>
    <row r="339" spans="1:22" ht="12.75" customHeight="1">
      <c r="A339" s="1"/>
      <c r="U339" s="3"/>
      <c r="V339" s="1"/>
    </row>
    <row r="340" spans="1:22" ht="12.75" customHeight="1">
      <c r="A340" s="1"/>
      <c r="U340" s="3"/>
      <c r="V340" s="1"/>
    </row>
    <row r="341" spans="1:22" ht="12.75" customHeight="1">
      <c r="A341" s="1"/>
      <c r="U341" s="3"/>
      <c r="V341" s="1"/>
    </row>
    <row r="342" spans="1:22" ht="12.75" customHeight="1">
      <c r="A342" s="1"/>
      <c r="U342" s="3"/>
      <c r="V342" s="1"/>
    </row>
    <row r="343" spans="1:22" ht="12.75" customHeight="1">
      <c r="A343" s="1"/>
      <c r="U343" s="3"/>
      <c r="V343" s="1"/>
    </row>
    <row r="344" spans="1:22" ht="12.75" customHeight="1">
      <c r="A344" s="1"/>
      <c r="U344" s="3"/>
      <c r="V344" s="1"/>
    </row>
    <row r="345" spans="1:22" ht="12.75" customHeight="1">
      <c r="A345" s="1"/>
      <c r="U345" s="3"/>
      <c r="V345" s="1"/>
    </row>
    <row r="346" spans="1:22" ht="12.75" customHeight="1">
      <c r="A346" s="1"/>
      <c r="U346" s="3"/>
      <c r="V346" s="1"/>
    </row>
    <row r="347" spans="1:22" ht="12.75" customHeight="1">
      <c r="A347" s="1"/>
      <c r="U347" s="3"/>
      <c r="V347" s="1"/>
    </row>
    <row r="348" spans="1:22" ht="12.75" customHeight="1">
      <c r="A348" s="1"/>
      <c r="U348" s="3"/>
      <c r="V348" s="1"/>
    </row>
    <row r="349" spans="1:22" ht="12.75" customHeight="1">
      <c r="A349" s="1"/>
      <c r="U349" s="3"/>
      <c r="V349" s="1"/>
    </row>
    <row r="350" spans="1:22" ht="12.75" customHeight="1">
      <c r="A350" s="1"/>
      <c r="U350" s="3"/>
      <c r="V350" s="1"/>
    </row>
    <row r="351" spans="1:22" ht="12.75" customHeight="1">
      <c r="A351" s="1"/>
      <c r="U351" s="3"/>
      <c r="V351" s="1"/>
    </row>
    <row r="352" spans="1:22" ht="12.75" customHeight="1">
      <c r="A352" s="1"/>
      <c r="U352" s="3"/>
      <c r="V352" s="1"/>
    </row>
    <row r="353" spans="1:22" ht="12.75" customHeight="1">
      <c r="A353" s="1"/>
      <c r="U353" s="3"/>
      <c r="V353" s="1"/>
    </row>
    <row r="354" spans="1:22" ht="12.75" customHeight="1">
      <c r="A354" s="1"/>
      <c r="U354" s="3"/>
      <c r="V354" s="1"/>
    </row>
    <row r="355" spans="1:22" ht="12.75" customHeight="1">
      <c r="A355" s="1"/>
      <c r="U355" s="3"/>
      <c r="V355" s="1"/>
    </row>
    <row r="356" spans="1:22" ht="12.75" customHeight="1">
      <c r="A356" s="1"/>
      <c r="U356" s="3"/>
      <c r="V356" s="1"/>
    </row>
    <row r="357" spans="1:22" ht="12.75" customHeight="1">
      <c r="A357" s="1"/>
      <c r="U357" s="3"/>
      <c r="V357" s="1"/>
    </row>
    <row r="358" spans="1:22" ht="12.75" customHeight="1">
      <c r="A358" s="1"/>
      <c r="U358" s="3"/>
      <c r="V358" s="1"/>
    </row>
    <row r="359" spans="1:22" ht="12.75" customHeight="1">
      <c r="A359" s="1"/>
      <c r="U359" s="3"/>
      <c r="V359" s="1"/>
    </row>
    <row r="360" spans="1:22" ht="12.75" customHeight="1">
      <c r="A360" s="1"/>
      <c r="U360" s="3"/>
      <c r="V360" s="1"/>
    </row>
    <row r="361" spans="1:22" ht="12.75" customHeight="1">
      <c r="A361" s="1"/>
      <c r="U361" s="3"/>
      <c r="V361" s="1"/>
    </row>
    <row r="362" spans="1:22" ht="12.75" customHeight="1">
      <c r="A362" s="1"/>
      <c r="U362" s="3"/>
      <c r="V362" s="1"/>
    </row>
    <row r="363" spans="1:22" ht="12.75" customHeight="1">
      <c r="A363" s="1"/>
      <c r="U363" s="3"/>
      <c r="V363" s="1"/>
    </row>
    <row r="364" spans="1:22" ht="12.75" customHeight="1">
      <c r="A364" s="1"/>
      <c r="U364" s="3"/>
      <c r="V364" s="1"/>
    </row>
    <row r="365" spans="1:22" ht="12.75" customHeight="1">
      <c r="A365" s="1"/>
      <c r="U365" s="3"/>
      <c r="V365" s="1"/>
    </row>
    <row r="366" spans="1:22" ht="12.75" customHeight="1">
      <c r="A366" s="1"/>
      <c r="U366" s="3"/>
      <c r="V366" s="1"/>
    </row>
    <row r="367" spans="1:22" ht="12.75" customHeight="1">
      <c r="A367" s="1"/>
      <c r="U367" s="3"/>
      <c r="V367" s="1"/>
    </row>
    <row r="368" spans="1:22" ht="12.75" customHeight="1">
      <c r="A368" s="1"/>
      <c r="U368" s="3"/>
      <c r="V368" s="1"/>
    </row>
    <row r="369" spans="1:22" ht="12.75" customHeight="1">
      <c r="A369" s="1"/>
      <c r="U369" s="3"/>
      <c r="V369" s="1"/>
    </row>
    <row r="370" spans="1:22" ht="12.75" customHeight="1">
      <c r="A370" s="1"/>
      <c r="U370" s="3"/>
      <c r="V370" s="1"/>
    </row>
    <row r="371" spans="1:22" ht="12.75" customHeight="1">
      <c r="A371" s="1"/>
      <c r="U371" s="3"/>
      <c r="V371" s="1"/>
    </row>
    <row r="372" spans="1:22" ht="12.75" customHeight="1">
      <c r="A372" s="1"/>
      <c r="U372" s="3"/>
      <c r="V372" s="1"/>
    </row>
    <row r="373" spans="1:22" ht="12.75" customHeight="1">
      <c r="A373" s="1"/>
      <c r="U373" s="3"/>
      <c r="V373" s="1"/>
    </row>
    <row r="374" spans="1:22" ht="12.75" customHeight="1">
      <c r="A374" s="1"/>
      <c r="U374" s="3"/>
      <c r="V374" s="1"/>
    </row>
    <row r="375" spans="1:22" ht="12.75" customHeight="1">
      <c r="A375" s="1"/>
      <c r="U375" s="3"/>
      <c r="V375" s="1"/>
    </row>
    <row r="376" spans="1:22" ht="12.75" customHeight="1">
      <c r="A376" s="1"/>
      <c r="U376" s="3"/>
      <c r="V376" s="1"/>
    </row>
    <row r="377" spans="1:22" ht="12.75" customHeight="1">
      <c r="A377" s="1"/>
      <c r="U377" s="3"/>
      <c r="V377" s="1"/>
    </row>
    <row r="378" spans="1:22" ht="12.75" customHeight="1">
      <c r="A378" s="1"/>
      <c r="U378" s="3"/>
      <c r="V378" s="1"/>
    </row>
    <row r="379" spans="1:22" ht="12.75" customHeight="1">
      <c r="A379" s="1"/>
      <c r="U379" s="3"/>
      <c r="V379" s="1"/>
    </row>
    <row r="380" spans="1:22" ht="12.75" customHeight="1">
      <c r="A380" s="1"/>
      <c r="U380" s="3"/>
      <c r="V380" s="1"/>
    </row>
    <row r="381" spans="1:22" ht="12.75" customHeight="1">
      <c r="A381" s="1"/>
      <c r="U381" s="3"/>
      <c r="V381" s="1"/>
    </row>
    <row r="382" spans="1:22" ht="12.75" customHeight="1">
      <c r="A382" s="1"/>
      <c r="U382" s="3"/>
      <c r="V382" s="1"/>
    </row>
    <row r="383" spans="1:22" ht="12.75" customHeight="1">
      <c r="A383" s="1"/>
      <c r="U383" s="3"/>
      <c r="V383" s="1"/>
    </row>
    <row r="384" spans="1:22" ht="12.75" customHeight="1">
      <c r="A384" s="1"/>
      <c r="U384" s="3"/>
      <c r="V384" s="1"/>
    </row>
    <row r="385" spans="1:22" ht="12.75" customHeight="1">
      <c r="A385" s="1"/>
      <c r="U385" s="3"/>
      <c r="V385" s="1"/>
    </row>
    <row r="386" spans="1:22" ht="12.75" customHeight="1">
      <c r="A386" s="1"/>
      <c r="U386" s="3"/>
      <c r="V386" s="1"/>
    </row>
    <row r="387" spans="1:22" ht="12.75" customHeight="1">
      <c r="A387" s="1"/>
      <c r="U387" s="3"/>
      <c r="V387" s="1"/>
    </row>
    <row r="388" spans="1:22" ht="12.75" customHeight="1">
      <c r="A388" s="1"/>
      <c r="U388" s="3"/>
      <c r="V388" s="1"/>
    </row>
    <row r="389" spans="1:22" ht="12.75" customHeight="1">
      <c r="A389" s="1"/>
      <c r="U389" s="3"/>
      <c r="V389" s="1"/>
    </row>
    <row r="390" spans="1:22" ht="12.75" customHeight="1">
      <c r="A390" s="1"/>
      <c r="U390" s="3"/>
      <c r="V390" s="1"/>
    </row>
    <row r="391" spans="1:22" ht="12.75" customHeight="1">
      <c r="A391" s="1"/>
      <c r="U391" s="3"/>
      <c r="V391" s="1"/>
    </row>
    <row r="392" spans="1:22" ht="12.75" customHeight="1">
      <c r="A392" s="1"/>
      <c r="U392" s="3"/>
      <c r="V392" s="1"/>
    </row>
    <row r="393" spans="1:22" ht="12.75" customHeight="1">
      <c r="A393" s="1"/>
      <c r="U393" s="3"/>
      <c r="V393" s="1"/>
    </row>
    <row r="394" spans="1:22" ht="12.75" customHeight="1">
      <c r="A394" s="1"/>
      <c r="U394" s="3"/>
      <c r="V394" s="1"/>
    </row>
    <row r="395" spans="1:22" ht="12.75" customHeight="1">
      <c r="A395" s="1"/>
      <c r="U395" s="3"/>
      <c r="V395" s="1"/>
    </row>
    <row r="396" spans="1:22" ht="12.75" customHeight="1">
      <c r="A396" s="1"/>
      <c r="U396" s="3"/>
      <c r="V396" s="1"/>
    </row>
    <row r="397" spans="1:22" ht="12.75" customHeight="1">
      <c r="A397" s="1"/>
      <c r="U397" s="3"/>
      <c r="V397" s="1"/>
    </row>
    <row r="398" spans="1:22" ht="12.75" customHeight="1">
      <c r="A398" s="1"/>
      <c r="U398" s="3"/>
      <c r="V398" s="1"/>
    </row>
    <row r="399" spans="1:22" ht="12.75" customHeight="1">
      <c r="A399" s="1"/>
      <c r="U399" s="3"/>
      <c r="V399" s="1"/>
    </row>
    <row r="400" spans="1:22" ht="12.75" customHeight="1">
      <c r="A400" s="1"/>
      <c r="U400" s="3"/>
      <c r="V400" s="1"/>
    </row>
    <row r="401" spans="1:22" ht="12.75" customHeight="1">
      <c r="A401" s="1"/>
      <c r="U401" s="3"/>
      <c r="V401" s="1"/>
    </row>
    <row r="402" spans="1:22" ht="12.75" customHeight="1">
      <c r="A402" s="1"/>
      <c r="U402" s="3"/>
      <c r="V402" s="1"/>
    </row>
    <row r="403" spans="1:22" ht="12.75" customHeight="1">
      <c r="A403" s="1"/>
      <c r="U403" s="3"/>
      <c r="V403" s="1"/>
    </row>
    <row r="404" spans="1:22" ht="12.75" customHeight="1">
      <c r="A404" s="1"/>
      <c r="U404" s="3"/>
      <c r="V404" s="1"/>
    </row>
    <row r="405" spans="1:22" ht="12.75" customHeight="1">
      <c r="A405" s="1"/>
      <c r="U405" s="3"/>
      <c r="V405" s="1"/>
    </row>
    <row r="406" spans="1:22" ht="12.75" customHeight="1">
      <c r="A406" s="1"/>
      <c r="U406" s="3"/>
      <c r="V406" s="1"/>
    </row>
    <row r="407" spans="1:22" ht="12.75" customHeight="1">
      <c r="A407" s="1"/>
      <c r="U407" s="3"/>
      <c r="V407" s="1"/>
    </row>
    <row r="408" spans="1:22" ht="12.75" customHeight="1">
      <c r="A408" s="1"/>
      <c r="U408" s="3"/>
      <c r="V408" s="1"/>
    </row>
    <row r="409" spans="1:22" ht="12.75" customHeight="1">
      <c r="A409" s="1"/>
      <c r="U409" s="3"/>
      <c r="V409" s="1"/>
    </row>
    <row r="410" spans="1:22" ht="12.75" customHeight="1">
      <c r="A410" s="1"/>
      <c r="U410" s="3"/>
      <c r="V410" s="1"/>
    </row>
    <row r="411" spans="1:22" ht="12.75" customHeight="1">
      <c r="A411" s="1"/>
      <c r="U411" s="3"/>
      <c r="V411" s="1"/>
    </row>
    <row r="412" spans="1:22" ht="12.75" customHeight="1">
      <c r="A412" s="1"/>
      <c r="U412" s="3"/>
      <c r="V412" s="1"/>
    </row>
    <row r="413" spans="1:22" ht="12.75" customHeight="1">
      <c r="A413" s="1"/>
      <c r="U413" s="3"/>
      <c r="V413" s="1"/>
    </row>
    <row r="414" spans="1:22" ht="12.75" customHeight="1">
      <c r="A414" s="1"/>
      <c r="U414" s="3"/>
      <c r="V414" s="1"/>
    </row>
    <row r="415" spans="1:22" ht="12.75" customHeight="1">
      <c r="A415" s="1"/>
      <c r="U415" s="3"/>
      <c r="V415" s="1"/>
    </row>
    <row r="416" spans="1:22" ht="12.75" customHeight="1">
      <c r="A416" s="1"/>
      <c r="U416" s="3"/>
      <c r="V416" s="1"/>
    </row>
    <row r="417" spans="1:22" ht="12.75" customHeight="1">
      <c r="A417" s="1"/>
      <c r="U417" s="3"/>
      <c r="V417" s="1"/>
    </row>
    <row r="418" spans="1:22" ht="12.75" customHeight="1">
      <c r="A418" s="1"/>
      <c r="U418" s="3"/>
      <c r="V418" s="1"/>
    </row>
    <row r="419" spans="1:22" ht="12.75" customHeight="1">
      <c r="A419" s="1"/>
      <c r="U419" s="3"/>
      <c r="V419" s="1"/>
    </row>
    <row r="420" spans="1:22" ht="12.75" customHeight="1">
      <c r="A420" s="1"/>
      <c r="U420" s="3"/>
      <c r="V420" s="1"/>
    </row>
    <row r="421" spans="1:22" ht="12.75" customHeight="1">
      <c r="A421" s="1"/>
      <c r="U421" s="3"/>
      <c r="V421" s="1"/>
    </row>
    <row r="422" spans="1:22" ht="12.75" customHeight="1">
      <c r="A422" s="1"/>
      <c r="U422" s="3"/>
      <c r="V422" s="1"/>
    </row>
    <row r="423" spans="1:22" ht="12.75" customHeight="1">
      <c r="A423" s="1"/>
      <c r="U423" s="3"/>
      <c r="V423" s="1"/>
    </row>
    <row r="424" spans="1:22" ht="12.75" customHeight="1">
      <c r="A424" s="1"/>
      <c r="U424" s="3"/>
      <c r="V424" s="1"/>
    </row>
    <row r="425" spans="1:22" ht="12.75" customHeight="1">
      <c r="A425" s="1"/>
      <c r="U425" s="3"/>
      <c r="V425" s="1"/>
    </row>
    <row r="426" spans="1:22" ht="12.75" customHeight="1">
      <c r="A426" s="1"/>
      <c r="U426" s="3"/>
      <c r="V426" s="1"/>
    </row>
    <row r="427" spans="1:22" ht="12.75" customHeight="1">
      <c r="A427" s="1"/>
      <c r="U427" s="3"/>
      <c r="V427" s="1"/>
    </row>
    <row r="428" spans="1:22" ht="12.75" customHeight="1">
      <c r="A428" s="1"/>
      <c r="U428" s="3"/>
      <c r="V428" s="1"/>
    </row>
    <row r="429" spans="1:22" ht="12.75" customHeight="1">
      <c r="A429" s="1"/>
      <c r="U429" s="3"/>
      <c r="V429" s="1"/>
    </row>
    <row r="430" spans="1:22" ht="12.75" customHeight="1">
      <c r="A430" s="1"/>
      <c r="U430" s="3"/>
      <c r="V430" s="1"/>
    </row>
    <row r="431" spans="1:22" ht="12.75" customHeight="1">
      <c r="A431" s="1"/>
      <c r="U431" s="3"/>
      <c r="V431" s="1"/>
    </row>
    <row r="432" spans="1:22" ht="12.75" customHeight="1">
      <c r="A432" s="1"/>
      <c r="U432" s="3"/>
      <c r="V432" s="1"/>
    </row>
    <row r="433" spans="1:22" ht="12.75" customHeight="1">
      <c r="A433" s="1"/>
      <c r="U433" s="3"/>
      <c r="V433" s="1"/>
    </row>
    <row r="434" spans="1:22" ht="12.75" customHeight="1">
      <c r="A434" s="1"/>
      <c r="U434" s="3"/>
      <c r="V434" s="1"/>
    </row>
    <row r="435" spans="1:22" ht="12.75" customHeight="1">
      <c r="A435" s="1"/>
      <c r="U435" s="3"/>
      <c r="V435" s="1"/>
    </row>
    <row r="436" spans="1:22" ht="12.75" customHeight="1">
      <c r="A436" s="1"/>
      <c r="U436" s="3"/>
      <c r="V436" s="1"/>
    </row>
    <row r="437" spans="1:22" ht="12.75" customHeight="1">
      <c r="A437" s="1"/>
      <c r="U437" s="3"/>
      <c r="V437" s="1"/>
    </row>
    <row r="438" spans="1:22" ht="12.75" customHeight="1">
      <c r="A438" s="1"/>
      <c r="U438" s="3"/>
      <c r="V438" s="1"/>
    </row>
    <row r="439" spans="1:22" ht="12.75" customHeight="1">
      <c r="A439" s="1"/>
      <c r="U439" s="3"/>
      <c r="V439" s="1"/>
    </row>
    <row r="440" spans="1:22" ht="12.75" customHeight="1">
      <c r="A440" s="1"/>
      <c r="U440" s="3"/>
      <c r="V440" s="1"/>
    </row>
    <row r="441" spans="1:22" ht="12.75" customHeight="1">
      <c r="A441" s="1"/>
      <c r="U441" s="3"/>
      <c r="V441" s="1"/>
    </row>
    <row r="442" spans="1:22" ht="12.75" customHeight="1">
      <c r="A442" s="1"/>
      <c r="U442" s="3"/>
      <c r="V442" s="1"/>
    </row>
    <row r="443" spans="1:22" ht="12.75" customHeight="1">
      <c r="A443" s="1"/>
      <c r="U443" s="3"/>
      <c r="V443" s="1"/>
    </row>
    <row r="444" spans="1:22" ht="12.75" customHeight="1">
      <c r="A444" s="1"/>
      <c r="U444" s="3"/>
      <c r="V444" s="1"/>
    </row>
    <row r="445" spans="1:22" ht="12.75" customHeight="1">
      <c r="A445" s="1"/>
      <c r="U445" s="3"/>
      <c r="V445" s="1"/>
    </row>
    <row r="446" spans="1:22" ht="12.75" customHeight="1">
      <c r="A446" s="1"/>
      <c r="U446" s="3"/>
      <c r="V446" s="1"/>
    </row>
    <row r="447" spans="1:22" ht="12.75" customHeight="1">
      <c r="A447" s="1"/>
      <c r="U447" s="3"/>
      <c r="V447" s="1"/>
    </row>
    <row r="448" spans="1:22" ht="12.75" customHeight="1">
      <c r="A448" s="1"/>
      <c r="U448" s="3"/>
      <c r="V448" s="1"/>
    </row>
    <row r="449" spans="1:22" ht="12.75" customHeight="1">
      <c r="A449" s="1"/>
      <c r="U449" s="3"/>
      <c r="V449" s="1"/>
    </row>
    <row r="450" spans="1:22" ht="12.75" customHeight="1">
      <c r="A450" s="1"/>
      <c r="U450" s="3"/>
      <c r="V450" s="1"/>
    </row>
    <row r="451" spans="1:22" ht="12.75" customHeight="1">
      <c r="A451" s="1"/>
      <c r="U451" s="3"/>
      <c r="V451" s="1"/>
    </row>
    <row r="452" spans="1:22" ht="12.75" customHeight="1">
      <c r="A452" s="1"/>
      <c r="U452" s="3"/>
      <c r="V452" s="1"/>
    </row>
    <row r="453" spans="1:22" ht="12.75" customHeight="1">
      <c r="A453" s="1"/>
      <c r="U453" s="3"/>
      <c r="V453" s="1"/>
    </row>
    <row r="454" spans="1:22" ht="12.75" customHeight="1">
      <c r="A454" s="1"/>
      <c r="U454" s="3"/>
      <c r="V454" s="1"/>
    </row>
    <row r="455" spans="1:22" ht="12.75" customHeight="1">
      <c r="A455" s="1"/>
      <c r="U455" s="3"/>
      <c r="V455" s="1"/>
    </row>
    <row r="456" spans="1:22" ht="12.75" customHeight="1">
      <c r="A456" s="1"/>
      <c r="U456" s="3"/>
      <c r="V456" s="1"/>
    </row>
    <row r="457" spans="1:22" ht="12.75" customHeight="1">
      <c r="A457" s="1"/>
      <c r="U457" s="3"/>
      <c r="V457" s="1"/>
    </row>
    <row r="458" spans="1:22" ht="12.75" customHeight="1">
      <c r="A458" s="1"/>
      <c r="U458" s="3"/>
      <c r="V458" s="1"/>
    </row>
    <row r="459" spans="1:22" ht="12.75" customHeight="1">
      <c r="A459" s="1"/>
      <c r="U459" s="3"/>
      <c r="V459" s="1"/>
    </row>
    <row r="460" spans="1:22" ht="12.75" customHeight="1">
      <c r="A460" s="1"/>
      <c r="U460" s="3"/>
      <c r="V460" s="1"/>
    </row>
    <row r="461" spans="1:22" ht="12.75" customHeight="1">
      <c r="A461" s="1"/>
      <c r="U461" s="3"/>
      <c r="V461" s="1"/>
    </row>
    <row r="462" spans="1:22" ht="12.75" customHeight="1">
      <c r="A462" s="1"/>
      <c r="U462" s="3"/>
      <c r="V462" s="1"/>
    </row>
    <row r="463" spans="1:22" ht="12.75" customHeight="1">
      <c r="A463" s="1"/>
      <c r="U463" s="3"/>
      <c r="V463" s="1"/>
    </row>
    <row r="464" spans="1:22" ht="12.75" customHeight="1">
      <c r="A464" s="1"/>
      <c r="U464" s="3"/>
      <c r="V464" s="1"/>
    </row>
    <row r="465" spans="1:22" ht="12.75" customHeight="1">
      <c r="A465" s="1"/>
      <c r="U465" s="3"/>
      <c r="V465" s="1"/>
    </row>
    <row r="466" spans="1:22" ht="12.75" customHeight="1">
      <c r="A466" s="1"/>
      <c r="U466" s="3"/>
      <c r="V466" s="1"/>
    </row>
    <row r="467" spans="1:22" ht="12.75" customHeight="1">
      <c r="A467" s="1"/>
      <c r="U467" s="3"/>
      <c r="V467" s="1"/>
    </row>
    <row r="468" spans="1:22" ht="12.75" customHeight="1">
      <c r="A468" s="1"/>
      <c r="U468" s="3"/>
      <c r="V468" s="1"/>
    </row>
    <row r="469" spans="1:22" ht="12.75" customHeight="1">
      <c r="A469" s="1"/>
      <c r="U469" s="3"/>
      <c r="V469" s="1"/>
    </row>
    <row r="470" spans="1:22" ht="12.75" customHeight="1">
      <c r="A470" s="1"/>
      <c r="U470" s="3"/>
      <c r="V470" s="1"/>
    </row>
    <row r="471" spans="1:22" ht="12.75" customHeight="1">
      <c r="A471" s="1"/>
      <c r="U471" s="3"/>
      <c r="V471" s="1"/>
    </row>
    <row r="472" spans="1:22" ht="12.75" customHeight="1">
      <c r="A472" s="1"/>
      <c r="U472" s="3"/>
      <c r="V472" s="1"/>
    </row>
    <row r="473" spans="1:22" ht="12.75" customHeight="1">
      <c r="A473" s="1"/>
      <c r="U473" s="3"/>
      <c r="V473" s="1"/>
    </row>
    <row r="474" spans="1:22" ht="12.75" customHeight="1">
      <c r="A474" s="1"/>
      <c r="U474" s="3"/>
      <c r="V474" s="1"/>
    </row>
    <row r="475" spans="1:22" ht="12.75" customHeight="1">
      <c r="A475" s="1"/>
      <c r="U475" s="3"/>
      <c r="V475" s="1"/>
    </row>
    <row r="476" spans="1:22" ht="12.75" customHeight="1">
      <c r="A476" s="1"/>
      <c r="U476" s="3"/>
      <c r="V476" s="1"/>
    </row>
    <row r="477" spans="1:22" ht="12.75" customHeight="1">
      <c r="A477" s="1"/>
      <c r="U477" s="3"/>
      <c r="V477" s="1"/>
    </row>
    <row r="478" spans="1:22" ht="12.75" customHeight="1">
      <c r="A478" s="1"/>
      <c r="U478" s="3"/>
      <c r="V478" s="1"/>
    </row>
    <row r="479" spans="1:22" ht="12.75" customHeight="1">
      <c r="A479" s="1"/>
      <c r="U479" s="3"/>
      <c r="V479" s="1"/>
    </row>
    <row r="480" spans="1:22" ht="12.75" customHeight="1">
      <c r="A480" s="1"/>
      <c r="U480" s="3"/>
      <c r="V480" s="1"/>
    </row>
    <row r="481" spans="1:22" ht="12.75" customHeight="1">
      <c r="A481" s="1"/>
      <c r="U481" s="3"/>
      <c r="V481" s="1"/>
    </row>
    <row r="482" spans="1:22" ht="12.75" customHeight="1">
      <c r="A482" s="1"/>
      <c r="U482" s="3"/>
      <c r="V482" s="1"/>
    </row>
    <row r="483" spans="1:22" ht="12.75" customHeight="1">
      <c r="A483" s="1"/>
      <c r="U483" s="3"/>
      <c r="V483" s="1"/>
    </row>
    <row r="484" spans="1:22" ht="12.75" customHeight="1">
      <c r="A484" s="1"/>
      <c r="U484" s="3"/>
      <c r="V484" s="1"/>
    </row>
    <row r="485" spans="1:22" ht="12.75" customHeight="1">
      <c r="A485" s="1"/>
      <c r="U485" s="3"/>
      <c r="V485" s="1"/>
    </row>
    <row r="486" spans="1:22" ht="12.75" customHeight="1">
      <c r="A486" s="1"/>
      <c r="U486" s="3"/>
      <c r="V486" s="1"/>
    </row>
    <row r="487" spans="1:22" ht="12.75" customHeight="1">
      <c r="A487" s="1"/>
      <c r="U487" s="3"/>
      <c r="V487" s="1"/>
    </row>
    <row r="488" spans="1:22" ht="12.75" customHeight="1">
      <c r="A488" s="1"/>
      <c r="U488" s="3"/>
      <c r="V488" s="1"/>
    </row>
    <row r="489" spans="1:22" ht="12.75" customHeight="1">
      <c r="A489" s="1"/>
      <c r="U489" s="3"/>
      <c r="V489" s="1"/>
    </row>
    <row r="490" spans="1:22" ht="12.75" customHeight="1">
      <c r="A490" s="1"/>
      <c r="U490" s="3"/>
      <c r="V490" s="1"/>
    </row>
    <row r="491" spans="1:22" ht="12.75" customHeight="1">
      <c r="A491" s="1"/>
      <c r="U491" s="3"/>
      <c r="V491" s="1"/>
    </row>
    <row r="492" spans="1:22" ht="12.75" customHeight="1">
      <c r="A492" s="1"/>
      <c r="U492" s="3"/>
      <c r="V492" s="1"/>
    </row>
    <row r="493" spans="1:22" ht="12.75" customHeight="1">
      <c r="A493" s="1"/>
      <c r="U493" s="3"/>
      <c r="V493" s="1"/>
    </row>
    <row r="494" spans="1:22" ht="12.75" customHeight="1">
      <c r="A494" s="1"/>
      <c r="U494" s="3"/>
      <c r="V494" s="1"/>
    </row>
    <row r="495" spans="1:22" ht="12.75" customHeight="1">
      <c r="A495" s="1"/>
      <c r="U495" s="3"/>
      <c r="V495" s="1"/>
    </row>
    <row r="496" spans="1:22" ht="12.75" customHeight="1">
      <c r="A496" s="1"/>
      <c r="U496" s="3"/>
      <c r="V496" s="1"/>
    </row>
    <row r="497" spans="1:22" ht="12.75" customHeight="1">
      <c r="A497" s="1"/>
      <c r="U497" s="3"/>
      <c r="V497" s="1"/>
    </row>
    <row r="498" spans="1:22" ht="12.75" customHeight="1">
      <c r="A498" s="1"/>
      <c r="U498" s="3"/>
      <c r="V498" s="1"/>
    </row>
    <row r="499" spans="1:22" ht="12.75" customHeight="1">
      <c r="A499" s="1"/>
      <c r="U499" s="3"/>
      <c r="V499" s="1"/>
    </row>
    <row r="500" spans="1:22" ht="12.75" customHeight="1">
      <c r="A500" s="1"/>
      <c r="U500" s="3"/>
      <c r="V500" s="1"/>
    </row>
    <row r="501" spans="1:22" ht="12.75" customHeight="1">
      <c r="A501" s="1"/>
      <c r="U501" s="3"/>
      <c r="V501" s="1"/>
    </row>
    <row r="502" spans="1:22" ht="12.75" customHeight="1">
      <c r="A502" s="1"/>
      <c r="U502" s="3"/>
      <c r="V502" s="1"/>
    </row>
    <row r="503" spans="1:22" ht="12.75" customHeight="1">
      <c r="A503" s="1"/>
      <c r="U503" s="3"/>
      <c r="V503" s="1"/>
    </row>
    <row r="504" spans="1:22" ht="12.75" customHeight="1">
      <c r="A504" s="1"/>
      <c r="U504" s="3"/>
      <c r="V504" s="1"/>
    </row>
    <row r="505" spans="1:22" ht="12.75" customHeight="1">
      <c r="A505" s="1"/>
      <c r="U505" s="3"/>
      <c r="V505" s="1"/>
    </row>
    <row r="506" spans="1:22" ht="12.75" customHeight="1">
      <c r="A506" s="1"/>
      <c r="U506" s="3"/>
      <c r="V506" s="1"/>
    </row>
    <row r="507" spans="1:22" ht="12.75" customHeight="1">
      <c r="A507" s="1"/>
      <c r="U507" s="3"/>
      <c r="V507" s="1"/>
    </row>
    <row r="508" spans="1:22" ht="12.75" customHeight="1">
      <c r="A508" s="1"/>
      <c r="U508" s="3"/>
      <c r="V508" s="1"/>
    </row>
    <row r="509" spans="1:22" ht="12.75" customHeight="1">
      <c r="A509" s="1"/>
      <c r="U509" s="3"/>
      <c r="V509" s="1"/>
    </row>
    <row r="510" spans="1:22" ht="12.75" customHeight="1">
      <c r="A510" s="1"/>
      <c r="U510" s="3"/>
      <c r="V510" s="1"/>
    </row>
    <row r="511" spans="1:22" ht="12.75" customHeight="1">
      <c r="A511" s="1"/>
      <c r="U511" s="3"/>
      <c r="V511" s="1"/>
    </row>
    <row r="512" spans="1:22" ht="12.75" customHeight="1">
      <c r="A512" s="1"/>
      <c r="U512" s="3"/>
      <c r="V512" s="1"/>
    </row>
    <row r="513" spans="1:22" ht="12.75" customHeight="1">
      <c r="A513" s="1"/>
      <c r="U513" s="3"/>
      <c r="V513" s="1"/>
    </row>
    <row r="514" spans="1:22" ht="12.75" customHeight="1">
      <c r="A514" s="1"/>
      <c r="U514" s="3"/>
      <c r="V514" s="1"/>
    </row>
    <row r="515" spans="1:22" ht="12.75" customHeight="1">
      <c r="A515" s="1"/>
      <c r="U515" s="3"/>
      <c r="V515" s="1"/>
    </row>
    <row r="516" spans="1:22" ht="12.75" customHeight="1">
      <c r="A516" s="1"/>
      <c r="U516" s="3"/>
      <c r="V516" s="1"/>
    </row>
    <row r="517" spans="1:22" ht="12.75" customHeight="1">
      <c r="A517" s="1"/>
      <c r="U517" s="3"/>
      <c r="V517" s="1"/>
    </row>
    <row r="518" spans="1:22" ht="12.75" customHeight="1">
      <c r="A518" s="1"/>
      <c r="U518" s="3"/>
      <c r="V518" s="1"/>
    </row>
    <row r="519" spans="1:22" ht="12.75" customHeight="1">
      <c r="A519" s="1"/>
      <c r="U519" s="3"/>
      <c r="V519" s="1"/>
    </row>
    <row r="520" spans="1:22" ht="12.75" customHeight="1">
      <c r="A520" s="1"/>
      <c r="U520" s="3"/>
      <c r="V520" s="1"/>
    </row>
    <row r="521" spans="1:22" ht="12.75" customHeight="1">
      <c r="A521" s="1"/>
      <c r="U521" s="3"/>
      <c r="V521" s="1"/>
    </row>
    <row r="522" spans="1:22" ht="12.75" customHeight="1">
      <c r="A522" s="1"/>
      <c r="U522" s="3"/>
      <c r="V522" s="1"/>
    </row>
    <row r="523" spans="1:22" ht="12.75" customHeight="1">
      <c r="A523" s="1"/>
      <c r="U523" s="3"/>
      <c r="V523" s="1"/>
    </row>
    <row r="524" spans="1:22" ht="12.75" customHeight="1">
      <c r="A524" s="1"/>
      <c r="U524" s="3"/>
      <c r="V524" s="1"/>
    </row>
    <row r="525" spans="1:22" ht="12.75" customHeight="1">
      <c r="A525" s="1"/>
      <c r="U525" s="3"/>
      <c r="V525" s="1"/>
    </row>
    <row r="526" spans="1:22" ht="12.75" customHeight="1">
      <c r="A526" s="1"/>
      <c r="U526" s="3"/>
      <c r="V526" s="1"/>
    </row>
    <row r="527" spans="1:22" ht="12.75" customHeight="1">
      <c r="A527" s="1"/>
      <c r="U527" s="3"/>
      <c r="V527" s="1"/>
    </row>
    <row r="528" spans="1:22" ht="12.75" customHeight="1">
      <c r="A528" s="1"/>
      <c r="U528" s="3"/>
      <c r="V528" s="1"/>
    </row>
    <row r="529" spans="1:22" ht="12.75" customHeight="1">
      <c r="A529" s="1"/>
      <c r="U529" s="3"/>
      <c r="V529" s="1"/>
    </row>
    <row r="530" spans="1:22" ht="12.75" customHeight="1">
      <c r="A530" s="1"/>
      <c r="U530" s="3"/>
      <c r="V530" s="1"/>
    </row>
    <row r="531" spans="1:22" ht="12.75" customHeight="1">
      <c r="A531" s="1"/>
      <c r="U531" s="3"/>
      <c r="V531" s="1"/>
    </row>
    <row r="532" spans="1:22" ht="12.75" customHeight="1">
      <c r="A532" s="1"/>
      <c r="U532" s="3"/>
      <c r="V532" s="1"/>
    </row>
    <row r="533" spans="1:22" ht="12.75" customHeight="1">
      <c r="A533" s="1"/>
      <c r="U533" s="3"/>
      <c r="V533" s="1"/>
    </row>
    <row r="534" spans="1:22" ht="12.75" customHeight="1">
      <c r="A534" s="1"/>
      <c r="U534" s="3"/>
      <c r="V534" s="1"/>
    </row>
    <row r="535" spans="1:22" ht="12.75" customHeight="1">
      <c r="A535" s="1"/>
      <c r="U535" s="3"/>
      <c r="V535" s="1"/>
    </row>
    <row r="536" spans="1:22" ht="12.75" customHeight="1">
      <c r="A536" s="1"/>
      <c r="U536" s="3"/>
      <c r="V536" s="1"/>
    </row>
    <row r="537" spans="1:22" ht="12.75" customHeight="1">
      <c r="A537" s="1"/>
      <c r="U537" s="3"/>
      <c r="V537" s="1"/>
    </row>
    <row r="538" spans="1:22" ht="12.75" customHeight="1">
      <c r="A538" s="1"/>
      <c r="U538" s="3"/>
      <c r="V538" s="1"/>
    </row>
    <row r="539" spans="1:22" ht="12.75" customHeight="1">
      <c r="A539" s="1"/>
      <c r="U539" s="3"/>
      <c r="V539" s="1"/>
    </row>
    <row r="540" spans="1:22" ht="12.75" customHeight="1">
      <c r="A540" s="1"/>
      <c r="U540" s="3"/>
      <c r="V540" s="1"/>
    </row>
    <row r="541" spans="1:22" ht="12.75" customHeight="1">
      <c r="A541" s="1"/>
      <c r="U541" s="3"/>
      <c r="V541" s="1"/>
    </row>
    <row r="542" spans="1:22" ht="12.75" customHeight="1">
      <c r="A542" s="1"/>
      <c r="U542" s="3"/>
      <c r="V542" s="1"/>
    </row>
    <row r="543" spans="1:22" ht="12.75" customHeight="1">
      <c r="A543" s="1"/>
      <c r="U543" s="3"/>
      <c r="V543" s="1"/>
    </row>
    <row r="544" spans="1:22" ht="12.75" customHeight="1">
      <c r="A544" s="1"/>
      <c r="U544" s="3"/>
      <c r="V544" s="1"/>
    </row>
    <row r="545" spans="1:22" ht="12.75" customHeight="1">
      <c r="A545" s="1"/>
      <c r="U545" s="3"/>
      <c r="V545" s="1"/>
    </row>
    <row r="546" spans="1:22" ht="12.75" customHeight="1">
      <c r="A546" s="1"/>
      <c r="U546" s="3"/>
      <c r="V546" s="1"/>
    </row>
    <row r="547" spans="1:22" ht="12.75" customHeight="1">
      <c r="A547" s="1"/>
      <c r="U547" s="3"/>
      <c r="V547" s="1"/>
    </row>
    <row r="548" spans="1:22" ht="12.75" customHeight="1">
      <c r="A548" s="1"/>
      <c r="U548" s="3"/>
      <c r="V548" s="1"/>
    </row>
    <row r="549" spans="1:22" ht="12.75" customHeight="1">
      <c r="A549" s="1"/>
      <c r="U549" s="3"/>
      <c r="V549" s="1"/>
    </row>
    <row r="550" spans="1:22" ht="12.75" customHeight="1">
      <c r="A550" s="1"/>
      <c r="U550" s="3"/>
      <c r="V550" s="1"/>
    </row>
    <row r="551" spans="1:22" ht="12.75" customHeight="1">
      <c r="A551" s="1"/>
      <c r="U551" s="3"/>
      <c r="V551" s="1"/>
    </row>
    <row r="552" spans="1:22" ht="12.75" customHeight="1">
      <c r="A552" s="1"/>
      <c r="U552" s="3"/>
      <c r="V552" s="1"/>
    </row>
    <row r="553" spans="1:22" ht="12.75" customHeight="1">
      <c r="A553" s="1"/>
      <c r="U553" s="3"/>
      <c r="V553" s="1"/>
    </row>
    <row r="554" spans="1:22" ht="12.75" customHeight="1">
      <c r="A554" s="1"/>
      <c r="U554" s="3"/>
      <c r="V554" s="1"/>
    </row>
    <row r="555" spans="1:22" ht="12.75" customHeight="1">
      <c r="A555" s="1"/>
      <c r="U555" s="3"/>
      <c r="V555" s="1"/>
    </row>
    <row r="556" spans="1:22" ht="12.75" customHeight="1">
      <c r="A556" s="1"/>
      <c r="U556" s="3"/>
      <c r="V556" s="1"/>
    </row>
    <row r="557" spans="1:22" ht="12.75" customHeight="1">
      <c r="A557" s="1"/>
      <c r="U557" s="3"/>
      <c r="V557" s="1"/>
    </row>
    <row r="558" spans="1:22" ht="12.75" customHeight="1">
      <c r="A558" s="1"/>
      <c r="U558" s="3"/>
      <c r="V558" s="1"/>
    </row>
    <row r="559" spans="1:22" ht="12.75" customHeight="1">
      <c r="A559" s="1"/>
      <c r="U559" s="3"/>
      <c r="V559" s="1"/>
    </row>
    <row r="560" spans="1:22" ht="12.75" customHeight="1">
      <c r="A560" s="1"/>
      <c r="U560" s="3"/>
      <c r="V560" s="1"/>
    </row>
    <row r="561" spans="1:22" ht="12.75" customHeight="1">
      <c r="A561" s="1"/>
      <c r="U561" s="3"/>
      <c r="V561" s="1"/>
    </row>
    <row r="562" spans="1:22" ht="12.75" customHeight="1">
      <c r="A562" s="1"/>
      <c r="U562" s="3"/>
      <c r="V562" s="1"/>
    </row>
    <row r="563" spans="1:22" ht="12.75" customHeight="1">
      <c r="A563" s="1"/>
      <c r="U563" s="3"/>
      <c r="V563" s="1"/>
    </row>
    <row r="564" spans="1:22" ht="12.75" customHeight="1">
      <c r="A564" s="1"/>
      <c r="U564" s="3"/>
      <c r="V564" s="1"/>
    </row>
    <row r="565" spans="1:22" ht="12.75" customHeight="1">
      <c r="A565" s="1"/>
      <c r="U565" s="3"/>
      <c r="V565" s="1"/>
    </row>
    <row r="566" spans="1:22" ht="12.75" customHeight="1">
      <c r="A566" s="1"/>
      <c r="U566" s="3"/>
      <c r="V566" s="1"/>
    </row>
    <row r="567" spans="1:22" ht="12.75" customHeight="1">
      <c r="A567" s="1"/>
      <c r="U567" s="3"/>
      <c r="V567" s="1"/>
    </row>
    <row r="568" spans="1:22" ht="12.75" customHeight="1">
      <c r="A568" s="1"/>
      <c r="U568" s="3"/>
      <c r="V568" s="1"/>
    </row>
    <row r="569" spans="1:22" ht="12.75" customHeight="1">
      <c r="A569" s="1"/>
      <c r="U569" s="3"/>
      <c r="V569" s="1"/>
    </row>
    <row r="570" spans="1:22" ht="12.75" customHeight="1">
      <c r="A570" s="1"/>
      <c r="U570" s="3"/>
      <c r="V570" s="1"/>
    </row>
    <row r="571" spans="1:22" ht="12.75" customHeight="1">
      <c r="A571" s="1"/>
      <c r="U571" s="3"/>
      <c r="V571" s="1"/>
    </row>
    <row r="572" spans="1:22" ht="12.75" customHeight="1">
      <c r="A572" s="1"/>
      <c r="U572" s="3"/>
      <c r="V572" s="1"/>
    </row>
    <row r="573" spans="1:22" ht="12.75" customHeight="1">
      <c r="A573" s="1"/>
      <c r="U573" s="3"/>
      <c r="V573" s="1"/>
    </row>
    <row r="574" spans="1:22" ht="12.75" customHeight="1">
      <c r="A574" s="1"/>
      <c r="U574" s="3"/>
      <c r="V574" s="1"/>
    </row>
    <row r="575" spans="1:22" ht="12.75" customHeight="1">
      <c r="A575" s="1"/>
      <c r="U575" s="3"/>
      <c r="V575" s="1"/>
    </row>
    <row r="576" spans="1:22" ht="12.75" customHeight="1">
      <c r="A576" s="1"/>
      <c r="U576" s="3"/>
      <c r="V576" s="1"/>
    </row>
    <row r="577" spans="1:22" ht="12.75" customHeight="1">
      <c r="A577" s="1"/>
      <c r="U577" s="3"/>
      <c r="V577" s="1"/>
    </row>
    <row r="578" spans="1:22" ht="12.75" customHeight="1">
      <c r="A578" s="1"/>
      <c r="U578" s="3"/>
      <c r="V578" s="1"/>
    </row>
    <row r="579" spans="1:22" ht="12.75" customHeight="1">
      <c r="A579" s="1"/>
      <c r="U579" s="3"/>
      <c r="V579" s="1"/>
    </row>
    <row r="580" spans="1:22" ht="12.75" customHeight="1">
      <c r="A580" s="1"/>
      <c r="U580" s="3"/>
      <c r="V580" s="1"/>
    </row>
    <row r="581" spans="1:22" ht="12.75" customHeight="1">
      <c r="A581" s="1"/>
      <c r="U581" s="3"/>
      <c r="V581" s="1"/>
    </row>
    <row r="582" spans="1:22" ht="12.75" customHeight="1">
      <c r="A582" s="1"/>
      <c r="U582" s="3"/>
      <c r="V582" s="1"/>
    </row>
    <row r="583" spans="1:22" ht="12.75" customHeight="1">
      <c r="A583" s="1"/>
      <c r="U583" s="3"/>
      <c r="V583" s="1"/>
    </row>
    <row r="584" spans="1:22" ht="12.75" customHeight="1">
      <c r="A584" s="1"/>
      <c r="U584" s="3"/>
      <c r="V584" s="1"/>
    </row>
    <row r="585" spans="1:22" ht="12.75" customHeight="1">
      <c r="A585" s="1"/>
      <c r="U585" s="3"/>
      <c r="V585" s="1"/>
    </row>
    <row r="586" spans="1:22" ht="12.75" customHeight="1">
      <c r="A586" s="1"/>
      <c r="U586" s="3"/>
      <c r="V586" s="1"/>
    </row>
    <row r="587" spans="1:22" ht="12.75" customHeight="1">
      <c r="A587" s="1"/>
      <c r="U587" s="3"/>
      <c r="V587" s="1"/>
    </row>
    <row r="588" spans="1:22" ht="12.75" customHeight="1">
      <c r="A588" s="1"/>
      <c r="U588" s="3"/>
      <c r="V588" s="1"/>
    </row>
    <row r="589" spans="1:22" ht="12.75" customHeight="1">
      <c r="A589" s="1"/>
      <c r="U589" s="3"/>
      <c r="V589" s="1"/>
    </row>
    <row r="590" spans="1:22" ht="12.75" customHeight="1">
      <c r="A590" s="1"/>
      <c r="U590" s="3"/>
      <c r="V590" s="1"/>
    </row>
    <row r="591" spans="1:22" ht="12.75" customHeight="1">
      <c r="A591" s="1"/>
      <c r="U591" s="3"/>
      <c r="V591" s="1"/>
    </row>
    <row r="592" spans="1:22" ht="12.75" customHeight="1">
      <c r="A592" s="1"/>
      <c r="U592" s="3"/>
      <c r="V592" s="1"/>
    </row>
    <row r="593" spans="1:22" ht="12.75" customHeight="1">
      <c r="A593" s="1"/>
      <c r="U593" s="3"/>
      <c r="V593" s="1"/>
    </row>
    <row r="594" spans="1:22" ht="12.75" customHeight="1">
      <c r="A594" s="1"/>
      <c r="U594" s="3"/>
      <c r="V594" s="1"/>
    </row>
    <row r="595" spans="1:22" ht="12.75" customHeight="1">
      <c r="A595" s="1"/>
      <c r="U595" s="3"/>
      <c r="V595" s="1"/>
    </row>
    <row r="596" spans="1:22" ht="12.75" customHeight="1">
      <c r="A596" s="1"/>
      <c r="U596" s="3"/>
      <c r="V596" s="1"/>
    </row>
    <row r="597" spans="1:22" ht="12.75" customHeight="1">
      <c r="A597" s="1"/>
      <c r="U597" s="3"/>
      <c r="V597" s="1"/>
    </row>
    <row r="598" spans="1:22" ht="12.75" customHeight="1">
      <c r="A598" s="1"/>
      <c r="U598" s="3"/>
      <c r="V598" s="1"/>
    </row>
    <row r="599" spans="1:22" ht="12.75" customHeight="1">
      <c r="A599" s="1"/>
      <c r="U599" s="3"/>
      <c r="V599" s="1"/>
    </row>
    <row r="600" spans="1:22" ht="12.75" customHeight="1">
      <c r="A600" s="1"/>
      <c r="U600" s="3"/>
      <c r="V600" s="1"/>
    </row>
    <row r="601" spans="1:22" ht="12.75" customHeight="1">
      <c r="A601" s="1"/>
      <c r="U601" s="3"/>
      <c r="V601" s="1"/>
    </row>
    <row r="602" spans="1:22" ht="12.75" customHeight="1">
      <c r="A602" s="1"/>
      <c r="U602" s="3"/>
      <c r="V602" s="1"/>
    </row>
    <row r="603" spans="1:22" ht="12.75" customHeight="1">
      <c r="A603" s="1"/>
      <c r="U603" s="3"/>
      <c r="V603" s="1"/>
    </row>
    <row r="604" spans="1:22" ht="12.75" customHeight="1">
      <c r="A604" s="1"/>
      <c r="U604" s="3"/>
      <c r="V604" s="1"/>
    </row>
    <row r="605" spans="1:22" ht="12.75" customHeight="1">
      <c r="A605" s="1"/>
      <c r="U605" s="3"/>
      <c r="V605" s="1"/>
    </row>
    <row r="606" spans="1:22" ht="12.75" customHeight="1">
      <c r="A606" s="1"/>
      <c r="U606" s="3"/>
      <c r="V606" s="1"/>
    </row>
    <row r="607" spans="1:22" ht="12.75" customHeight="1">
      <c r="A607" s="1"/>
      <c r="U607" s="3"/>
      <c r="V607" s="1"/>
    </row>
    <row r="608" spans="1:22" ht="12.75" customHeight="1">
      <c r="A608" s="1"/>
      <c r="U608" s="3"/>
      <c r="V608" s="1"/>
    </row>
    <row r="609" spans="1:22" ht="12.75" customHeight="1">
      <c r="A609" s="1"/>
      <c r="U609" s="3"/>
      <c r="V609" s="1"/>
    </row>
    <row r="610" spans="1:22" ht="12.75" customHeight="1">
      <c r="A610" s="1"/>
      <c r="U610" s="3"/>
      <c r="V610" s="1"/>
    </row>
    <row r="611" spans="1:22" ht="12.75" customHeight="1">
      <c r="A611" s="1"/>
      <c r="U611" s="3"/>
      <c r="V611" s="1"/>
    </row>
    <row r="612" spans="1:22" ht="12.75" customHeight="1">
      <c r="A612" s="1"/>
      <c r="U612" s="3"/>
      <c r="V612" s="1"/>
    </row>
    <row r="613" spans="1:22" ht="12.75" customHeight="1">
      <c r="A613" s="1"/>
      <c r="U613" s="3"/>
      <c r="V613" s="1"/>
    </row>
    <row r="614" spans="1:22" ht="12.75" customHeight="1">
      <c r="A614" s="1"/>
      <c r="U614" s="3"/>
      <c r="V614" s="1"/>
    </row>
    <row r="615" spans="1:22" ht="12.75" customHeight="1">
      <c r="A615" s="1"/>
      <c r="U615" s="3"/>
      <c r="V615" s="1"/>
    </row>
    <row r="616" spans="1:22" ht="12.75" customHeight="1">
      <c r="A616" s="1"/>
      <c r="U616" s="3"/>
      <c r="V616" s="1"/>
    </row>
    <row r="617" spans="1:22" ht="12.75" customHeight="1">
      <c r="A617" s="1"/>
      <c r="U617" s="3"/>
      <c r="V617" s="1"/>
    </row>
    <row r="618" spans="1:22" ht="12.75" customHeight="1">
      <c r="A618" s="1"/>
      <c r="U618" s="3"/>
      <c r="V618" s="1"/>
    </row>
    <row r="619" spans="1:22" ht="12.75" customHeight="1">
      <c r="A619" s="1"/>
      <c r="U619" s="3"/>
      <c r="V619" s="1"/>
    </row>
    <row r="620" spans="1:22" ht="12.75" customHeight="1">
      <c r="A620" s="1"/>
      <c r="U620" s="3"/>
      <c r="V620" s="1"/>
    </row>
    <row r="621" spans="1:22" ht="12.75" customHeight="1">
      <c r="A621" s="1"/>
      <c r="U621" s="3"/>
      <c r="V621" s="1"/>
    </row>
    <row r="622" spans="1:22" ht="12.75" customHeight="1">
      <c r="A622" s="1"/>
      <c r="U622" s="3"/>
      <c r="V622" s="1"/>
    </row>
    <row r="623" spans="1:22" ht="12.75" customHeight="1">
      <c r="A623" s="1"/>
      <c r="U623" s="3"/>
      <c r="V623" s="1"/>
    </row>
    <row r="624" spans="1:22" ht="12.75" customHeight="1">
      <c r="A624" s="1"/>
      <c r="U624" s="3"/>
      <c r="V624" s="1"/>
    </row>
    <row r="625" spans="1:22" ht="12.75" customHeight="1">
      <c r="A625" s="1"/>
      <c r="U625" s="3"/>
      <c r="V625" s="1"/>
    </row>
    <row r="626" spans="1:22" ht="12.75" customHeight="1">
      <c r="A626" s="1"/>
      <c r="U626" s="3"/>
      <c r="V626" s="1"/>
    </row>
    <row r="627" spans="1:22" ht="12.75" customHeight="1">
      <c r="A627" s="1"/>
      <c r="U627" s="3"/>
      <c r="V627" s="1"/>
    </row>
    <row r="628" spans="1:22" ht="12.75" customHeight="1">
      <c r="A628" s="1"/>
      <c r="U628" s="3"/>
      <c r="V628" s="1"/>
    </row>
    <row r="629" spans="1:22" ht="12.75" customHeight="1">
      <c r="A629" s="1"/>
      <c r="U629" s="3"/>
      <c r="V629" s="1"/>
    </row>
    <row r="630" spans="1:22" ht="12.75" customHeight="1">
      <c r="A630" s="1"/>
      <c r="U630" s="3"/>
      <c r="V630" s="1"/>
    </row>
    <row r="631" spans="1:22" ht="12.75" customHeight="1">
      <c r="A631" s="1"/>
      <c r="U631" s="3"/>
      <c r="V631" s="1"/>
    </row>
    <row r="632" spans="1:22" ht="12.75" customHeight="1">
      <c r="A632" s="1"/>
      <c r="U632" s="3"/>
      <c r="V632" s="1"/>
    </row>
    <row r="633" spans="1:22" ht="12.75" customHeight="1">
      <c r="A633" s="1"/>
      <c r="U633" s="3"/>
      <c r="V633" s="1"/>
    </row>
    <row r="634" spans="1:22" ht="12.75" customHeight="1">
      <c r="A634" s="1"/>
      <c r="U634" s="3"/>
      <c r="V634" s="1"/>
    </row>
    <row r="635" spans="1:22" ht="12.75" customHeight="1">
      <c r="A635" s="1"/>
      <c r="U635" s="3"/>
      <c r="V635" s="1"/>
    </row>
    <row r="636" spans="1:22" ht="12.75" customHeight="1">
      <c r="A636" s="1"/>
      <c r="U636" s="3"/>
      <c r="V636" s="1"/>
    </row>
    <row r="637" spans="1:22" ht="12.75" customHeight="1">
      <c r="A637" s="1"/>
      <c r="U637" s="3"/>
      <c r="V637" s="1"/>
    </row>
    <row r="638" spans="1:22" ht="12.75" customHeight="1">
      <c r="A638" s="1"/>
      <c r="U638" s="3"/>
      <c r="V638" s="1"/>
    </row>
    <row r="639" spans="1:22" ht="12.75" customHeight="1">
      <c r="A639" s="1"/>
      <c r="U639" s="3"/>
      <c r="V639" s="1"/>
    </row>
    <row r="640" spans="1:22" ht="12.75" customHeight="1">
      <c r="A640" s="1"/>
      <c r="U640" s="3"/>
      <c r="V640" s="1"/>
    </row>
    <row r="641" spans="1:22" ht="12.75" customHeight="1">
      <c r="A641" s="1"/>
      <c r="U641" s="3"/>
      <c r="V641" s="1"/>
    </row>
    <row r="642" spans="1:22" ht="12.75" customHeight="1">
      <c r="A642" s="1"/>
      <c r="U642" s="3"/>
      <c r="V642" s="1"/>
    </row>
    <row r="643" spans="1:22" ht="12.75" customHeight="1">
      <c r="A643" s="1"/>
      <c r="U643" s="3"/>
      <c r="V643" s="1"/>
    </row>
    <row r="644" spans="1:22" ht="12.75" customHeight="1">
      <c r="A644" s="1"/>
      <c r="U644" s="3"/>
      <c r="V644" s="1"/>
    </row>
    <row r="645" spans="1:22" ht="12.75" customHeight="1">
      <c r="A645" s="1"/>
      <c r="U645" s="3"/>
      <c r="V645" s="1"/>
    </row>
    <row r="646" spans="1:22" ht="12.75" customHeight="1">
      <c r="A646" s="1"/>
      <c r="U646" s="3"/>
      <c r="V646" s="1"/>
    </row>
    <row r="647" spans="1:22" ht="12.75" customHeight="1">
      <c r="A647" s="1"/>
      <c r="U647" s="3"/>
      <c r="V647" s="1"/>
    </row>
    <row r="648" spans="1:22" ht="12.75" customHeight="1">
      <c r="A648" s="1"/>
      <c r="U648" s="3"/>
      <c r="V648" s="1"/>
    </row>
    <row r="649" spans="1:22" ht="12.75" customHeight="1">
      <c r="A649" s="1"/>
      <c r="U649" s="3"/>
      <c r="V649" s="1"/>
    </row>
    <row r="650" spans="1:22" ht="12.75" customHeight="1">
      <c r="A650" s="1"/>
      <c r="U650" s="3"/>
      <c r="V650" s="1"/>
    </row>
    <row r="651" spans="1:22" ht="12.75" customHeight="1">
      <c r="A651" s="1"/>
      <c r="U651" s="3"/>
      <c r="V651" s="1"/>
    </row>
    <row r="652" spans="1:22" ht="12.75" customHeight="1">
      <c r="A652" s="1"/>
      <c r="U652" s="3"/>
      <c r="V652" s="1"/>
    </row>
    <row r="653" spans="1:22" ht="12.75" customHeight="1">
      <c r="A653" s="1"/>
      <c r="U653" s="3"/>
      <c r="V653" s="1"/>
    </row>
    <row r="654" spans="1:22" ht="12.75" customHeight="1">
      <c r="A654" s="1"/>
      <c r="U654" s="3"/>
      <c r="V654" s="1"/>
    </row>
    <row r="655" spans="1:22" ht="12.75" customHeight="1">
      <c r="A655" s="1"/>
      <c r="U655" s="3"/>
      <c r="V655" s="1"/>
    </row>
    <row r="656" spans="1:22" ht="12.75" customHeight="1">
      <c r="A656" s="1"/>
      <c r="U656" s="3"/>
      <c r="V656" s="1"/>
    </row>
    <row r="657" spans="1:22" ht="12.75" customHeight="1">
      <c r="A657" s="1"/>
      <c r="U657" s="3"/>
      <c r="V657" s="1"/>
    </row>
    <row r="658" spans="1:22" ht="12.75" customHeight="1">
      <c r="A658" s="1"/>
      <c r="U658" s="3"/>
      <c r="V658" s="1"/>
    </row>
    <row r="659" spans="1:22" ht="12.75" customHeight="1">
      <c r="A659" s="1"/>
      <c r="U659" s="3"/>
      <c r="V659" s="1"/>
    </row>
    <row r="660" spans="1:22" ht="12.75" customHeight="1">
      <c r="A660" s="1"/>
      <c r="U660" s="3"/>
      <c r="V660" s="1"/>
    </row>
    <row r="661" spans="1:22" ht="12.75" customHeight="1">
      <c r="A661" s="1"/>
      <c r="U661" s="3"/>
      <c r="V661" s="1"/>
    </row>
    <row r="662" spans="1:22" ht="12.75" customHeight="1">
      <c r="A662" s="1"/>
      <c r="U662" s="3"/>
      <c r="V662" s="1"/>
    </row>
    <row r="663" spans="1:22" ht="12.75" customHeight="1">
      <c r="A663" s="1"/>
      <c r="U663" s="3"/>
      <c r="V663" s="1"/>
    </row>
    <row r="664" spans="1:22" ht="12.75" customHeight="1">
      <c r="A664" s="1"/>
      <c r="U664" s="3"/>
      <c r="V664" s="1"/>
    </row>
    <row r="665" spans="1:22" ht="12.75" customHeight="1">
      <c r="A665" s="1"/>
      <c r="U665" s="3"/>
      <c r="V665" s="1"/>
    </row>
    <row r="666" spans="1:22" ht="12.75" customHeight="1">
      <c r="A666" s="1"/>
      <c r="U666" s="3"/>
      <c r="V666" s="1"/>
    </row>
    <row r="667" spans="1:22" ht="12.75" customHeight="1">
      <c r="A667" s="1"/>
      <c r="U667" s="3"/>
      <c r="V667" s="1"/>
    </row>
    <row r="668" spans="1:22" ht="12.75" customHeight="1">
      <c r="A668" s="1"/>
      <c r="U668" s="3"/>
      <c r="V668" s="1"/>
    </row>
    <row r="669" spans="1:22" ht="12.75" customHeight="1">
      <c r="A669" s="1"/>
      <c r="U669" s="3"/>
      <c r="V669" s="1"/>
    </row>
    <row r="670" spans="1:22" ht="12.75" customHeight="1">
      <c r="A670" s="1"/>
      <c r="U670" s="3"/>
      <c r="V670" s="1"/>
    </row>
    <row r="671" spans="1:22" ht="12.75" customHeight="1">
      <c r="A671" s="1"/>
      <c r="U671" s="3"/>
      <c r="V671" s="1"/>
    </row>
    <row r="672" spans="1:22" ht="12.75" customHeight="1">
      <c r="A672" s="1"/>
      <c r="U672" s="3"/>
      <c r="V672" s="1"/>
    </row>
    <row r="673" spans="1:22" ht="12.75" customHeight="1">
      <c r="A673" s="1"/>
      <c r="U673" s="3"/>
      <c r="V673" s="1"/>
    </row>
    <row r="674" spans="1:22" ht="12.75" customHeight="1">
      <c r="A674" s="1"/>
      <c r="U674" s="3"/>
      <c r="V674" s="1"/>
    </row>
    <row r="675" spans="1:22" ht="12.75" customHeight="1">
      <c r="A675" s="1"/>
      <c r="U675" s="3"/>
      <c r="V675" s="1"/>
    </row>
    <row r="676" spans="1:22" ht="12.75" customHeight="1">
      <c r="A676" s="1"/>
      <c r="U676" s="3"/>
      <c r="V676" s="1"/>
    </row>
    <row r="677" spans="1:22" ht="12.75" customHeight="1">
      <c r="A677" s="1"/>
      <c r="U677" s="3"/>
      <c r="V677" s="1"/>
    </row>
    <row r="678" spans="1:22" ht="12.75" customHeight="1">
      <c r="A678" s="1"/>
      <c r="U678" s="3"/>
      <c r="V678" s="1"/>
    </row>
    <row r="679" spans="1:22" ht="12.75" customHeight="1">
      <c r="A679" s="1"/>
      <c r="U679" s="3"/>
      <c r="V679" s="1"/>
    </row>
    <row r="680" spans="1:22" ht="12.75" customHeight="1">
      <c r="A680" s="1"/>
      <c r="U680" s="3"/>
      <c r="V680" s="1"/>
    </row>
    <row r="681" spans="1:22" ht="12.75" customHeight="1">
      <c r="A681" s="1"/>
      <c r="U681" s="3"/>
      <c r="V681" s="1"/>
    </row>
    <row r="682" spans="1:22" ht="12.75" customHeight="1">
      <c r="A682" s="1"/>
      <c r="U682" s="3"/>
      <c r="V682" s="1"/>
    </row>
    <row r="683" spans="1:22" ht="12.75" customHeight="1">
      <c r="A683" s="1"/>
      <c r="U683" s="3"/>
      <c r="V683" s="1"/>
    </row>
    <row r="684" spans="1:22" ht="12.75" customHeight="1">
      <c r="A684" s="1"/>
      <c r="U684" s="3"/>
      <c r="V684" s="1"/>
    </row>
    <row r="685" spans="1:22" ht="12.75" customHeight="1">
      <c r="A685" s="1"/>
      <c r="U685" s="3"/>
      <c r="V685" s="1"/>
    </row>
    <row r="686" spans="1:22" ht="12.75" customHeight="1">
      <c r="A686" s="1"/>
      <c r="U686" s="3"/>
      <c r="V686" s="1"/>
    </row>
    <row r="687" spans="1:22" ht="12.75" customHeight="1">
      <c r="A687" s="1"/>
      <c r="U687" s="3"/>
      <c r="V687" s="1"/>
    </row>
    <row r="688" spans="1:22" ht="12.75" customHeight="1">
      <c r="A688" s="1"/>
      <c r="U688" s="3"/>
      <c r="V688" s="1"/>
    </row>
    <row r="689" spans="1:22" ht="12.75" customHeight="1">
      <c r="A689" s="1"/>
      <c r="U689" s="3"/>
      <c r="V689" s="1"/>
    </row>
    <row r="690" spans="1:22" ht="12.75" customHeight="1">
      <c r="A690" s="1"/>
      <c r="U690" s="3"/>
      <c r="V690" s="1"/>
    </row>
    <row r="691" spans="1:22" ht="12.75" customHeight="1">
      <c r="A691" s="1"/>
      <c r="U691" s="3"/>
      <c r="V691" s="1"/>
    </row>
    <row r="692" spans="1:22" ht="12.75" customHeight="1">
      <c r="A692" s="1"/>
      <c r="U692" s="3"/>
      <c r="V692" s="1"/>
    </row>
    <row r="693" spans="1:22" ht="12.75" customHeight="1">
      <c r="A693" s="1"/>
      <c r="U693" s="3"/>
      <c r="V693" s="1"/>
    </row>
    <row r="694" spans="1:22" ht="12.75" customHeight="1">
      <c r="A694" s="1"/>
      <c r="U694" s="3"/>
      <c r="V694" s="1"/>
    </row>
    <row r="695" spans="1:22" ht="12.75" customHeight="1">
      <c r="A695" s="1"/>
      <c r="U695" s="3"/>
      <c r="V695" s="1"/>
    </row>
    <row r="696" spans="1:22" ht="12.75" customHeight="1">
      <c r="A696" s="1"/>
      <c r="U696" s="3"/>
      <c r="V696" s="1"/>
    </row>
    <row r="697" spans="1:22" ht="12.75" customHeight="1">
      <c r="A697" s="1"/>
      <c r="U697" s="3"/>
      <c r="V697" s="1"/>
    </row>
    <row r="698" spans="1:22" ht="12.75" customHeight="1">
      <c r="A698" s="1"/>
      <c r="U698" s="3"/>
      <c r="V698" s="1"/>
    </row>
    <row r="699" spans="1:22" ht="12.75" customHeight="1">
      <c r="A699" s="1"/>
      <c r="U699" s="3"/>
      <c r="V699" s="1"/>
    </row>
    <row r="700" spans="1:22" ht="12.75" customHeight="1">
      <c r="A700" s="1"/>
      <c r="U700" s="3"/>
      <c r="V700" s="1"/>
    </row>
    <row r="701" spans="1:22" ht="12.75" customHeight="1">
      <c r="A701" s="1"/>
      <c r="U701" s="3"/>
      <c r="V701" s="1"/>
    </row>
    <row r="702" spans="1:22" ht="12.75" customHeight="1">
      <c r="A702" s="1"/>
      <c r="U702" s="3"/>
      <c r="V702" s="1"/>
    </row>
    <row r="703" spans="1:22" ht="12.75" customHeight="1">
      <c r="A703" s="1"/>
      <c r="U703" s="3"/>
      <c r="V703" s="1"/>
    </row>
    <row r="704" spans="1:22" ht="12.75" customHeight="1">
      <c r="A704" s="1"/>
      <c r="U704" s="3"/>
      <c r="V704" s="1"/>
    </row>
    <row r="705" spans="1:22" ht="12.75" customHeight="1">
      <c r="A705" s="1"/>
      <c r="U705" s="3"/>
      <c r="V705" s="1"/>
    </row>
    <row r="706" spans="1:22" ht="12.75" customHeight="1">
      <c r="A706" s="1"/>
      <c r="U706" s="3"/>
      <c r="V706" s="1"/>
    </row>
    <row r="707" spans="1:22" ht="12.75" customHeight="1">
      <c r="A707" s="1"/>
      <c r="U707" s="3"/>
      <c r="V707" s="1"/>
    </row>
    <row r="708" spans="1:22" ht="12.75" customHeight="1">
      <c r="A708" s="1"/>
      <c r="U708" s="3"/>
      <c r="V708" s="1"/>
    </row>
    <row r="709" spans="1:22" ht="12.75" customHeight="1">
      <c r="A709" s="1"/>
      <c r="U709" s="3"/>
      <c r="V709" s="1"/>
    </row>
    <row r="710" spans="1:22" ht="12.75" customHeight="1">
      <c r="A710" s="1"/>
      <c r="U710" s="3"/>
      <c r="V710" s="1"/>
    </row>
    <row r="711" spans="1:22" ht="12.75" customHeight="1">
      <c r="A711" s="1"/>
      <c r="U711" s="3"/>
      <c r="V711" s="1"/>
    </row>
    <row r="712" spans="1:22" ht="12.75" customHeight="1">
      <c r="A712" s="1"/>
      <c r="U712" s="3"/>
      <c r="V712" s="1"/>
    </row>
    <row r="713" spans="1:22" ht="12.75" customHeight="1">
      <c r="A713" s="1"/>
      <c r="U713" s="3"/>
      <c r="V713" s="1"/>
    </row>
    <row r="714" spans="1:22" ht="12.75" customHeight="1">
      <c r="A714" s="1"/>
      <c r="U714" s="3"/>
      <c r="V714" s="1"/>
    </row>
    <row r="715" spans="1:22" ht="12.75" customHeight="1">
      <c r="A715" s="1"/>
      <c r="U715" s="3"/>
      <c r="V715" s="1"/>
    </row>
    <row r="716" spans="1:22" ht="12.75" customHeight="1">
      <c r="A716" s="1"/>
      <c r="U716" s="3"/>
      <c r="V716" s="1"/>
    </row>
    <row r="717" spans="1:22" ht="12.75" customHeight="1">
      <c r="A717" s="1"/>
      <c r="U717" s="3"/>
      <c r="V717" s="1"/>
    </row>
    <row r="718" spans="1:22" ht="12.75" customHeight="1">
      <c r="A718" s="1"/>
      <c r="U718" s="3"/>
      <c r="V718" s="1"/>
    </row>
    <row r="719" spans="1:22" ht="12.75" customHeight="1">
      <c r="A719" s="1"/>
      <c r="U719" s="3"/>
      <c r="V719" s="1"/>
    </row>
    <row r="720" spans="1:22" ht="12.75" customHeight="1">
      <c r="A720" s="1"/>
      <c r="U720" s="3"/>
      <c r="V720" s="1"/>
    </row>
    <row r="721" spans="1:22" ht="12.75" customHeight="1">
      <c r="A721" s="1"/>
      <c r="U721" s="3"/>
      <c r="V721" s="1"/>
    </row>
    <row r="722" spans="1:22" ht="12.75" customHeight="1">
      <c r="A722" s="1"/>
      <c r="U722" s="3"/>
      <c r="V722" s="1"/>
    </row>
    <row r="723" spans="1:22" ht="12.75" customHeight="1">
      <c r="A723" s="1"/>
      <c r="U723" s="3"/>
      <c r="V723" s="1"/>
    </row>
    <row r="724" spans="1:22" ht="12.75" customHeight="1">
      <c r="A724" s="1"/>
      <c r="U724" s="3"/>
      <c r="V724" s="1"/>
    </row>
    <row r="725" spans="1:22" ht="12.75" customHeight="1">
      <c r="A725" s="1"/>
      <c r="U725" s="3"/>
      <c r="V725" s="1"/>
    </row>
    <row r="726" spans="1:22" ht="12.75" customHeight="1">
      <c r="A726" s="1"/>
      <c r="U726" s="3"/>
      <c r="V726" s="1"/>
    </row>
    <row r="727" spans="1:22" ht="12.75" customHeight="1">
      <c r="A727" s="1"/>
      <c r="U727" s="3"/>
      <c r="V727" s="1"/>
    </row>
    <row r="728" spans="1:22" ht="12.75" customHeight="1">
      <c r="A728" s="1"/>
      <c r="U728" s="3"/>
      <c r="V728" s="1"/>
    </row>
    <row r="729" spans="1:22" ht="12.75" customHeight="1">
      <c r="A729" s="1"/>
      <c r="U729" s="3"/>
      <c r="V729" s="1"/>
    </row>
    <row r="730" spans="1:22" ht="12.75" customHeight="1">
      <c r="A730" s="1"/>
      <c r="U730" s="3"/>
      <c r="V730" s="1"/>
    </row>
    <row r="731" spans="1:22" ht="12.75" customHeight="1">
      <c r="A731" s="1"/>
      <c r="U731" s="3"/>
      <c r="V731" s="1"/>
    </row>
    <row r="732" spans="1:22" ht="12.75" customHeight="1">
      <c r="A732" s="1"/>
      <c r="U732" s="3"/>
      <c r="V732" s="1"/>
    </row>
    <row r="733" spans="1:22" ht="12.75" customHeight="1">
      <c r="A733" s="1"/>
      <c r="U733" s="3"/>
      <c r="V733" s="1"/>
    </row>
    <row r="734" spans="1:22" ht="12.75" customHeight="1">
      <c r="A734" s="1"/>
      <c r="U734" s="3"/>
      <c r="V734" s="1"/>
    </row>
    <row r="735" spans="1:22" ht="12.75" customHeight="1">
      <c r="A735" s="1"/>
      <c r="U735" s="3"/>
      <c r="V735" s="1"/>
    </row>
    <row r="736" spans="1:22" ht="12.75" customHeight="1">
      <c r="A736" s="1"/>
      <c r="U736" s="3"/>
      <c r="V736" s="1"/>
    </row>
    <row r="737" spans="1:22" ht="12.75" customHeight="1">
      <c r="A737" s="1"/>
      <c r="U737" s="3"/>
      <c r="V737" s="1"/>
    </row>
    <row r="738" spans="1:22" ht="12.75" customHeight="1">
      <c r="A738" s="1"/>
      <c r="U738" s="3"/>
      <c r="V738" s="1"/>
    </row>
    <row r="739" spans="1:22" ht="12.75" customHeight="1">
      <c r="A739" s="1"/>
      <c r="U739" s="3"/>
      <c r="V739" s="1"/>
    </row>
    <row r="740" spans="1:22" ht="12.75" customHeight="1">
      <c r="A740" s="1"/>
      <c r="U740" s="3"/>
      <c r="V740" s="1"/>
    </row>
    <row r="741" spans="1:22" ht="12.75" customHeight="1">
      <c r="A741" s="1"/>
      <c r="U741" s="3"/>
      <c r="V741" s="1"/>
    </row>
    <row r="742" spans="1:22" ht="12.75" customHeight="1">
      <c r="A742" s="1"/>
      <c r="U742" s="3"/>
      <c r="V742" s="1"/>
    </row>
    <row r="743" spans="1:22" ht="12.75" customHeight="1">
      <c r="A743" s="1"/>
      <c r="U743" s="3"/>
      <c r="V743" s="1"/>
    </row>
    <row r="744" spans="1:22" ht="12.75" customHeight="1">
      <c r="A744" s="1"/>
      <c r="U744" s="3"/>
      <c r="V744" s="1"/>
    </row>
    <row r="745" spans="1:22" ht="12.75" customHeight="1">
      <c r="A745" s="1"/>
      <c r="U745" s="3"/>
      <c r="V745" s="1"/>
    </row>
    <row r="746" spans="1:22" ht="12.75" customHeight="1">
      <c r="A746" s="1"/>
      <c r="U746" s="3"/>
      <c r="V746" s="1"/>
    </row>
    <row r="747" spans="1:22" ht="12.75" customHeight="1">
      <c r="A747" s="1"/>
      <c r="U747" s="3"/>
      <c r="V747" s="1"/>
    </row>
    <row r="748" spans="1:22" ht="12.75" customHeight="1">
      <c r="A748" s="1"/>
      <c r="U748" s="3"/>
      <c r="V748" s="1"/>
    </row>
    <row r="749" spans="1:22" ht="12.75" customHeight="1">
      <c r="A749" s="1"/>
      <c r="U749" s="3"/>
      <c r="V749" s="1"/>
    </row>
    <row r="750" spans="1:22" ht="12.75" customHeight="1">
      <c r="A750" s="1"/>
      <c r="U750" s="3"/>
      <c r="V750" s="1"/>
    </row>
    <row r="751" spans="1:22" ht="12.75" customHeight="1">
      <c r="A751" s="1"/>
      <c r="U751" s="3"/>
      <c r="V751" s="1"/>
    </row>
    <row r="752" spans="1:22" ht="12.75" customHeight="1">
      <c r="A752" s="1"/>
      <c r="U752" s="3"/>
      <c r="V752" s="1"/>
    </row>
    <row r="753" spans="1:22" ht="12.75" customHeight="1">
      <c r="A753" s="1"/>
      <c r="U753" s="3"/>
      <c r="V753" s="1"/>
    </row>
    <row r="754" spans="1:22" ht="12.75" customHeight="1">
      <c r="A754" s="1"/>
      <c r="U754" s="3"/>
      <c r="V754" s="1"/>
    </row>
    <row r="755" spans="1:22" ht="12.75" customHeight="1">
      <c r="A755" s="1"/>
      <c r="U755" s="3"/>
      <c r="V755" s="1"/>
    </row>
    <row r="756" spans="1:22" ht="12.75" customHeight="1">
      <c r="A756" s="1"/>
      <c r="U756" s="3"/>
      <c r="V756" s="1"/>
    </row>
    <row r="757" spans="1:22" ht="12.75" customHeight="1">
      <c r="A757" s="1"/>
      <c r="U757" s="3"/>
      <c r="V757" s="1"/>
    </row>
    <row r="758" spans="1:22" ht="12.75" customHeight="1">
      <c r="A758" s="1"/>
      <c r="U758" s="3"/>
      <c r="V758" s="1"/>
    </row>
    <row r="759" spans="1:22" ht="12.75" customHeight="1">
      <c r="A759" s="1"/>
      <c r="U759" s="3"/>
      <c r="V759" s="1"/>
    </row>
    <row r="760" spans="1:22" ht="12.75" customHeight="1">
      <c r="A760" s="1"/>
      <c r="U760" s="3"/>
      <c r="V760" s="1"/>
    </row>
    <row r="761" spans="1:22" ht="12.75" customHeight="1">
      <c r="A761" s="1"/>
      <c r="U761" s="3"/>
      <c r="V761" s="1"/>
    </row>
    <row r="762" spans="1:22" ht="12.75" customHeight="1">
      <c r="A762" s="1"/>
      <c r="U762" s="3"/>
      <c r="V762" s="1"/>
    </row>
    <row r="763" spans="1:22" ht="12.75" customHeight="1">
      <c r="A763" s="1"/>
      <c r="U763" s="3"/>
      <c r="V763" s="1"/>
    </row>
    <row r="764" spans="1:22" ht="12.75" customHeight="1">
      <c r="A764" s="1"/>
      <c r="U764" s="3"/>
      <c r="V764" s="1"/>
    </row>
    <row r="765" spans="1:22" ht="12.75" customHeight="1">
      <c r="A765" s="1"/>
      <c r="U765" s="3"/>
      <c r="V765" s="1"/>
    </row>
    <row r="766" spans="1:22" ht="12.75" customHeight="1">
      <c r="A766" s="1"/>
      <c r="U766" s="3"/>
      <c r="V766" s="1"/>
    </row>
    <row r="767" spans="1:22" ht="12.75" customHeight="1">
      <c r="A767" s="1"/>
      <c r="U767" s="3"/>
      <c r="V767" s="1"/>
    </row>
    <row r="768" spans="1:22" ht="12.75" customHeight="1">
      <c r="A768" s="1"/>
      <c r="U768" s="3"/>
      <c r="V768" s="1"/>
    </row>
    <row r="769" spans="1:22" ht="12.75" customHeight="1">
      <c r="A769" s="1"/>
      <c r="U769" s="3"/>
      <c r="V769" s="1"/>
    </row>
    <row r="770" spans="1:22" ht="12.75" customHeight="1">
      <c r="A770" s="1"/>
      <c r="U770" s="3"/>
      <c r="V770" s="1"/>
    </row>
    <row r="771" spans="1:22" ht="12.75" customHeight="1">
      <c r="A771" s="1"/>
      <c r="U771" s="3"/>
      <c r="V771" s="1"/>
    </row>
    <row r="772" spans="1:22" ht="12.75" customHeight="1">
      <c r="A772" s="1"/>
      <c r="U772" s="3"/>
      <c r="V772" s="1"/>
    </row>
    <row r="773" spans="1:22" ht="12.75" customHeight="1">
      <c r="A773" s="1"/>
      <c r="U773" s="3"/>
      <c r="V773" s="1"/>
    </row>
    <row r="774" spans="1:22" ht="12.75" customHeight="1">
      <c r="A774" s="1"/>
      <c r="U774" s="3"/>
      <c r="V774" s="1"/>
    </row>
    <row r="775" spans="1:22" ht="12.75" customHeight="1">
      <c r="A775" s="1"/>
      <c r="U775" s="3"/>
      <c r="V775" s="1"/>
    </row>
    <row r="776" spans="1:22" ht="12.75" customHeight="1">
      <c r="A776" s="1"/>
      <c r="U776" s="3"/>
      <c r="V776" s="1"/>
    </row>
    <row r="777" spans="1:22" ht="12.75" customHeight="1">
      <c r="A777" s="1"/>
      <c r="U777" s="3"/>
      <c r="V777" s="1"/>
    </row>
    <row r="778" spans="1:22" ht="12.75" customHeight="1">
      <c r="A778" s="1"/>
      <c r="U778" s="3"/>
      <c r="V778" s="1"/>
    </row>
    <row r="779" spans="1:22" ht="12.75" customHeight="1">
      <c r="A779" s="1"/>
      <c r="U779" s="3"/>
      <c r="V779" s="1"/>
    </row>
    <row r="780" spans="1:22" ht="12.75" customHeight="1">
      <c r="A780" s="1"/>
      <c r="U780" s="3"/>
      <c r="V780" s="1"/>
    </row>
    <row r="781" spans="1:22" ht="12.75" customHeight="1">
      <c r="A781" s="1"/>
      <c r="U781" s="3"/>
      <c r="V781" s="1"/>
    </row>
    <row r="782" spans="1:22" ht="12.75" customHeight="1">
      <c r="A782" s="1"/>
      <c r="U782" s="3"/>
      <c r="V782" s="1"/>
    </row>
    <row r="783" spans="1:22" ht="12.75" customHeight="1">
      <c r="A783" s="1"/>
      <c r="U783" s="3"/>
      <c r="V783" s="1"/>
    </row>
    <row r="784" spans="1:22" ht="12.75" customHeight="1">
      <c r="A784" s="1"/>
      <c r="U784" s="3"/>
      <c r="V784" s="1"/>
    </row>
    <row r="785" spans="1:22" ht="12.75" customHeight="1">
      <c r="A785" s="1"/>
      <c r="U785" s="3"/>
      <c r="V785" s="1"/>
    </row>
    <row r="786" spans="1:22" ht="12.75" customHeight="1">
      <c r="A786" s="1"/>
      <c r="U786" s="3"/>
      <c r="V786" s="1"/>
    </row>
    <row r="787" spans="1:22" ht="12.75" customHeight="1">
      <c r="A787" s="1"/>
      <c r="U787" s="3"/>
      <c r="V787" s="1"/>
    </row>
    <row r="788" spans="1:22" ht="12.75" customHeight="1">
      <c r="A788" s="1"/>
      <c r="U788" s="3"/>
      <c r="V788" s="1"/>
    </row>
    <row r="789" spans="1:22" ht="12.75" customHeight="1">
      <c r="A789" s="1"/>
      <c r="U789" s="3"/>
      <c r="V789" s="1"/>
    </row>
    <row r="790" spans="1:22" ht="12.75" customHeight="1">
      <c r="A790" s="1"/>
      <c r="U790" s="3"/>
      <c r="V790" s="1"/>
    </row>
    <row r="791" spans="1:22" ht="12.75" customHeight="1">
      <c r="A791" s="1"/>
      <c r="U791" s="3"/>
      <c r="V791" s="1"/>
    </row>
    <row r="792" spans="1:22" ht="12.75" customHeight="1">
      <c r="A792" s="1"/>
      <c r="U792" s="3"/>
      <c r="V792" s="1"/>
    </row>
    <row r="793" spans="1:22" ht="12.75" customHeight="1">
      <c r="A793" s="1"/>
      <c r="U793" s="3"/>
      <c r="V793" s="1"/>
    </row>
    <row r="794" spans="1:22" ht="12.75" customHeight="1">
      <c r="A794" s="1"/>
      <c r="U794" s="3"/>
      <c r="V794" s="1"/>
    </row>
    <row r="795" spans="1:22" ht="12.75" customHeight="1">
      <c r="A795" s="1"/>
      <c r="U795" s="3"/>
      <c r="V795" s="1"/>
    </row>
    <row r="796" spans="1:22" ht="12.75" customHeight="1">
      <c r="A796" s="1"/>
      <c r="U796" s="3"/>
      <c r="V796" s="1"/>
    </row>
    <row r="797" spans="1:22" ht="12.75" customHeight="1">
      <c r="A797" s="1"/>
      <c r="U797" s="3"/>
      <c r="V797" s="1"/>
    </row>
    <row r="798" spans="1:22" ht="12.75" customHeight="1">
      <c r="A798" s="1"/>
      <c r="U798" s="3"/>
      <c r="V798" s="1"/>
    </row>
    <row r="799" spans="1:22" ht="12.75" customHeight="1">
      <c r="A799" s="1"/>
      <c r="U799" s="3"/>
      <c r="V799" s="1"/>
    </row>
    <row r="800" spans="1:22" ht="12.75" customHeight="1">
      <c r="A800" s="1"/>
      <c r="U800" s="3"/>
      <c r="V800" s="1"/>
    </row>
    <row r="801" spans="1:22" ht="12.75" customHeight="1">
      <c r="A801" s="1"/>
      <c r="U801" s="3"/>
      <c r="V801" s="1"/>
    </row>
    <row r="802" spans="1:22" ht="12.75" customHeight="1">
      <c r="A802" s="1"/>
      <c r="U802" s="3"/>
      <c r="V802" s="1"/>
    </row>
    <row r="803" spans="1:22" ht="12.75" customHeight="1">
      <c r="A803" s="1"/>
      <c r="U803" s="3"/>
      <c r="V803" s="1"/>
    </row>
    <row r="804" spans="1:22" ht="12.75" customHeight="1">
      <c r="A804" s="1"/>
      <c r="U804" s="3"/>
      <c r="V804" s="1"/>
    </row>
    <row r="805" spans="1:22" ht="12.75" customHeight="1">
      <c r="A805" s="1"/>
      <c r="U805" s="3"/>
      <c r="V805" s="1"/>
    </row>
    <row r="806" spans="1:22" ht="12.75" customHeight="1">
      <c r="A806" s="1"/>
      <c r="U806" s="3"/>
      <c r="V806" s="1"/>
    </row>
    <row r="807" spans="1:22" ht="12.75" customHeight="1">
      <c r="A807" s="1"/>
      <c r="U807" s="3"/>
      <c r="V807" s="1"/>
    </row>
    <row r="808" spans="1:22" ht="12.75" customHeight="1">
      <c r="A808" s="1"/>
      <c r="U808" s="3"/>
      <c r="V808" s="1"/>
    </row>
    <row r="809" spans="1:22" ht="12.75" customHeight="1">
      <c r="A809" s="1"/>
      <c r="U809" s="3"/>
      <c r="V809" s="1"/>
    </row>
    <row r="810" spans="1:22" ht="12.75" customHeight="1">
      <c r="A810" s="1"/>
      <c r="U810" s="3"/>
      <c r="V810" s="1"/>
    </row>
    <row r="811" spans="1:22" ht="12.75" customHeight="1">
      <c r="A811" s="1"/>
      <c r="U811" s="3"/>
      <c r="V811" s="1"/>
    </row>
    <row r="812" spans="1:22" ht="12.75" customHeight="1">
      <c r="A812" s="1"/>
      <c r="U812" s="3"/>
      <c r="V812" s="1"/>
    </row>
    <row r="813" spans="1:22" ht="12.75" customHeight="1">
      <c r="A813" s="1"/>
      <c r="U813" s="3"/>
      <c r="V813" s="1"/>
    </row>
    <row r="814" spans="1:22" ht="12.75" customHeight="1">
      <c r="A814" s="1"/>
      <c r="U814" s="3"/>
      <c r="V814" s="1"/>
    </row>
    <row r="815" spans="1:22" ht="12.75" customHeight="1">
      <c r="A815" s="1"/>
      <c r="U815" s="3"/>
      <c r="V815" s="1"/>
    </row>
    <row r="816" spans="1:22" ht="12.75" customHeight="1">
      <c r="A816" s="1"/>
      <c r="U816" s="3"/>
      <c r="V816" s="1"/>
    </row>
    <row r="817" spans="1:22" ht="12.75" customHeight="1">
      <c r="A817" s="1"/>
      <c r="U817" s="3"/>
      <c r="V817" s="1"/>
    </row>
    <row r="818" spans="1:22" ht="12.75" customHeight="1">
      <c r="A818" s="1"/>
      <c r="U818" s="3"/>
      <c r="V818" s="1"/>
    </row>
    <row r="819" spans="1:22" ht="12.75" customHeight="1">
      <c r="A819" s="1"/>
      <c r="U819" s="3"/>
      <c r="V819" s="1"/>
    </row>
    <row r="820" spans="1:22" ht="12.75" customHeight="1">
      <c r="A820" s="1"/>
      <c r="U820" s="3"/>
      <c r="V820" s="1"/>
    </row>
    <row r="821" spans="1:22" ht="12.75" customHeight="1">
      <c r="A821" s="1"/>
      <c r="U821" s="3"/>
      <c r="V821" s="1"/>
    </row>
    <row r="822" spans="1:22" ht="12.75" customHeight="1">
      <c r="A822" s="1"/>
      <c r="U822" s="3"/>
      <c r="V822" s="1"/>
    </row>
    <row r="823" spans="1:22" ht="12.75" customHeight="1">
      <c r="A823" s="1"/>
      <c r="U823" s="3"/>
      <c r="V823" s="1"/>
    </row>
    <row r="824" spans="1:22" ht="12.75" customHeight="1">
      <c r="A824" s="1"/>
      <c r="U824" s="3"/>
      <c r="V824" s="1"/>
    </row>
    <row r="825" spans="1:22" ht="12.75" customHeight="1">
      <c r="A825" s="1"/>
      <c r="U825" s="3"/>
      <c r="V825" s="1"/>
    </row>
    <row r="826" spans="1:22" ht="12.75" customHeight="1">
      <c r="A826" s="1"/>
      <c r="U826" s="3"/>
      <c r="V826" s="1"/>
    </row>
    <row r="827" spans="1:22" ht="12.75" customHeight="1">
      <c r="A827" s="1"/>
      <c r="U827" s="3"/>
      <c r="V827" s="1"/>
    </row>
    <row r="828" spans="1:22" ht="12.75" customHeight="1">
      <c r="A828" s="1"/>
      <c r="U828" s="3"/>
      <c r="V828" s="1"/>
    </row>
    <row r="829" spans="1:22" ht="12.75" customHeight="1">
      <c r="A829" s="1"/>
      <c r="U829" s="3"/>
      <c r="V829" s="1"/>
    </row>
    <row r="830" spans="1:22" ht="12.75" customHeight="1">
      <c r="A830" s="1"/>
      <c r="U830" s="3"/>
      <c r="V830" s="1"/>
    </row>
    <row r="831" spans="1:22" ht="12.75" customHeight="1">
      <c r="A831" s="1"/>
      <c r="U831" s="3"/>
      <c r="V831" s="1"/>
    </row>
    <row r="832" spans="1:22" ht="12.75" customHeight="1">
      <c r="A832" s="1"/>
      <c r="U832" s="3"/>
      <c r="V832" s="1"/>
    </row>
    <row r="833" spans="1:22" ht="12.75" customHeight="1">
      <c r="A833" s="1"/>
      <c r="U833" s="3"/>
      <c r="V833" s="1"/>
    </row>
    <row r="834" spans="1:22" ht="12.75" customHeight="1">
      <c r="A834" s="1"/>
      <c r="U834" s="3"/>
      <c r="V834" s="1"/>
    </row>
    <row r="835" spans="1:22" ht="12.75" customHeight="1">
      <c r="A835" s="1"/>
      <c r="U835" s="3"/>
      <c r="V835" s="1"/>
    </row>
    <row r="836" spans="1:22" ht="12.75" customHeight="1">
      <c r="A836" s="1"/>
      <c r="U836" s="3"/>
      <c r="V836" s="1"/>
    </row>
    <row r="837" spans="1:22" ht="12.75" customHeight="1">
      <c r="A837" s="1"/>
      <c r="U837" s="3"/>
      <c r="V837" s="1"/>
    </row>
    <row r="838" spans="1:22" ht="12.75" customHeight="1">
      <c r="A838" s="1"/>
      <c r="U838" s="3"/>
      <c r="V838" s="1"/>
    </row>
    <row r="839" spans="1:22" ht="12.75" customHeight="1">
      <c r="A839" s="1"/>
      <c r="U839" s="3"/>
      <c r="V839" s="1"/>
    </row>
    <row r="840" spans="1:22" ht="12.75" customHeight="1">
      <c r="A840" s="1"/>
      <c r="U840" s="3"/>
      <c r="V840" s="1"/>
    </row>
    <row r="841" spans="1:22" ht="12.75" customHeight="1">
      <c r="A841" s="1"/>
      <c r="U841" s="3"/>
      <c r="V841" s="1"/>
    </row>
    <row r="842" spans="1:22" ht="12.75" customHeight="1">
      <c r="A842" s="1"/>
      <c r="U842" s="3"/>
      <c r="V842" s="1"/>
    </row>
    <row r="843" spans="1:22" ht="12.75" customHeight="1">
      <c r="A843" s="1"/>
      <c r="U843" s="3"/>
      <c r="V843" s="1"/>
    </row>
    <row r="844" spans="1:22" ht="12.75" customHeight="1">
      <c r="A844" s="1"/>
      <c r="U844" s="3"/>
      <c r="V844" s="1"/>
    </row>
    <row r="845" spans="1:22" ht="12.75" customHeight="1">
      <c r="A845" s="1"/>
      <c r="U845" s="3"/>
      <c r="V845" s="1"/>
    </row>
    <row r="846" spans="1:22" ht="12.75" customHeight="1">
      <c r="A846" s="1"/>
      <c r="U846" s="3"/>
      <c r="V846" s="1"/>
    </row>
    <row r="847" spans="1:22" ht="12.75" customHeight="1">
      <c r="A847" s="1"/>
      <c r="U847" s="3"/>
      <c r="V847" s="1"/>
    </row>
    <row r="848" spans="1:22" ht="12.75" customHeight="1">
      <c r="A848" s="1"/>
      <c r="U848" s="3"/>
      <c r="V848" s="1"/>
    </row>
    <row r="849" spans="1:22" ht="12.75" customHeight="1">
      <c r="A849" s="1"/>
      <c r="U849" s="3"/>
      <c r="V849" s="1"/>
    </row>
    <row r="850" spans="1:22" ht="12.75" customHeight="1">
      <c r="A850" s="1"/>
      <c r="U850" s="3"/>
      <c r="V850" s="1"/>
    </row>
    <row r="851" spans="1:22" ht="12.75" customHeight="1">
      <c r="A851" s="1"/>
      <c r="U851" s="3"/>
      <c r="V851" s="1"/>
    </row>
    <row r="852" spans="1:22" ht="12.75" customHeight="1">
      <c r="A852" s="1"/>
      <c r="U852" s="3"/>
      <c r="V852" s="1"/>
    </row>
    <row r="853" spans="1:22" ht="12.75" customHeight="1">
      <c r="A853" s="1"/>
      <c r="U853" s="3"/>
      <c r="V853" s="1"/>
    </row>
    <row r="854" spans="1:22" ht="12.75" customHeight="1">
      <c r="A854" s="1"/>
      <c r="U854" s="3"/>
      <c r="V854" s="1"/>
    </row>
    <row r="855" spans="1:22" ht="12.75" customHeight="1">
      <c r="A855" s="1"/>
      <c r="U855" s="3"/>
      <c r="V855" s="1"/>
    </row>
    <row r="856" spans="1:22" ht="12.75" customHeight="1">
      <c r="A856" s="1"/>
      <c r="U856" s="3"/>
      <c r="V856" s="1"/>
    </row>
    <row r="857" spans="1:22" ht="12.75" customHeight="1">
      <c r="A857" s="1"/>
      <c r="U857" s="3"/>
      <c r="V857" s="1"/>
    </row>
    <row r="858" spans="1:22" ht="12.75" customHeight="1">
      <c r="A858" s="1"/>
      <c r="U858" s="3"/>
      <c r="V858" s="1"/>
    </row>
    <row r="859" spans="1:22" ht="12.75" customHeight="1">
      <c r="A859" s="1"/>
      <c r="U859" s="3"/>
      <c r="V859" s="1"/>
    </row>
    <row r="860" spans="1:22" ht="12.75" customHeight="1">
      <c r="A860" s="1"/>
      <c r="U860" s="3"/>
      <c r="V860" s="1"/>
    </row>
    <row r="861" spans="1:22" ht="12.75" customHeight="1">
      <c r="A861" s="1"/>
      <c r="U861" s="3"/>
      <c r="V861" s="1"/>
    </row>
    <row r="862" spans="1:22" ht="12.75" customHeight="1">
      <c r="A862" s="1"/>
      <c r="U862" s="3"/>
      <c r="V862" s="1"/>
    </row>
    <row r="863" spans="1:22" ht="12.75" customHeight="1">
      <c r="A863" s="1"/>
      <c r="U863" s="3"/>
      <c r="V863" s="1"/>
    </row>
    <row r="864" spans="1:22" ht="12.75" customHeight="1">
      <c r="A864" s="1"/>
      <c r="U864" s="3"/>
      <c r="V864" s="1"/>
    </row>
    <row r="865" spans="1:22" ht="12.75" customHeight="1">
      <c r="A865" s="1"/>
      <c r="U865" s="3"/>
      <c r="V865" s="1"/>
    </row>
    <row r="866" spans="1:22" ht="12.75" customHeight="1">
      <c r="A866" s="1"/>
      <c r="U866" s="3"/>
      <c r="V866" s="1"/>
    </row>
    <row r="867" spans="1:22" ht="12.75" customHeight="1">
      <c r="A867" s="1"/>
      <c r="U867" s="3"/>
      <c r="V867" s="1"/>
    </row>
    <row r="868" spans="1:22" ht="12.75" customHeight="1">
      <c r="A868" s="1"/>
      <c r="U868" s="3"/>
      <c r="V868" s="1"/>
    </row>
    <row r="869" spans="1:22" ht="12.75" customHeight="1">
      <c r="A869" s="1"/>
      <c r="U869" s="3"/>
      <c r="V869" s="1"/>
    </row>
    <row r="870" spans="1:22" ht="12.75" customHeight="1">
      <c r="A870" s="1"/>
      <c r="U870" s="3"/>
      <c r="V870" s="1"/>
    </row>
    <row r="871" spans="1:22" ht="12.75" customHeight="1">
      <c r="A871" s="1"/>
      <c r="U871" s="3"/>
      <c r="V871" s="1"/>
    </row>
    <row r="872" spans="1:22" ht="12.75" customHeight="1">
      <c r="A872" s="1"/>
      <c r="U872" s="3"/>
      <c r="V872" s="1"/>
    </row>
    <row r="873" spans="1:22" ht="12.75" customHeight="1">
      <c r="A873" s="1"/>
      <c r="U873" s="3"/>
      <c r="V873" s="1"/>
    </row>
    <row r="874" spans="1:22" ht="12.75" customHeight="1">
      <c r="A874" s="1"/>
      <c r="U874" s="3"/>
      <c r="V874" s="1"/>
    </row>
    <row r="875" spans="1:22" ht="12.75" customHeight="1">
      <c r="A875" s="1"/>
      <c r="U875" s="3"/>
      <c r="V875" s="1"/>
    </row>
    <row r="876" spans="1:22" ht="12.75" customHeight="1">
      <c r="A876" s="1"/>
      <c r="U876" s="3"/>
      <c r="V876" s="1"/>
    </row>
    <row r="877" spans="1:22" ht="12.75" customHeight="1">
      <c r="A877" s="1"/>
      <c r="U877" s="3"/>
      <c r="V877" s="1"/>
    </row>
    <row r="878" spans="1:22" ht="12.75" customHeight="1">
      <c r="A878" s="1"/>
      <c r="U878" s="3"/>
      <c r="V878" s="1"/>
    </row>
    <row r="879" spans="1:22" ht="12.75" customHeight="1">
      <c r="A879" s="1"/>
      <c r="U879" s="3"/>
      <c r="V879" s="1"/>
    </row>
    <row r="880" spans="1:22" ht="12.75" customHeight="1">
      <c r="A880" s="1"/>
      <c r="U880" s="3"/>
      <c r="V880" s="1"/>
    </row>
    <row r="881" spans="1:22" ht="12.75" customHeight="1">
      <c r="A881" s="1"/>
      <c r="U881" s="3"/>
      <c r="V881" s="1"/>
    </row>
    <row r="882" spans="1:22" ht="12.75" customHeight="1">
      <c r="A882" s="1"/>
      <c r="U882" s="3"/>
      <c r="V882" s="1"/>
    </row>
    <row r="883" spans="1:22" ht="12.75" customHeight="1">
      <c r="A883" s="1"/>
      <c r="U883" s="3"/>
      <c r="V883" s="1"/>
    </row>
    <row r="884" spans="1:22" ht="12.75" customHeight="1">
      <c r="A884" s="1"/>
      <c r="U884" s="3"/>
      <c r="V884" s="1"/>
    </row>
    <row r="885" spans="1:22" ht="12.75" customHeight="1">
      <c r="A885" s="1"/>
      <c r="U885" s="3"/>
      <c r="V885" s="1"/>
    </row>
    <row r="886" spans="1:22" ht="12.75" customHeight="1">
      <c r="A886" s="1"/>
      <c r="U886" s="3"/>
      <c r="V886" s="1"/>
    </row>
    <row r="887" spans="1:22" ht="12.75" customHeight="1">
      <c r="A887" s="1"/>
      <c r="U887" s="3"/>
      <c r="V887" s="1"/>
    </row>
    <row r="888" spans="1:22" ht="12.75" customHeight="1">
      <c r="A888" s="1"/>
      <c r="U888" s="3"/>
      <c r="V888" s="1"/>
    </row>
    <row r="889" spans="1:22" ht="12.75" customHeight="1">
      <c r="A889" s="1"/>
      <c r="U889" s="3"/>
      <c r="V889" s="1"/>
    </row>
    <row r="890" spans="1:22" ht="12.75" customHeight="1">
      <c r="A890" s="1"/>
      <c r="U890" s="3"/>
      <c r="V890" s="1"/>
    </row>
    <row r="891" spans="1:22" ht="12.75" customHeight="1">
      <c r="A891" s="1"/>
      <c r="U891" s="3"/>
      <c r="V891" s="1"/>
    </row>
    <row r="892" spans="1:22" ht="12.75" customHeight="1">
      <c r="A892" s="1"/>
      <c r="U892" s="3"/>
      <c r="V892" s="1"/>
    </row>
    <row r="893" spans="1:22" ht="12.75" customHeight="1">
      <c r="A893" s="1"/>
      <c r="U893" s="3"/>
      <c r="V893" s="1"/>
    </row>
    <row r="894" spans="1:22" ht="12.75" customHeight="1">
      <c r="A894" s="1"/>
      <c r="U894" s="3"/>
      <c r="V894" s="1"/>
    </row>
    <row r="895" spans="1:22" ht="12.75" customHeight="1">
      <c r="A895" s="1"/>
      <c r="U895" s="3"/>
      <c r="V895" s="1"/>
    </row>
    <row r="896" spans="1:22" ht="12.75" customHeight="1">
      <c r="A896" s="1"/>
      <c r="U896" s="3"/>
      <c r="V896" s="1"/>
    </row>
    <row r="897" spans="1:22" ht="12.75" customHeight="1">
      <c r="A897" s="1"/>
      <c r="U897" s="3"/>
      <c r="V897" s="1"/>
    </row>
    <row r="898" spans="1:22" ht="12.75" customHeight="1">
      <c r="A898" s="1"/>
      <c r="U898" s="3"/>
      <c r="V898" s="1"/>
    </row>
    <row r="899" spans="1:22" ht="12.75" customHeight="1">
      <c r="A899" s="1"/>
      <c r="U899" s="3"/>
      <c r="V899" s="1"/>
    </row>
    <row r="900" spans="1:22" ht="12.75" customHeight="1">
      <c r="A900" s="1"/>
      <c r="U900" s="3"/>
      <c r="V900" s="1"/>
    </row>
    <row r="901" spans="1:22" ht="12.75" customHeight="1">
      <c r="A901" s="1"/>
      <c r="U901" s="3"/>
      <c r="V901" s="1"/>
    </row>
    <row r="902" spans="1:22" ht="12.75" customHeight="1">
      <c r="A902" s="1"/>
      <c r="U902" s="3"/>
      <c r="V902" s="1"/>
    </row>
    <row r="903" spans="1:22" ht="12.75" customHeight="1">
      <c r="A903" s="1"/>
      <c r="U903" s="3"/>
      <c r="V903" s="1"/>
    </row>
    <row r="904" spans="1:22" ht="12.75" customHeight="1">
      <c r="A904" s="1"/>
      <c r="U904" s="3"/>
      <c r="V904" s="1"/>
    </row>
    <row r="905" spans="1:22" ht="12.75" customHeight="1">
      <c r="A905" s="1"/>
      <c r="U905" s="3"/>
      <c r="V905" s="1"/>
    </row>
    <row r="906" spans="1:22" ht="12.75" customHeight="1">
      <c r="A906" s="1"/>
      <c r="U906" s="3"/>
      <c r="V906" s="1"/>
    </row>
    <row r="907" spans="1:22" ht="12.75" customHeight="1">
      <c r="A907" s="1"/>
      <c r="U907" s="3"/>
      <c r="V907" s="1"/>
    </row>
    <row r="908" spans="1:22" ht="12.75" customHeight="1">
      <c r="A908" s="1"/>
      <c r="U908" s="3"/>
      <c r="V908" s="1"/>
    </row>
    <row r="909" spans="1:22" ht="12.75" customHeight="1">
      <c r="A909" s="1"/>
      <c r="U909" s="3"/>
      <c r="V909" s="1"/>
    </row>
    <row r="910" spans="1:22" ht="12.75" customHeight="1">
      <c r="A910" s="1"/>
      <c r="U910" s="3"/>
      <c r="V910" s="1"/>
    </row>
    <row r="911" spans="1:22" ht="12.75" customHeight="1">
      <c r="A911" s="1"/>
      <c r="U911" s="3"/>
      <c r="V911" s="1"/>
    </row>
    <row r="912" spans="1:22" ht="12.75" customHeight="1">
      <c r="A912" s="1"/>
      <c r="U912" s="3"/>
      <c r="V912" s="1"/>
    </row>
    <row r="913" spans="1:22" ht="12.75" customHeight="1">
      <c r="A913" s="1"/>
      <c r="U913" s="3"/>
      <c r="V913" s="1"/>
    </row>
    <row r="914" spans="1:22" ht="12.75" customHeight="1">
      <c r="A914" s="1"/>
      <c r="U914" s="3"/>
      <c r="V914" s="1"/>
    </row>
    <row r="915" spans="1:22" ht="12.75" customHeight="1">
      <c r="A915" s="1"/>
      <c r="U915" s="3"/>
      <c r="V915" s="1"/>
    </row>
    <row r="916" spans="1:22" ht="12.75" customHeight="1">
      <c r="A916" s="1"/>
      <c r="U916" s="3"/>
      <c r="V916" s="1"/>
    </row>
    <row r="917" spans="1:22" ht="12.75" customHeight="1">
      <c r="A917" s="1"/>
      <c r="U917" s="3"/>
      <c r="V917" s="1"/>
    </row>
    <row r="918" spans="1:22" ht="12.75" customHeight="1">
      <c r="A918" s="1"/>
      <c r="U918" s="3"/>
      <c r="V918" s="1"/>
    </row>
    <row r="919" spans="1:22" ht="12.75" customHeight="1">
      <c r="A919" s="1"/>
      <c r="U919" s="3"/>
      <c r="V919" s="1"/>
    </row>
    <row r="920" spans="1:22" ht="12.75" customHeight="1">
      <c r="A920" s="1"/>
      <c r="U920" s="3"/>
      <c r="V920" s="1"/>
    </row>
    <row r="921" spans="1:22" ht="12.75" customHeight="1">
      <c r="A921" s="1"/>
      <c r="U921" s="3"/>
      <c r="V921" s="1"/>
    </row>
    <row r="922" spans="1:22" ht="12.75" customHeight="1">
      <c r="A922" s="1"/>
      <c r="U922" s="3"/>
      <c r="V922" s="1"/>
    </row>
    <row r="923" spans="1:22" ht="12.75" customHeight="1">
      <c r="A923" s="1"/>
      <c r="U923" s="3"/>
      <c r="V923" s="1"/>
    </row>
    <row r="924" spans="1:22" ht="12.75" customHeight="1">
      <c r="A924" s="1"/>
      <c r="U924" s="3"/>
      <c r="V924" s="1"/>
    </row>
    <row r="925" spans="1:22" ht="12.75" customHeight="1">
      <c r="A925" s="1"/>
      <c r="U925" s="3"/>
      <c r="V925" s="1"/>
    </row>
    <row r="926" spans="1:22" ht="12.75" customHeight="1">
      <c r="A926" s="1"/>
      <c r="U926" s="3"/>
      <c r="V926" s="1"/>
    </row>
    <row r="927" spans="1:22" ht="12.75" customHeight="1">
      <c r="A927" s="1"/>
      <c r="U927" s="3"/>
      <c r="V927" s="1"/>
    </row>
    <row r="928" spans="1:22" ht="12.75" customHeight="1">
      <c r="A928" s="1"/>
      <c r="U928" s="3"/>
      <c r="V928" s="1"/>
    </row>
    <row r="929" spans="1:22" ht="12.75" customHeight="1">
      <c r="A929" s="1"/>
      <c r="U929" s="3"/>
      <c r="V929" s="1"/>
    </row>
    <row r="930" spans="1:22" ht="12.75" customHeight="1">
      <c r="A930" s="1"/>
      <c r="U930" s="3"/>
      <c r="V930" s="1"/>
    </row>
    <row r="931" spans="1:22" ht="12.75" customHeight="1">
      <c r="A931" s="1"/>
      <c r="U931" s="3"/>
      <c r="V931" s="1"/>
    </row>
    <row r="932" spans="1:22" ht="12.75" customHeight="1">
      <c r="A932" s="1"/>
      <c r="U932" s="3"/>
      <c r="V932" s="1"/>
    </row>
    <row r="933" spans="1:22" ht="12.75" customHeight="1">
      <c r="A933" s="1"/>
      <c r="U933" s="3"/>
      <c r="V933" s="1"/>
    </row>
    <row r="934" spans="1:22" ht="12.75" customHeight="1">
      <c r="A934" s="1"/>
      <c r="U934" s="3"/>
      <c r="V934" s="1"/>
    </row>
    <row r="935" spans="1:22" ht="12.75" customHeight="1">
      <c r="A935" s="1"/>
      <c r="U935" s="3"/>
      <c r="V935" s="1"/>
    </row>
    <row r="936" spans="1:22" ht="12.75" customHeight="1">
      <c r="A936" s="1"/>
      <c r="U936" s="3"/>
      <c r="V936" s="1"/>
    </row>
    <row r="937" spans="1:22" ht="12.75" customHeight="1">
      <c r="A937" s="1"/>
      <c r="U937" s="3"/>
      <c r="V937" s="1"/>
    </row>
    <row r="938" spans="1:22" ht="12.75" customHeight="1">
      <c r="A938" s="1"/>
      <c r="U938" s="3"/>
      <c r="V938" s="1"/>
    </row>
    <row r="939" spans="1:22" ht="12.75" customHeight="1">
      <c r="A939" s="1"/>
      <c r="U939" s="3"/>
      <c r="V939" s="1"/>
    </row>
    <row r="940" spans="1:22" ht="12.75" customHeight="1">
      <c r="A940" s="1"/>
      <c r="U940" s="3"/>
      <c r="V940" s="1"/>
    </row>
    <row r="941" spans="1:22" ht="12.75" customHeight="1">
      <c r="A941" s="1"/>
      <c r="U941" s="3"/>
      <c r="V941" s="1"/>
    </row>
    <row r="942" spans="1:22" ht="12.75" customHeight="1">
      <c r="A942" s="1"/>
      <c r="U942" s="3"/>
      <c r="V942" s="1"/>
    </row>
    <row r="943" spans="1:22" ht="12.75" customHeight="1">
      <c r="A943" s="1"/>
      <c r="U943" s="3"/>
      <c r="V943" s="1"/>
    </row>
    <row r="944" spans="1:22" ht="12.75" customHeight="1">
      <c r="A944" s="1"/>
      <c r="U944" s="3"/>
      <c r="V944" s="1"/>
    </row>
    <row r="945" spans="1:22" ht="12.75" customHeight="1">
      <c r="A945" s="1"/>
      <c r="U945" s="3"/>
      <c r="V945" s="1"/>
    </row>
    <row r="946" spans="1:22" ht="12.75" customHeight="1">
      <c r="A946" s="1"/>
      <c r="U946" s="3"/>
      <c r="V946" s="1"/>
    </row>
    <row r="947" spans="1:22" ht="12.75" customHeight="1">
      <c r="A947" s="1"/>
      <c r="U947" s="3"/>
      <c r="V947" s="1"/>
    </row>
    <row r="948" spans="1:22" ht="12.75" customHeight="1">
      <c r="A948" s="1"/>
      <c r="U948" s="3"/>
      <c r="V948" s="1"/>
    </row>
    <row r="949" spans="1:22" ht="12.75" customHeight="1">
      <c r="A949" s="1"/>
      <c r="U949" s="3"/>
      <c r="V949" s="1"/>
    </row>
    <row r="950" spans="1:22" ht="12.75" customHeight="1">
      <c r="A950" s="1"/>
      <c r="U950" s="3"/>
      <c r="V950" s="1"/>
    </row>
    <row r="951" spans="1:22" ht="12.75" customHeight="1">
      <c r="A951" s="1"/>
      <c r="U951" s="3"/>
      <c r="V951" s="1"/>
    </row>
    <row r="952" spans="1:22" ht="12.75" customHeight="1">
      <c r="A952" s="1"/>
      <c r="U952" s="3"/>
      <c r="V952" s="1"/>
    </row>
    <row r="953" spans="1:22" ht="12.75" customHeight="1">
      <c r="A953" s="1"/>
      <c r="U953" s="3"/>
      <c r="V953" s="1"/>
    </row>
    <row r="954" spans="1:22" ht="12.75" customHeight="1">
      <c r="A954" s="1"/>
      <c r="U954" s="3"/>
      <c r="V954" s="1"/>
    </row>
    <row r="955" spans="1:22" ht="12.75" customHeight="1">
      <c r="A955" s="1"/>
      <c r="U955" s="3"/>
      <c r="V955" s="1"/>
    </row>
    <row r="956" spans="1:22" ht="12.75" customHeight="1">
      <c r="A956" s="1"/>
      <c r="U956" s="3"/>
      <c r="V956" s="1"/>
    </row>
    <row r="957" spans="1:22" ht="12.75" customHeight="1">
      <c r="A957" s="1"/>
      <c r="U957" s="3"/>
      <c r="V957" s="1"/>
    </row>
    <row r="958" spans="1:22" ht="12.75" customHeight="1">
      <c r="A958" s="1"/>
      <c r="U958" s="3"/>
      <c r="V958" s="1"/>
    </row>
    <row r="959" spans="1:22" ht="12.75" customHeight="1">
      <c r="A959" s="1"/>
      <c r="U959" s="3"/>
      <c r="V959" s="1"/>
    </row>
    <row r="960" spans="1:22" ht="12.75" customHeight="1">
      <c r="A960" s="1"/>
      <c r="U960" s="3"/>
      <c r="V960" s="1"/>
    </row>
    <row r="961" spans="1:22" ht="12.75" customHeight="1">
      <c r="A961" s="1"/>
      <c r="U961" s="3"/>
      <c r="V961" s="1"/>
    </row>
    <row r="962" spans="1:22" ht="12.75" customHeight="1">
      <c r="A962" s="1"/>
      <c r="U962" s="3"/>
      <c r="V962" s="1"/>
    </row>
    <row r="963" spans="1:22" ht="12.75" customHeight="1">
      <c r="A963" s="1"/>
      <c r="U963" s="3"/>
      <c r="V963" s="1"/>
    </row>
    <row r="964" spans="1:22" ht="12.75" customHeight="1">
      <c r="A964" s="1"/>
      <c r="U964" s="3"/>
      <c r="V964" s="1"/>
    </row>
    <row r="965" spans="1:22" ht="12.75" customHeight="1">
      <c r="A965" s="1"/>
      <c r="U965" s="3"/>
      <c r="V965" s="1"/>
    </row>
    <row r="966" spans="1:22" ht="12.75" customHeight="1">
      <c r="A966" s="1"/>
      <c r="U966" s="3"/>
      <c r="V966" s="1"/>
    </row>
    <row r="967" spans="1:22" ht="12.75" customHeight="1">
      <c r="A967" s="1"/>
      <c r="U967" s="3"/>
      <c r="V967" s="1"/>
    </row>
    <row r="968" spans="1:22" ht="12.75" customHeight="1">
      <c r="A968" s="1"/>
      <c r="U968" s="3"/>
      <c r="V968" s="1"/>
    </row>
    <row r="969" spans="1:22" ht="12.75" customHeight="1">
      <c r="A969" s="1"/>
      <c r="U969" s="3"/>
      <c r="V969" s="1"/>
    </row>
    <row r="970" spans="1:22" ht="12.75" customHeight="1">
      <c r="A970" s="1"/>
      <c r="U970" s="3"/>
      <c r="V970" s="1"/>
    </row>
    <row r="971" spans="1:22" ht="12.75" customHeight="1">
      <c r="A971" s="1"/>
      <c r="U971" s="3"/>
      <c r="V971" s="1"/>
    </row>
    <row r="972" spans="1:22" ht="12.75" customHeight="1">
      <c r="A972" s="1"/>
      <c r="U972" s="3"/>
      <c r="V972" s="1"/>
    </row>
    <row r="973" spans="1:22" ht="12.75" customHeight="1">
      <c r="A973" s="1"/>
      <c r="U973" s="3"/>
      <c r="V973" s="1"/>
    </row>
    <row r="974" spans="1:22" ht="12.75" customHeight="1">
      <c r="A974" s="1"/>
      <c r="U974" s="3"/>
      <c r="V974" s="1"/>
    </row>
    <row r="975" spans="1:22" ht="12.75" customHeight="1">
      <c r="A975" s="1"/>
      <c r="U975" s="3"/>
      <c r="V975" s="1"/>
    </row>
    <row r="976" spans="1:22" ht="12.75" customHeight="1">
      <c r="A976" s="1"/>
      <c r="U976" s="3"/>
      <c r="V976" s="1"/>
    </row>
    <row r="977" spans="1:22" ht="12.75" customHeight="1">
      <c r="A977" s="1"/>
      <c r="U977" s="3"/>
      <c r="V977" s="1"/>
    </row>
    <row r="978" spans="1:22" ht="12.75" customHeight="1">
      <c r="A978" s="1"/>
      <c r="U978" s="3"/>
      <c r="V978" s="1"/>
    </row>
    <row r="979" spans="1:22" ht="12.75" customHeight="1">
      <c r="A979" s="1"/>
      <c r="U979" s="3"/>
      <c r="V979" s="1"/>
    </row>
    <row r="980" spans="1:22" ht="12.75" customHeight="1">
      <c r="A980" s="1"/>
      <c r="U980" s="3"/>
      <c r="V980" s="1"/>
    </row>
    <row r="981" spans="1:22" ht="12.75" customHeight="1">
      <c r="A981" s="1"/>
      <c r="U981" s="3"/>
      <c r="V981" s="1"/>
    </row>
    <row r="982" spans="1:22" ht="12.75" customHeight="1">
      <c r="A982" s="1"/>
      <c r="U982" s="3"/>
      <c r="V982" s="1"/>
    </row>
    <row r="983" spans="1:22" ht="12.75" customHeight="1">
      <c r="A983" s="1"/>
      <c r="U983" s="3"/>
      <c r="V983" s="1"/>
    </row>
    <row r="984" spans="1:22" ht="12.75" customHeight="1">
      <c r="A984" s="1"/>
      <c r="U984" s="3"/>
      <c r="V984" s="1"/>
    </row>
    <row r="985" spans="1:22" ht="12.75" customHeight="1">
      <c r="A985" s="1"/>
      <c r="U985" s="3"/>
      <c r="V985" s="1"/>
    </row>
    <row r="986" spans="1:22" ht="12.75" customHeight="1">
      <c r="A986" s="1"/>
      <c r="U986" s="3"/>
      <c r="V986" s="1"/>
    </row>
    <row r="987" spans="1:22" ht="12.75" customHeight="1">
      <c r="A987" s="1"/>
      <c r="U987" s="3"/>
      <c r="V987" s="1"/>
    </row>
    <row r="988" spans="1:22" ht="12.75" customHeight="1">
      <c r="A988" s="1"/>
      <c r="U988" s="3"/>
      <c r="V988" s="1"/>
    </row>
    <row r="989" spans="1:22" ht="12.75" customHeight="1">
      <c r="A989" s="1"/>
      <c r="U989" s="3"/>
      <c r="V989" s="1"/>
    </row>
    <row r="990" spans="1:22" ht="12.75" customHeight="1">
      <c r="A990" s="1"/>
      <c r="U990" s="3"/>
      <c r="V990" s="1"/>
    </row>
    <row r="991" spans="1:22" ht="12.75" customHeight="1">
      <c r="A991" s="1"/>
      <c r="U991" s="3"/>
      <c r="V991" s="1"/>
    </row>
    <row r="992" spans="1:22" ht="12.75" customHeight="1">
      <c r="A992" s="1"/>
      <c r="U992" s="3"/>
      <c r="V992" s="1"/>
    </row>
    <row r="993" spans="1:22" ht="12.75" customHeight="1">
      <c r="A993" s="1"/>
      <c r="U993" s="3"/>
      <c r="V993" s="1"/>
    </row>
    <row r="994" spans="1:22" ht="12.75" customHeight="1">
      <c r="A994" s="1"/>
      <c r="U994" s="3"/>
      <c r="V994" s="1"/>
    </row>
    <row r="995" spans="1:22" ht="12.75" customHeight="1">
      <c r="A995" s="1"/>
      <c r="U995" s="3"/>
      <c r="V995" s="1"/>
    </row>
    <row r="996" spans="1:22" ht="12.75" customHeight="1">
      <c r="A996" s="1"/>
      <c r="U996" s="3"/>
      <c r="V996" s="1"/>
    </row>
    <row r="997" spans="1:22" ht="12.75" customHeight="1">
      <c r="A997" s="1"/>
      <c r="U997" s="3"/>
      <c r="V997" s="1"/>
    </row>
    <row r="998" spans="1:22" ht="12.75" customHeight="1">
      <c r="A998" s="1"/>
      <c r="U998" s="3"/>
      <c r="V998" s="1"/>
    </row>
    <row r="999" spans="1:22" ht="12.75" customHeight="1">
      <c r="A999" s="1"/>
      <c r="U999" s="3"/>
      <c r="V999" s="1"/>
    </row>
    <row r="1000" spans="1:22" ht="12.75" customHeight="1">
      <c r="A1000" s="1"/>
      <c r="U1000" s="3"/>
      <c r="V1000" s="1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2"/>
  <sheetViews>
    <sheetView workbookViewId="0">
      <selection activeCell="C1" sqref="C1:C22"/>
    </sheetView>
  </sheetViews>
  <sheetFormatPr baseColWidth="10" defaultRowHeight="12.75"/>
  <sheetData>
    <row r="1" spans="1:3">
      <c r="A1" s="242" t="s">
        <v>145</v>
      </c>
      <c r="C1" s="241" t="s">
        <v>157</v>
      </c>
    </row>
    <row r="2" spans="1:3">
      <c r="A2" s="242"/>
      <c r="C2" s="241"/>
    </row>
    <row r="3" spans="1:3">
      <c r="A3" s="240"/>
      <c r="C3" s="240"/>
    </row>
    <row r="4" spans="1:3">
      <c r="A4" s="240"/>
      <c r="C4" s="240"/>
    </row>
    <row r="5" spans="1:3">
      <c r="A5" s="242" t="s">
        <v>152</v>
      </c>
      <c r="C5" s="241" t="s">
        <v>164</v>
      </c>
    </row>
    <row r="6" spans="1:3">
      <c r="A6" s="242"/>
      <c r="C6" s="241"/>
    </row>
    <row r="7" spans="1:3">
      <c r="A7" s="240"/>
      <c r="C7" s="240"/>
    </row>
    <row r="8" spans="1:3">
      <c r="A8" s="240"/>
      <c r="C8" s="240"/>
    </row>
    <row r="9" spans="1:3">
      <c r="A9" s="242" t="s">
        <v>157</v>
      </c>
      <c r="C9" s="241" t="s">
        <v>152</v>
      </c>
    </row>
    <row r="10" spans="1:3">
      <c r="A10" s="242"/>
      <c r="C10" s="241"/>
    </row>
    <row r="11" spans="1:3">
      <c r="A11" s="240"/>
      <c r="C11" s="240"/>
    </row>
    <row r="12" spans="1:3">
      <c r="A12" s="240"/>
      <c r="C12" s="240"/>
    </row>
    <row r="13" spans="1:3">
      <c r="A13" s="242" t="s">
        <v>164</v>
      </c>
      <c r="C13" s="241" t="s">
        <v>145</v>
      </c>
    </row>
    <row r="14" spans="1:3">
      <c r="A14" s="242"/>
      <c r="C14" s="241"/>
    </row>
    <row r="15" spans="1:3">
      <c r="A15" s="240"/>
      <c r="C15" s="240"/>
    </row>
    <row r="16" spans="1:3">
      <c r="A16" s="240"/>
      <c r="C16" s="240"/>
    </row>
    <row r="17" spans="1:3">
      <c r="A17" s="242" t="s">
        <v>157</v>
      </c>
      <c r="C17" s="241" t="s">
        <v>164</v>
      </c>
    </row>
    <row r="18" spans="1:3">
      <c r="A18" s="242"/>
      <c r="C18" s="241"/>
    </row>
    <row r="19" spans="1:3">
      <c r="A19" s="240"/>
      <c r="C19" s="240"/>
    </row>
    <row r="20" spans="1:3">
      <c r="A20" s="240"/>
      <c r="C20" s="240"/>
    </row>
    <row r="21" spans="1:3">
      <c r="A21" s="242" t="s">
        <v>152</v>
      </c>
      <c r="C21" s="241" t="s">
        <v>145</v>
      </c>
    </row>
    <row r="22" spans="1:3">
      <c r="A22" s="242"/>
      <c r="C22" s="241"/>
    </row>
  </sheetData>
  <mergeCells count="22">
    <mergeCell ref="A21:A22"/>
    <mergeCell ref="A7:A8"/>
    <mergeCell ref="A9:A10"/>
    <mergeCell ref="A11:A12"/>
    <mergeCell ref="A13:A14"/>
    <mergeCell ref="A15:A16"/>
    <mergeCell ref="C15:C16"/>
    <mergeCell ref="C17:C18"/>
    <mergeCell ref="C19:C20"/>
    <mergeCell ref="C21:C22"/>
    <mergeCell ref="A1:A2"/>
    <mergeCell ref="A3:A4"/>
    <mergeCell ref="C3:C4"/>
    <mergeCell ref="C5:C6"/>
    <mergeCell ref="C7:C8"/>
    <mergeCell ref="C9:C10"/>
    <mergeCell ref="C11:C12"/>
    <mergeCell ref="C1:C2"/>
    <mergeCell ref="C13:C14"/>
    <mergeCell ref="A17:A18"/>
    <mergeCell ref="A19:A20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4"/>
  <sheetViews>
    <sheetView workbookViewId="0">
      <selection activeCell="B13" sqref="B13:B15"/>
    </sheetView>
  </sheetViews>
  <sheetFormatPr baseColWidth="10" defaultRowHeight="15"/>
  <cols>
    <col min="1" max="1" width="11.42578125" style="113"/>
    <col min="2" max="2" width="22.140625" style="118" customWidth="1"/>
    <col min="3" max="16384" width="11.42578125" style="113"/>
  </cols>
  <sheetData>
    <row r="1" spans="1:2" ht="15.75" thickBot="1">
      <c r="A1" s="111" t="s">
        <v>390</v>
      </c>
      <c r="B1" s="112" t="s">
        <v>391</v>
      </c>
    </row>
    <row r="2" spans="1:2" ht="15.75" thickTop="1">
      <c r="A2" s="114">
        <v>1</v>
      </c>
      <c r="B2" s="115" t="s">
        <v>397</v>
      </c>
    </row>
    <row r="3" spans="1:2">
      <c r="A3" s="116">
        <v>2</v>
      </c>
      <c r="B3" s="117" t="s">
        <v>392</v>
      </c>
    </row>
    <row r="4" spans="1:2">
      <c r="A4" s="114">
        <v>3</v>
      </c>
      <c r="B4" s="117" t="s">
        <v>413</v>
      </c>
    </row>
    <row r="5" spans="1:2">
      <c r="A5" s="114">
        <v>4</v>
      </c>
      <c r="B5" s="117" t="s">
        <v>414</v>
      </c>
    </row>
    <row r="6" spans="1:2">
      <c r="A6" s="116">
        <v>5</v>
      </c>
      <c r="B6" s="117" t="s">
        <v>415</v>
      </c>
    </row>
    <row r="7" spans="1:2">
      <c r="A7" s="114">
        <v>6</v>
      </c>
      <c r="B7" s="117" t="s">
        <v>416</v>
      </c>
    </row>
    <row r="8" spans="1:2">
      <c r="A8" s="114">
        <v>7</v>
      </c>
      <c r="B8" s="117" t="s">
        <v>417</v>
      </c>
    </row>
    <row r="9" spans="1:2">
      <c r="A9" s="116">
        <v>8</v>
      </c>
      <c r="B9" s="117" t="s">
        <v>418</v>
      </c>
    </row>
    <row r="10" spans="1:2">
      <c r="A10" s="114">
        <v>9</v>
      </c>
      <c r="B10" s="117" t="s">
        <v>419</v>
      </c>
    </row>
    <row r="11" spans="1:2">
      <c r="A11" s="114">
        <v>10</v>
      </c>
      <c r="B11" s="117" t="s">
        <v>422</v>
      </c>
    </row>
    <row r="12" spans="1:2">
      <c r="A12" s="116">
        <v>11</v>
      </c>
      <c r="B12" s="117" t="s">
        <v>394</v>
      </c>
    </row>
    <row r="13" spans="1:2">
      <c r="A13" s="114">
        <v>12</v>
      </c>
      <c r="B13" s="117" t="s">
        <v>421</v>
      </c>
    </row>
    <row r="14" spans="1:2">
      <c r="A14" s="114">
        <v>13</v>
      </c>
      <c r="B14" s="154" t="s">
        <v>431</v>
      </c>
    </row>
    <row r="15" spans="1:2">
      <c r="A15" s="116">
        <v>14</v>
      </c>
      <c r="B15" s="154" t="s">
        <v>432</v>
      </c>
    </row>
    <row r="16" spans="1:2">
      <c r="A16" s="114">
        <v>15</v>
      </c>
      <c r="B16" s="117" t="s">
        <v>398</v>
      </c>
    </row>
    <row r="17" spans="1:2">
      <c r="A17" s="114">
        <v>16</v>
      </c>
      <c r="B17" s="117" t="s">
        <v>420</v>
      </c>
    </row>
    <row r="18" spans="1:2">
      <c r="A18" s="116">
        <v>17</v>
      </c>
      <c r="B18" s="117" t="s">
        <v>395</v>
      </c>
    </row>
    <row r="19" spans="1:2">
      <c r="A19" s="114">
        <v>18</v>
      </c>
      <c r="B19" s="117" t="s">
        <v>396</v>
      </c>
    </row>
    <row r="20" spans="1:2">
      <c r="A20" s="114">
        <v>19</v>
      </c>
      <c r="B20" s="117" t="s">
        <v>423</v>
      </c>
    </row>
    <row r="21" spans="1:2">
      <c r="A21" s="116">
        <v>20</v>
      </c>
      <c r="B21" s="117" t="s">
        <v>424</v>
      </c>
    </row>
    <row r="22" spans="1:2">
      <c r="A22" s="114">
        <v>21</v>
      </c>
      <c r="B22" s="117" t="s">
        <v>393</v>
      </c>
    </row>
    <row r="23" spans="1:2">
      <c r="A23" s="114">
        <v>22</v>
      </c>
      <c r="B23" s="117" t="s">
        <v>399</v>
      </c>
    </row>
    <row r="24" spans="1:2">
      <c r="A24" s="116">
        <v>23</v>
      </c>
      <c r="B24" s="117" t="s">
        <v>425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Terceros</vt:lpstr>
      <vt:lpstr>Posiciones</vt:lpstr>
      <vt:lpstr>A</vt:lpstr>
      <vt:lpstr>B</vt:lpstr>
      <vt:lpstr>C</vt:lpstr>
      <vt:lpstr>D</vt:lpstr>
      <vt:lpstr>E</vt:lpstr>
      <vt:lpstr>F</vt:lpstr>
      <vt:lpstr>H1</vt:lpstr>
      <vt:lpstr>H2</vt:lpstr>
      <vt:lpstr>Hoja1</vt:lpstr>
      <vt:lpstr>Participantes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Jose E. Caballero E.</dc:creator>
  <cp:keywords>Keywords</cp:keywords>
  <cp:lastModifiedBy>Jose E. Caballero E.</cp:lastModifiedBy>
  <cp:lastPrinted>2021-06-01T02:58:00Z</cp:lastPrinted>
  <dcterms:created xsi:type="dcterms:W3CDTF">2021-06-01T02:39:49Z</dcterms:created>
  <dcterms:modified xsi:type="dcterms:W3CDTF">2021-06-22T19:16:42Z</dcterms:modified>
</cp:coreProperties>
</file>